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20" windowWidth="15105" windowHeight="8115" tabRatio="922" activeTab="14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Trung - Tokai" sheetId="64" r:id="rId11"/>
    <sheet name="CP-MỰC" sheetId="84" r:id="rId12"/>
    <sheet name="NGHỊ HÒA" sheetId="75" r:id="rId13"/>
    <sheet name="M.T.NAM" sheetId="76" r:id="rId14"/>
    <sheet name="PHÁT" sheetId="77" r:id="rId15"/>
    <sheet name="T.M.THƯ" sheetId="78" r:id="rId16"/>
    <sheet name="GC - TQ" sheetId="87" r:id="rId17"/>
  </sheets>
  <externalReferences>
    <externalReference r:id="rId18"/>
    <externalReference r:id="rId19"/>
    <externalReference r:id="rId20"/>
    <externalReference r:id="rId21"/>
  </externalReferences>
  <definedNames>
    <definedName name="_Fill" localSheetId="8" hidden="1">#REF!</definedName>
    <definedName name="_Fill" localSheetId="7" hidden="1">#REF!</definedName>
    <definedName name="_Fill" localSheetId="16" hidden="1">#REF!</definedName>
    <definedName name="_Fill" localSheetId="9" hidden="1">#REF!</definedName>
    <definedName name="_Fill" hidden="1">#REF!</definedName>
    <definedName name="_xlnm._FilterDatabase" localSheetId="8" hidden="1">AAAS!$A$11:$J$22</definedName>
    <definedName name="_xlnm._FilterDatabase" localSheetId="7" hidden="1">Asia!$A$11:$J$38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2" hidden="1">'NGHỊ HÒA'!$A$11:$L$98</definedName>
    <definedName name="_xlnm._FilterDatabase" localSheetId="0" hidden="1">'SQTM 15'!$A$11:$H$1815</definedName>
    <definedName name="_xlnm._FilterDatabase" localSheetId="1" hidden="1">'SQTM 16'!$A$11:$H$1823</definedName>
    <definedName name="_xlnm.Print_Area" localSheetId="4">'AN PHÚ'!$A$95:$J$111</definedName>
    <definedName name="_xlnm.Print_Area" localSheetId="2">'TONG HOP'!$A$1:$G$27</definedName>
    <definedName name="_xlnm.Print_Area" localSheetId="10">'Trung - Tokai'!$A$128:$I$140</definedName>
  </definedNames>
  <calcPr calcId="144525"/>
</workbook>
</file>

<file path=xl/calcChain.xml><?xml version="1.0" encoding="utf-8"?>
<calcChain xmlns="http://schemas.openxmlformats.org/spreadsheetml/2006/main">
  <c r="G30" i="81" l="1"/>
  <c r="G28" i="81"/>
  <c r="G137" i="49" l="1"/>
  <c r="I137" i="49"/>
  <c r="G138" i="49"/>
  <c r="I138" i="49"/>
  <c r="G139" i="49"/>
  <c r="I139" i="49"/>
  <c r="G140" i="49"/>
  <c r="I140" i="49"/>
  <c r="G141" i="49"/>
  <c r="I141" i="49"/>
  <c r="G142" i="49"/>
  <c r="I142" i="49"/>
  <c r="G143" i="49"/>
  <c r="I143" i="49"/>
  <c r="G144" i="49"/>
  <c r="I144" i="49"/>
  <c r="G145" i="49"/>
  <c r="I145" i="49"/>
  <c r="G146" i="49"/>
  <c r="I146" i="49"/>
  <c r="G147" i="49"/>
  <c r="I147" i="49"/>
  <c r="G148" i="49"/>
  <c r="I148" i="49"/>
  <c r="G149" i="49"/>
  <c r="I149" i="49"/>
  <c r="G150" i="49"/>
  <c r="I150" i="49"/>
  <c r="G151" i="49"/>
  <c r="I151" i="49"/>
  <c r="G152" i="49"/>
  <c r="I152" i="49"/>
  <c r="G153" i="49"/>
  <c r="I153" i="49"/>
  <c r="G154" i="49"/>
  <c r="I154" i="49"/>
  <c r="G155" i="49"/>
  <c r="I155" i="49"/>
  <c r="A9" i="34"/>
  <c r="A10" i="34"/>
  <c r="A11" i="34"/>
  <c r="A12" i="34"/>
  <c r="A13" i="34"/>
  <c r="C10" i="34"/>
  <c r="E10" i="34"/>
  <c r="E11" i="34"/>
  <c r="E12" i="34"/>
  <c r="E120" i="50" l="1"/>
  <c r="F120" i="50" s="1"/>
  <c r="F43" i="87" l="1"/>
  <c r="F41" i="87"/>
  <c r="E40" i="87"/>
  <c r="E39" i="87"/>
  <c r="E38" i="87"/>
  <c r="E37" i="87"/>
  <c r="F15" i="87"/>
  <c r="C15" i="87"/>
  <c r="F9" i="87"/>
  <c r="C36" i="87" s="1"/>
  <c r="E36" i="87" s="1"/>
  <c r="C9" i="87"/>
  <c r="E10" i="87"/>
  <c r="E11" i="87"/>
  <c r="E5" i="87"/>
  <c r="E9" i="87" s="1"/>
  <c r="E41" i="87" l="1"/>
  <c r="E15" i="87"/>
  <c r="C21" i="34" l="1"/>
  <c r="G19" i="34"/>
  <c r="C8" i="34"/>
  <c r="I16" i="88" l="1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F33" i="88"/>
  <c r="I32" i="88"/>
  <c r="I31" i="88"/>
  <c r="H33" i="88"/>
  <c r="I15" i="88"/>
  <c r="I14" i="88"/>
  <c r="G13" i="88"/>
  <c r="G33" i="88" s="1"/>
  <c r="I12" i="88"/>
  <c r="I13" i="88" s="1"/>
  <c r="I33" i="88" l="1"/>
  <c r="D35" i="88" s="1"/>
  <c r="F148" i="64"/>
  <c r="I148" i="64" s="1"/>
  <c r="F149" i="64"/>
  <c r="I149" i="64" s="1"/>
  <c r="F150" i="64"/>
  <c r="I150" i="64" s="1"/>
  <c r="H148" i="64"/>
  <c r="H149" i="64"/>
  <c r="H150" i="64"/>
  <c r="H147" i="64"/>
  <c r="F147" i="64"/>
  <c r="H152" i="64" l="1"/>
  <c r="F152" i="64"/>
  <c r="I147" i="64"/>
  <c r="M30" i="87"/>
  <c r="J29" i="87"/>
  <c r="M29" i="87" s="1"/>
  <c r="J28" i="87"/>
  <c r="M28" i="87" s="1"/>
  <c r="J27" i="87"/>
  <c r="M27" i="87" s="1"/>
  <c r="J26" i="87"/>
  <c r="M26" i="87" s="1"/>
  <c r="E26" i="87"/>
  <c r="J25" i="87"/>
  <c r="M25" i="87" s="1"/>
  <c r="D25" i="87"/>
  <c r="E25" i="87" s="1"/>
  <c r="A25" i="87"/>
  <c r="J24" i="87"/>
  <c r="M24" i="87" s="1"/>
  <c r="E24" i="87"/>
  <c r="A24" i="87"/>
  <c r="J23" i="87"/>
  <c r="M23" i="87" s="1"/>
  <c r="E23" i="87"/>
  <c r="A23" i="87"/>
  <c r="J22" i="87"/>
  <c r="M22" i="87" s="1"/>
  <c r="E22" i="87"/>
  <c r="A22" i="87"/>
  <c r="J21" i="87"/>
  <c r="M21" i="87" s="1"/>
  <c r="E21" i="87"/>
  <c r="A21" i="87"/>
  <c r="J20" i="87"/>
  <c r="M20" i="87" s="1"/>
  <c r="E20" i="87"/>
  <c r="A20" i="87"/>
  <c r="J19" i="87"/>
  <c r="M19" i="87" s="1"/>
  <c r="E19" i="87"/>
  <c r="A19" i="87"/>
  <c r="J18" i="87"/>
  <c r="M18" i="87" s="1"/>
  <c r="C18" i="87"/>
  <c r="C27" i="87" s="1"/>
  <c r="E27" i="87" s="1"/>
  <c r="A18" i="87"/>
  <c r="E18" i="87" l="1"/>
  <c r="I152" i="64"/>
  <c r="I154" i="64" s="1"/>
  <c r="M31" i="87"/>
  <c r="E28" i="87" s="1"/>
  <c r="E31" i="87" l="1"/>
  <c r="I91" i="75"/>
  <c r="E33" i="87" l="1"/>
  <c r="H856" i="73"/>
  <c r="H760" i="73"/>
  <c r="G26" i="81" l="1"/>
  <c r="F22" i="85" l="1"/>
  <c r="I21" i="85"/>
  <c r="G13" i="85"/>
  <c r="G22" i="85" s="1"/>
  <c r="I12" i="85"/>
  <c r="I13" i="85" l="1"/>
  <c r="I14" i="85" s="1"/>
  <c r="I15" i="85" s="1"/>
  <c r="I16" i="85" s="1"/>
  <c r="I17" i="85" s="1"/>
  <c r="H18" i="85" s="1"/>
  <c r="H22" i="85" s="1"/>
  <c r="I22" i="85" s="1"/>
  <c r="I18" i="85"/>
  <c r="I19" i="85" s="1"/>
  <c r="I20" i="85" s="1"/>
  <c r="D24" i="85" l="1"/>
  <c r="C20" i="34"/>
  <c r="H88" i="75"/>
  <c r="I88" i="75" s="1"/>
  <c r="H89" i="75"/>
  <c r="I89" i="75"/>
  <c r="K89" i="75" s="1"/>
  <c r="H90" i="75"/>
  <c r="I90" i="75"/>
  <c r="K91" i="75"/>
  <c r="H92" i="75"/>
  <c r="I92" i="75"/>
  <c r="K92" i="75"/>
  <c r="H93" i="75"/>
  <c r="I93" i="75"/>
  <c r="K93" i="75"/>
  <c r="H94" i="75"/>
  <c r="I94" i="75"/>
  <c r="K94" i="75"/>
  <c r="H95" i="75"/>
  <c r="I95" i="75"/>
  <c r="K95" i="75"/>
  <c r="H87" i="75"/>
  <c r="I87" i="75" s="1"/>
  <c r="H96" i="75"/>
  <c r="I96" i="75"/>
  <c r="K96" i="75"/>
  <c r="K90" i="75" l="1"/>
  <c r="G8" i="34"/>
  <c r="G9" i="34"/>
  <c r="G7" i="34" l="1"/>
  <c r="G295" i="77" l="1"/>
  <c r="G296" i="77"/>
  <c r="G297" i="77"/>
  <c r="G298" i="77"/>
  <c r="G299" i="77"/>
  <c r="I299" i="77" s="1"/>
  <c r="G300" i="77"/>
  <c r="G301" i="77"/>
  <c r="I301" i="77" s="1"/>
  <c r="G302" i="77"/>
  <c r="I302" i="77"/>
  <c r="I303" i="77" s="1"/>
  <c r="G303" i="77"/>
  <c r="G304" i="77"/>
  <c r="I304" i="77" s="1"/>
  <c r="G305" i="77"/>
  <c r="I305" i="77"/>
  <c r="G306" i="77"/>
  <c r="I306" i="77"/>
  <c r="G307" i="77"/>
  <c r="I307" i="77"/>
  <c r="G308" i="77"/>
  <c r="I308" i="77"/>
  <c r="I300" i="77" l="1"/>
  <c r="G40" i="78"/>
  <c r="I84" i="75"/>
  <c r="F117" i="50"/>
  <c r="F118" i="50" s="1"/>
  <c r="F119" i="50"/>
  <c r="F121" i="50"/>
  <c r="F122" i="50"/>
  <c r="F123" i="50"/>
  <c r="F124" i="50"/>
  <c r="F125" i="50"/>
  <c r="G24" i="81" l="1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/>
  <c r="E3" i="34"/>
  <c r="G128" i="49" l="1"/>
  <c r="H134" i="64" l="1"/>
  <c r="F134" i="64"/>
  <c r="H133" i="64"/>
  <c r="F133" i="64"/>
  <c r="I134" i="64" l="1"/>
  <c r="F136" i="64"/>
  <c r="I133" i="64"/>
  <c r="I136" i="64" s="1"/>
  <c r="I138" i="64" s="1"/>
  <c r="H136" i="64"/>
  <c r="H634" i="73"/>
  <c r="H631" i="73"/>
  <c r="H632" i="73"/>
  <c r="H633" i="73"/>
  <c r="H635" i="73"/>
  <c r="H636" i="73"/>
  <c r="H637" i="73"/>
  <c r="H638" i="73"/>
  <c r="E20" i="34" l="1"/>
  <c r="E21" i="34"/>
  <c r="E22" i="34"/>
  <c r="E23" i="34"/>
  <c r="E24" i="34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/>
  <c r="H86" i="75"/>
  <c r="I86" i="75" s="1"/>
  <c r="G22" i="81" l="1"/>
  <c r="G20" i="81"/>
  <c r="G17" i="81"/>
  <c r="I27" i="81" l="1"/>
  <c r="I28" i="81" s="1"/>
  <c r="I29" i="81"/>
  <c r="I30" i="81" s="1"/>
  <c r="I31" i="81"/>
  <c r="I32" i="81"/>
  <c r="I33" i="81"/>
  <c r="G290" i="77" l="1"/>
  <c r="G291" i="77"/>
  <c r="G292" i="77"/>
  <c r="G293" i="77"/>
  <c r="G294" i="77"/>
  <c r="G309" i="77"/>
  <c r="I309" i="77"/>
  <c r="G310" i="77"/>
  <c r="I310" i="77"/>
  <c r="G15" i="81" l="1"/>
  <c r="G13" i="81"/>
  <c r="I12" i="81"/>
  <c r="I37" i="81"/>
  <c r="I36" i="81"/>
  <c r="I35" i="81"/>
  <c r="I34" i="81"/>
  <c r="F38" i="81"/>
  <c r="G38" i="81" l="1"/>
  <c r="I13" i="81"/>
  <c r="I14" i="81" s="1"/>
  <c r="I15" i="81" s="1"/>
  <c r="I16" i="81" s="1"/>
  <c r="I17" i="81" s="1"/>
  <c r="H75" i="75"/>
  <c r="I75" i="75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H18" i="81" l="1"/>
  <c r="H38" i="81" s="1"/>
  <c r="I18" i="81"/>
  <c r="I19" i="81" s="1"/>
  <c r="I20" i="81" s="1"/>
  <c r="I21" i="81" s="1"/>
  <c r="I22" i="81" s="1"/>
  <c r="I23" i="81" s="1"/>
  <c r="I24" i="81" s="1"/>
  <c r="I25" i="81" s="1"/>
  <c r="I26" i="81" s="1"/>
  <c r="I38" i="81"/>
  <c r="C19" i="34" s="1"/>
  <c r="D40" i="81" l="1"/>
  <c r="G277" i="77"/>
  <c r="G278" i="77"/>
  <c r="G279" i="77"/>
  <c r="G280" i="77"/>
  <c r="G281" i="77"/>
  <c r="G283" i="77"/>
  <c r="G284" i="77"/>
  <c r="G285" i="77"/>
  <c r="G286" i="77"/>
  <c r="G287" i="77"/>
  <c r="G288" i="77"/>
  <c r="F39" i="78" l="1"/>
  <c r="F38" i="78"/>
  <c r="G104" i="59" l="1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19" i="34" l="1"/>
  <c r="E25" i="34"/>
  <c r="E18" i="34"/>
  <c r="A19" i="34"/>
  <c r="A20" i="34"/>
  <c r="A25" i="34"/>
  <c r="A18" i="34"/>
  <c r="E4" i="34"/>
  <c r="E5" i="34"/>
  <c r="E6" i="34"/>
  <c r="E7" i="34"/>
  <c r="E8" i="34"/>
  <c r="E9" i="34"/>
  <c r="E13" i="34"/>
  <c r="A4" i="34"/>
  <c r="A5" i="34"/>
  <c r="A6" i="34"/>
  <c r="A7" i="34"/>
  <c r="A8" i="34"/>
  <c r="A3" i="34"/>
  <c r="G39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311" i="77"/>
  <c r="G311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K97" i="75"/>
  <c r="I97" i="75"/>
  <c r="H97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101" i="75"/>
  <c r="C315" i="77"/>
  <c r="I14" i="76" l="1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12" i="77" s="1"/>
  <c r="G30" i="76"/>
  <c r="I14" i="78"/>
  <c r="I15" i="78" s="1"/>
  <c r="I16" i="78" s="1"/>
  <c r="I17" i="78" s="1"/>
  <c r="H18" i="78" s="1"/>
  <c r="I18" i="78" s="1"/>
  <c r="I20" i="78" s="1"/>
  <c r="I98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12" i="77"/>
  <c r="G49" i="78"/>
  <c r="I312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2" i="76"/>
  <c r="I23" i="76" s="1"/>
  <c r="I24" i="76" s="1"/>
  <c r="J25" i="75"/>
  <c r="H21" i="78"/>
  <c r="I21" i="78" s="1"/>
  <c r="I22" i="78" s="1"/>
  <c r="E314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98" i="75" s="1"/>
  <c r="K98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E100" i="75"/>
  <c r="H37" i="78"/>
  <c r="H49" i="78" s="1"/>
  <c r="I49" i="78" s="1"/>
  <c r="C7" i="34" s="1"/>
  <c r="I37" i="78"/>
  <c r="I38" i="78" s="1"/>
  <c r="I39" i="78" s="1"/>
  <c r="I40" i="78" s="1"/>
  <c r="E51" i="78" l="1"/>
  <c r="C52" i="78"/>
  <c r="E16" i="74" l="1"/>
  <c r="E19" i="74"/>
  <c r="D4" i="74"/>
  <c r="D19" i="74" s="1"/>
  <c r="H106" i="64" l="1"/>
  <c r="F106" i="64"/>
  <c r="H105" i="64"/>
  <c r="F105" i="64"/>
  <c r="H104" i="64"/>
  <c r="F104" i="64"/>
  <c r="I104" i="64" s="1"/>
  <c r="H103" i="64"/>
  <c r="F103" i="64"/>
  <c r="I106" i="64" l="1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3" i="49"/>
  <c r="G124" i="49"/>
  <c r="G125" i="49"/>
  <c r="G129" i="49"/>
  <c r="G130" i="49"/>
  <c r="G131" i="49"/>
  <c r="G132" i="49"/>
  <c r="G133" i="49"/>
  <c r="G134" i="49"/>
  <c r="G135" i="49"/>
  <c r="G136" i="49"/>
  <c r="I136" i="49"/>
  <c r="H81" i="59" l="1"/>
  <c r="I110" i="59"/>
  <c r="I111" i="59"/>
  <c r="I112" i="59"/>
  <c r="I113" i="59"/>
  <c r="I114" i="59"/>
  <c r="I115" i="59"/>
  <c r="I116" i="59" s="1"/>
  <c r="C18" i="34" s="1"/>
  <c r="G92" i="59" l="1"/>
  <c r="G90" i="59"/>
  <c r="G26" i="34" l="1"/>
  <c r="G88" i="59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27" i="50"/>
  <c r="F126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6" i="49"/>
  <c r="I15" i="34"/>
  <c r="H17" i="64" l="1"/>
  <c r="F44" i="64"/>
  <c r="F54" i="64"/>
  <c r="F61" i="64"/>
  <c r="G15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5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6" i="3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H106" i="59" l="1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H157" i="49" s="1"/>
  <c r="I157" i="49" s="1"/>
  <c r="G3" i="34" s="1"/>
  <c r="I128" i="49"/>
  <c r="I129" i="49" s="1"/>
  <c r="I130" i="49" s="1"/>
  <c r="I131" i="49" s="1"/>
  <c r="I132" i="49" s="1"/>
  <c r="I133" i="49" s="1"/>
  <c r="I134" i="49" s="1"/>
  <c r="I135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E88" i="50" l="1"/>
  <c r="F88" i="50" s="1"/>
  <c r="F89" i="50" s="1"/>
  <c r="F90" i="50" s="1"/>
  <c r="E91" i="50" s="1"/>
  <c r="A42" i="34" a="1"/>
  <c r="A42" i="34" s="1"/>
  <c r="F91" i="50" l="1"/>
  <c r="F92" i="50" s="1"/>
  <c r="F93" i="50" s="1"/>
  <c r="C43" i="34"/>
  <c r="E94" i="50" l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/>
  <c r="F102" i="50" s="1"/>
  <c r="F103" i="50" s="1"/>
  <c r="F104" i="50" s="1"/>
  <c r="E105" i="50" l="1"/>
  <c r="F105" i="50"/>
  <c r="F106" i="50" s="1"/>
  <c r="F107" i="50" s="1"/>
  <c r="E108" i="50" l="1"/>
  <c r="F108" i="50" s="1"/>
  <c r="F109" i="50" s="1"/>
  <c r="F110" i="50" s="1"/>
  <c r="E111" i="50" s="1"/>
  <c r="F111" i="50" s="1"/>
  <c r="F112" i="50" s="1"/>
  <c r="F113" i="50" s="1"/>
  <c r="F114" i="50" s="1"/>
  <c r="F115" i="50" s="1"/>
  <c r="E116" i="50" s="1"/>
  <c r="F116" i="50" s="1"/>
  <c r="E127" i="50"/>
  <c r="F127" i="50" s="1"/>
  <c r="G4" i="34" s="1"/>
  <c r="G14" i="34" s="1"/>
</calcChain>
</file>

<file path=xl/sharedStrings.xml><?xml version="1.0" encoding="utf-8"?>
<sst xmlns="http://schemas.openxmlformats.org/spreadsheetml/2006/main" count="7429" uniqueCount="2177">
  <si>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</si>
  <si>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</si>
  <si>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</si>
  <si>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</si>
  <si>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</si>
  <si>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</si>
  <si>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</si>
  <si>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</si>
  <si>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</si>
  <si>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</si>
  <si>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</si>
  <si>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</si>
  <si>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</si>
  <si>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</si>
  <si>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</si>
  <si>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</si>
  <si>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</si>
  <si>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</si>
  <si>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</si>
  <si>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</si>
  <si>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</si>
  <si>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</si>
  <si>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</si>
  <si>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</si>
  <si>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</si>
  <si>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</si>
  <si>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</si>
  <si>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</si>
  <si>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</si>
  <si>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</si>
  <si>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</si>
  <si>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</si>
  <si>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</si>
  <si>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</si>
  <si>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</si>
  <si>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</si>
  <si>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</si>
  <si>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</si>
  <si>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</si>
  <si>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</si>
  <si>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</si>
  <si>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</si>
  <si>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</si>
  <si>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</si>
  <si>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</si>
  <si>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</si>
  <si>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</si>
  <si>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</si>
  <si>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</si>
  <si>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</si>
  <si>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</si>
  <si>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</si>
  <si>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</si>
  <si>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</si>
  <si>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</si>
  <si>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</si>
  <si>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</si>
  <si>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</si>
  <si>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</si>
  <si>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</si>
  <si>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</si>
  <si>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</si>
  <si>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</si>
  <si>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</si>
  <si>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</si>
  <si>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</si>
  <si>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</si>
  <si>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</si>
  <si>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</si>
  <si>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</si>
  <si>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</si>
  <si>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</si>
  <si>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</si>
  <si>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</si>
  <si>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</si>
  <si>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</si>
  <si>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</si>
  <si>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</si>
  <si>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</si>
  <si>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</si>
  <si>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</si>
  <si>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</si>
  <si>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</si>
  <si>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</si>
  <si>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</si>
  <si>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</si>
  <si>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</si>
  <si>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</si>
  <si>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</si>
  <si>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</si>
  <si>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</si>
  <si>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</si>
  <si>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</si>
  <si>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</si>
  <si>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</si>
  <si>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</si>
  <si>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</si>
  <si>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</si>
  <si>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</si>
  <si>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</si>
  <si>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</si>
  <si>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</si>
  <si>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</si>
  <si>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</si>
  <si>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</si>
  <si>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</si>
  <si>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</si>
  <si>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</si>
  <si>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</si>
  <si>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</si>
  <si>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</si>
  <si>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</si>
  <si>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</si>
  <si>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</si>
  <si>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</si>
  <si>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</si>
  <si>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</si>
  <si>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</si>
  <si>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</si>
  <si>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</si>
  <si>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</si>
  <si>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</si>
  <si>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</si>
  <si>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</si>
  <si>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</si>
  <si>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</si>
  <si>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</si>
  <si>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</si>
  <si>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</si>
  <si>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</si>
  <si>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</si>
  <si>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</si>
  <si>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</si>
  <si>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</si>
  <si>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</si>
  <si>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</si>
  <si>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</si>
  <si>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</si>
  <si>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</si>
  <si>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</si>
  <si>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</si>
  <si>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</si>
  <si>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</si>
  <si>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</si>
  <si>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</si>
  <si>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</si>
  <si>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</si>
  <si>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</si>
  <si>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</si>
  <si>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</si>
  <si>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</si>
  <si>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</si>
  <si>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</si>
  <si>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</si>
  <si>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</si>
  <si>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</si>
  <si>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</si>
  <si>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</si>
  <si>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</si>
  <si>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</si>
  <si>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</si>
  <si>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</si>
  <si>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</si>
  <si>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</si>
  <si>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</si>
  <si>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</si>
  <si>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</si>
  <si>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</si>
  <si>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</si>
  <si>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</si>
  <si>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</si>
  <si>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</si>
  <si>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</si>
  <si>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</si>
  <si>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</si>
  <si>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</si>
  <si>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</si>
  <si>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</si>
  <si>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</si>
  <si>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</si>
  <si>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</si>
  <si>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</si>
  <si>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</si>
  <si>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</si>
  <si>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</si>
  <si>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</si>
  <si>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</si>
  <si>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</si>
  <si>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</si>
  <si>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</si>
  <si>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</si>
  <si>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</si>
  <si>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</si>
  <si>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</si>
  <si>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</si>
  <si>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</si>
  <si>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</si>
  <si>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</si>
  <si>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</si>
  <si>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</si>
  <si>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</si>
  <si>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</si>
  <si>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</si>
  <si>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</si>
  <si>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</si>
  <si>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</si>
  <si>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</si>
  <si>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</si>
  <si>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</si>
  <si>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</si>
  <si>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</si>
  <si>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</si>
  <si>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</si>
  <si>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</si>
  <si>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</si>
  <si>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</si>
  <si>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</si>
  <si>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</si>
  <si>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</si>
  <si>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</si>
  <si>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</si>
  <si>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</si>
  <si>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</si>
  <si>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</si>
  <si>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</si>
  <si>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</si>
  <si>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</si>
  <si>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</si>
  <si>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</si>
  <si>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</si>
  <si>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</si>
  <si>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</si>
  <si>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</si>
  <si>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</si>
  <si>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</si>
  <si>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</si>
  <si>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</si>
  <si>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</si>
  <si>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</si>
  <si>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</si>
  <si>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</si>
  <si>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</si>
  <si>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</si>
  <si>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</si>
  <si>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</si>
  <si>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</si>
  <si>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</si>
  <si>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</si>
  <si>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</si>
  <si>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</si>
  <si>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</si>
  <si>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</si>
  <si>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</si>
  <si>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</si>
  <si>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</si>
  <si>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</si>
  <si>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</si>
  <si>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</si>
  <si>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</si>
  <si>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</si>
  <si>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</si>
  <si>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</si>
  <si>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</si>
  <si>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</si>
  <si>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</si>
  <si>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</si>
  <si>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</si>
  <si>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</si>
  <si>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</si>
  <si>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</si>
  <si>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</si>
  <si>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</si>
  <si>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</si>
  <si>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</si>
  <si>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</si>
  <si>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</si>
  <si>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</si>
  <si>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</si>
  <si>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</si>
  <si>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</si>
  <si>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</si>
  <si>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</si>
  <si>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</si>
  <si>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</si>
  <si>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</si>
  <si>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</si>
  <si>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</si>
  <si>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</si>
  <si>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</si>
  <si>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</si>
  <si>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</si>
  <si>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</si>
  <si>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</si>
  <si>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</si>
  <si>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</si>
  <si>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</si>
  <si>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</si>
  <si>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</si>
  <si>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</si>
  <si>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</si>
  <si>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</si>
  <si>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</si>
  <si>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</si>
  <si>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</si>
  <si>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</si>
  <si>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</si>
  <si>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</si>
  <si>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</si>
  <si>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</si>
  <si>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</si>
  <si>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</si>
  <si>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</si>
  <si>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</si>
  <si>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</si>
  <si>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</si>
  <si>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</si>
  <si>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</si>
  <si>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</si>
  <si>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</si>
  <si>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</si>
  <si>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</si>
  <si>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</si>
  <si>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</si>
  <si>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</si>
  <si>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</si>
  <si>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</si>
  <si>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</si>
  <si>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</si>
  <si>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</si>
  <si>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</si>
  <si>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</si>
  <si>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</si>
  <si>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</si>
  <si>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</si>
  <si>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</si>
  <si>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</si>
  <si>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</si>
  <si>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</si>
  <si>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</si>
  <si>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</si>
  <si>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</si>
  <si>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</si>
  <si>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</si>
  <si>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</si>
  <si>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</si>
  <si>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</si>
  <si>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</si>
  <si>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</si>
  <si>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</si>
  <si>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</si>
  <si>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</si>
  <si>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</si>
  <si>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</si>
  <si>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</si>
  <si>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</si>
  <si>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</si>
  <si>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</si>
  <si>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</si>
  <si>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</si>
  <si>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</si>
  <si>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</si>
  <si>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</si>
  <si>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</si>
  <si>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</si>
  <si>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</si>
  <si>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</si>
  <si>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</si>
  <si>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</si>
  <si>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</si>
  <si>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</si>
  <si>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</si>
  <si>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</si>
  <si>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</si>
  <si>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</si>
  <si>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</si>
  <si>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</si>
  <si>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</si>
  <si>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</si>
  <si>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</si>
  <si>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</si>
  <si>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</si>
  <si>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</si>
  <si>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</si>
  <si>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</si>
  <si>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</si>
  <si>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</si>
  <si>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</si>
  <si>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</si>
  <si>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</si>
  <si>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</si>
  <si>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</si>
  <si>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</si>
  <si>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</si>
  <si>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</si>
  <si>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</si>
  <si>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</si>
  <si>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</si>
  <si>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</si>
  <si>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</si>
  <si>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</si>
  <si>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</si>
  <si>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</si>
  <si>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</si>
  <si>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</si>
  <si>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</si>
  <si>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</si>
  <si>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</si>
  <si>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</si>
  <si>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</si>
  <si>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</si>
  <si>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</si>
  <si>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</si>
  <si>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</si>
  <si>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</si>
  <si>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</si>
  <si>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</si>
  <si>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</si>
  <si>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</si>
  <si>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</si>
  <si>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</si>
  <si>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</si>
  <si>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</si>
  <si>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</si>
  <si>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</si>
  <si>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</si>
  <si>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</si>
  <si>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</si>
  <si>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</si>
  <si>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</si>
  <si>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</si>
  <si>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</si>
  <si>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</si>
  <si>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</si>
  <si>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</si>
  <si>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</si>
  <si>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</si>
  <si>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</si>
  <si>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</si>
  <si>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</si>
  <si>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</si>
  <si>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</si>
  <si>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</si>
  <si>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</si>
  <si>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</si>
  <si>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</si>
  <si>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</si>
  <si>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</si>
  <si>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</si>
  <si>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</si>
  <si>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</si>
  <si>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</si>
  <si>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</si>
  <si>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</si>
  <si>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</si>
  <si>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</si>
  <si>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</si>
  <si>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</si>
  <si>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</si>
  <si>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</si>
  <si>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</si>
  <si>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</si>
  <si>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</si>
  <si>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</si>
  <si>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</si>
  <si>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</si>
  <si>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</si>
  <si>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</si>
  <si>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</si>
  <si>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</si>
  <si>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</si>
  <si>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</si>
  <si>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</si>
  <si>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</si>
  <si>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</si>
  <si>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</si>
  <si>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</si>
  <si>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</si>
  <si>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</si>
  <si>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</si>
  <si>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</si>
  <si>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</si>
  <si>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</si>
  <si>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</si>
  <si>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</si>
  <si>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</si>
  <si>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</si>
  <si>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</si>
  <si>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</si>
  <si>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</si>
  <si>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</si>
  <si>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</si>
  <si>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</si>
  <si>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</si>
  <si>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</si>
  <si>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</si>
  <si>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</si>
  <si>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</si>
  <si>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</si>
  <si>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</si>
  <si>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</si>
  <si>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</si>
  <si>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</si>
  <si>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</si>
  <si>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</si>
  <si>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</si>
  <si>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</si>
  <si>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</si>
  <si>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</si>
  <si>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</si>
  <si>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</si>
  <si>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</si>
  <si>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</si>
  <si>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</si>
  <si>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</si>
  <si>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</si>
  <si>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</si>
  <si>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</si>
  <si>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</si>
  <si>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</si>
  <si>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</si>
  <si>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</si>
  <si>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</si>
  <si>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</si>
  <si>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</si>
  <si>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</si>
  <si>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</si>
  <si>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</si>
  <si>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</si>
  <si>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</si>
  <si>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</si>
  <si>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</si>
  <si>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</si>
  <si>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</si>
  <si>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</si>
  <si>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</si>
  <si>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</si>
  <si>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</si>
  <si>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</si>
  <si>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</si>
  <si>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</si>
  <si>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</si>
  <si>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</si>
  <si>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</si>
  <si>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</si>
  <si>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</si>
  <si>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</si>
  <si>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</si>
  <si>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</si>
  <si>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</si>
  <si>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</si>
  <si>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</si>
  <si>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</si>
  <si>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</si>
  <si>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</si>
  <si>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</si>
  <si>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</si>
  <si>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</si>
  <si>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</si>
  <si>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</si>
  <si>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</si>
  <si>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</si>
  <si>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</si>
  <si>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</si>
  <si>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</si>
  <si>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</si>
  <si>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</si>
  <si>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</si>
  <si>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</si>
  <si>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</si>
  <si>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</si>
  <si>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</si>
  <si>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</si>
  <si>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</si>
  <si>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</si>
  <si>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</si>
  <si>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</si>
  <si>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</si>
  <si>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</si>
  <si>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</si>
  <si>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</si>
  <si>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</si>
  <si>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</si>
  <si>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</si>
  <si>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</si>
  <si>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</si>
  <si>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</si>
  <si>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</si>
  <si>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</si>
  <si>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</si>
  <si>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</si>
  <si>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</si>
  <si>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</si>
  <si>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</si>
  <si>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</si>
  <si>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</si>
  <si>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</si>
  <si>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</si>
  <si>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</si>
  <si>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</si>
  <si>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</si>
  <si>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</si>
  <si>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</si>
  <si>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</si>
  <si>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</si>
  <si>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</si>
  <si>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</si>
  <si>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</si>
  <si>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</si>
  <si>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</si>
  <si>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</si>
  <si>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</si>
  <si>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</si>
  <si>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</si>
  <si>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</si>
  <si>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</si>
  <si>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</si>
  <si>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</si>
  <si>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</si>
  <si>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</si>
  <si>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</si>
  <si>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</si>
  <si>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</si>
  <si>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</si>
  <si>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</si>
  <si>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</si>
  <si>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</si>
  <si>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</si>
  <si>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</si>
  <si>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</si>
  <si>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</si>
  <si>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</si>
  <si>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</si>
  <si>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</si>
  <si>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</si>
  <si>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</si>
  <si>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</si>
  <si>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</si>
  <si>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</si>
  <si>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</si>
  <si>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</si>
  <si>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</si>
  <si>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</si>
  <si>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</si>
  <si>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</si>
  <si>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</si>
  <si>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</si>
  <si>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</si>
  <si>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</si>
  <si>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</si>
  <si>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</si>
  <si>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</si>
  <si>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</si>
  <si>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</si>
  <si>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</si>
  <si>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</si>
  <si>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</si>
  <si>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</si>
  <si>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</si>
  <si>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</si>
  <si>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</si>
  <si>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</si>
  <si>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</si>
  <si>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</si>
  <si>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</si>
  <si>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</si>
  <si>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</si>
  <si>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</si>
  <si>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</si>
  <si>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</si>
  <si>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</si>
  <si>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</si>
  <si>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</si>
  <si>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</si>
  <si>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</si>
  <si>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</si>
  <si>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</si>
  <si>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</si>
  <si>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</si>
  <si>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</si>
  <si>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</si>
  <si>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</si>
  <si>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</si>
  <si>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</si>
  <si>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</si>
  <si>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</si>
  <si>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</si>
  <si>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</si>
  <si>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</si>
  <si>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</si>
  <si>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</si>
  <si>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</si>
  <si>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</si>
  <si>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</si>
  <si>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</si>
  <si>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</si>
  <si>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</si>
  <si>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</si>
  <si>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</si>
  <si>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</si>
  <si>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</si>
  <si>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</si>
  <si>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</si>
  <si>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</si>
  <si>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</si>
  <si>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</si>
  <si>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</si>
  <si>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</si>
  <si>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</si>
  <si>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</si>
  <si>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</si>
  <si>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</si>
  <si>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</si>
  <si>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</si>
  <si>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</si>
  <si>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</si>
  <si>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</si>
  <si>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</si>
  <si>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</si>
  <si>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</si>
  <si>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</si>
  <si>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</si>
  <si>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</si>
  <si>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</si>
  <si>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</si>
  <si>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</si>
  <si>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</si>
  <si>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</si>
  <si>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</si>
  <si>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</si>
  <si>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</si>
  <si>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</si>
  <si>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</si>
  <si>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</si>
  <si>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</si>
  <si>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</si>
  <si>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</si>
  <si>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</si>
  <si>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</si>
  <si>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</si>
  <si>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</si>
  <si>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</si>
  <si>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</si>
  <si>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</si>
  <si>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</si>
  <si>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</si>
  <si>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</si>
  <si>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</si>
  <si>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</si>
  <si>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</si>
  <si>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</si>
  <si>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</si>
  <si>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</si>
  <si>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</si>
  <si>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</si>
  <si>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</si>
  <si>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</si>
  <si>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</si>
  <si>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</si>
  <si>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</si>
  <si>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</si>
  <si>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</si>
  <si>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</si>
  <si>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</si>
  <si>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</si>
  <si>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</si>
  <si>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</si>
  <si>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</si>
  <si>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</si>
  <si>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</si>
  <si>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</si>
  <si>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</si>
  <si>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</si>
  <si>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</si>
  <si>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</si>
  <si>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</si>
  <si>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</si>
  <si>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</si>
  <si>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</si>
  <si>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</si>
  <si>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</si>
  <si>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</si>
  <si>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</si>
  <si>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</si>
  <si>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</si>
  <si>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</si>
  <si>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</si>
  <si>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</si>
  <si>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</si>
  <si>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</si>
  <si>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</si>
  <si>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</si>
  <si>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</si>
  <si>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</si>
  <si>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</si>
  <si>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</si>
  <si>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</si>
  <si>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</si>
  <si>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</si>
  <si>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</si>
  <si>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</si>
  <si>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</si>
  <si>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</si>
  <si>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</si>
  <si>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</si>
  <si>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</si>
  <si>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</si>
  <si>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</si>
  <si>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</si>
  <si>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</si>
  <si>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</si>
  <si>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</si>
  <si>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</si>
  <si>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</si>
  <si>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</si>
  <si>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</si>
  <si>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</si>
  <si>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</si>
  <si>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</si>
  <si>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</si>
  <si>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</si>
  <si>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</si>
  <si>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</si>
  <si>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</si>
  <si>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</si>
  <si>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</si>
  <si>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</si>
  <si>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</si>
  <si>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</si>
  <si>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</si>
  <si>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</si>
  <si>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</si>
  <si>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</si>
  <si>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</si>
  <si>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</si>
  <si>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</si>
  <si>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</si>
  <si>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</si>
  <si>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</si>
  <si>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</si>
  <si>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</si>
  <si>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</si>
  <si>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</si>
  <si>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</si>
  <si>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</si>
  <si>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</si>
  <si>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</si>
  <si>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</si>
  <si>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</si>
  <si>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</si>
  <si>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</si>
  <si>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</si>
  <si>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</si>
  <si>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</si>
  <si>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</si>
  <si>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</si>
  <si>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</si>
  <si>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</si>
  <si>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</si>
  <si>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</si>
  <si>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</si>
  <si>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</si>
  <si>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</si>
  <si>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</si>
  <si>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</si>
  <si>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</si>
  <si>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</si>
  <si>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</si>
  <si>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</si>
  <si>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</si>
  <si>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</si>
  <si>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</si>
  <si>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</si>
  <si>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</si>
  <si>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</si>
  <si>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</si>
  <si>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</si>
  <si>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</si>
  <si>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</si>
  <si>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</si>
  <si>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</si>
  <si>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</si>
  <si>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</si>
  <si>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</si>
  <si>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</si>
  <si>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</si>
  <si>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</si>
  <si>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</si>
  <si>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</si>
  <si>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</si>
  <si>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</si>
  <si>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</si>
  <si>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</si>
  <si>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</si>
  <si>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</si>
  <si>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</si>
  <si>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</si>
  <si>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</si>
  <si>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</si>
  <si>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</si>
  <si>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</si>
  <si>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</si>
  <si>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</si>
  <si>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</si>
  <si>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</si>
  <si>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</si>
  <si>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</si>
  <si>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</si>
  <si>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</si>
  <si>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</si>
  <si>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</si>
  <si>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</si>
  <si>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</si>
  <si>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</si>
  <si>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</si>
  <si>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</si>
  <si>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</si>
  <si>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</si>
  <si>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</si>
  <si>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</si>
  <si>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</si>
  <si>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</si>
  <si>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</si>
  <si>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</si>
  <si>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</si>
  <si>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</si>
  <si>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</si>
  <si>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</si>
  <si>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</si>
  <si>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</si>
  <si>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</si>
  <si>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</si>
  <si>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</si>
  <si>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</si>
  <si>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</si>
  <si>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</si>
  <si>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</si>
  <si>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</si>
  <si>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</si>
  <si>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</si>
  <si>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</si>
  <si>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</si>
  <si>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</si>
  <si>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</si>
  <si>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</si>
  <si>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</si>
  <si>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</si>
  <si>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</si>
  <si>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</si>
  <si>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</si>
  <si>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</si>
  <si>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</si>
  <si>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</si>
  <si>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</si>
  <si>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</si>
  <si>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</si>
  <si>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</si>
  <si>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</si>
  <si>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</si>
  <si>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</si>
  <si>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</si>
  <si>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</si>
  <si>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</si>
  <si>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</si>
  <si>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</si>
  <si>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</si>
  <si>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</si>
  <si>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</si>
  <si>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</si>
  <si>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</si>
  <si>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</si>
  <si>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</si>
  <si>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</si>
  <si>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</si>
  <si>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</si>
  <si>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</si>
  <si>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</si>
  <si>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</si>
  <si>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</si>
  <si>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</si>
  <si>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</si>
  <si>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</si>
  <si>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</si>
  <si>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</si>
  <si>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</si>
  <si>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</si>
  <si>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</si>
  <si>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</si>
  <si>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</si>
  <si>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</si>
  <si>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</si>
  <si>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</si>
  <si>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</si>
  <si>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</si>
  <si>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</si>
  <si>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</si>
  <si>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</si>
  <si>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</si>
  <si>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</si>
  <si>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</si>
  <si>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</si>
  <si>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</si>
  <si>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</si>
  <si>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</si>
  <si>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</si>
  <si>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</si>
  <si>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</si>
  <si>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</si>
  <si>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</si>
  <si>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</si>
  <si>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</si>
  <si>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</si>
  <si>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</si>
  <si>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</si>
  <si>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</si>
  <si>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</si>
  <si>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</si>
  <si>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</si>
  <si>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</si>
  <si>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</si>
  <si>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</si>
  <si>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</si>
  <si>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</si>
  <si>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</si>
  <si>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</si>
  <si>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</si>
  <si>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</si>
  <si>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</si>
  <si>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</si>
  <si>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</si>
  <si>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</si>
  <si>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</si>
  <si>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</si>
  <si>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</si>
  <si>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</si>
  <si>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</si>
  <si>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</si>
  <si>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</si>
  <si>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</si>
  <si>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</si>
  <si>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</si>
  <si>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</si>
  <si>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</si>
  <si>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</si>
  <si>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</si>
  <si>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</si>
  <si>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</si>
  <si>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</si>
  <si>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</si>
  <si>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</si>
  <si>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</si>
  <si>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</si>
  <si>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</si>
  <si>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</si>
  <si>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</si>
  <si>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</si>
  <si>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</si>
  <si>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</si>
  <si>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</si>
  <si>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</si>
  <si>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</si>
  <si>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</si>
  <si>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</si>
  <si>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</si>
  <si>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</si>
  <si>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</si>
  <si>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</si>
  <si>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</si>
  <si>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</si>
  <si>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</si>
  <si>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</si>
  <si>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</si>
  <si>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</si>
  <si>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</si>
  <si>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</si>
  <si>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</si>
  <si>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</si>
  <si>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</si>
  <si>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</si>
  <si>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</si>
  <si>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</si>
  <si>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</si>
  <si>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</si>
  <si>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</si>
  <si>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</si>
  <si>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</si>
  <si>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</si>
  <si>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</si>
  <si>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</si>
  <si>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</si>
  <si>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</si>
  <si>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</si>
  <si>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</si>
  <si>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</si>
  <si>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</si>
  <si>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</si>
  <si>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</si>
  <si>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</si>
  <si>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</si>
  <si>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</si>
  <si>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</si>
  <si>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</si>
  <si>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</si>
  <si>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</si>
  <si>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</si>
  <si>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</si>
  <si>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</si>
  <si>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</si>
  <si>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</si>
  <si>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</si>
  <si>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</si>
  <si>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</si>
  <si>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</si>
  <si>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</si>
  <si>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</si>
  <si>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</si>
  <si>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</si>
  <si>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</si>
  <si>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</si>
  <si>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</si>
  <si>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</si>
  <si>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</si>
  <si>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</si>
  <si>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</si>
  <si>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</si>
  <si>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</si>
  <si>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</si>
  <si>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</si>
  <si>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</si>
  <si>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</si>
  <si>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</si>
  <si>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</si>
  <si>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</si>
  <si>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</si>
  <si>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</si>
  <si>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</si>
  <si>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</si>
  <si>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</si>
  <si>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</si>
  <si>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</si>
  <si>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</si>
  <si>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</si>
  <si>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</si>
  <si>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</si>
  <si>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</si>
  <si>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</si>
  <si>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</si>
  <si>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</si>
  <si>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</si>
  <si>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</si>
  <si>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</si>
  <si>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</si>
  <si>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</si>
  <si>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</si>
  <si>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</si>
  <si>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</si>
  <si>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</si>
  <si>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</si>
  <si>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</si>
  <si>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</si>
  <si>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</si>
  <si>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</si>
  <si>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</si>
  <si>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</si>
  <si>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</si>
  <si>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</si>
  <si>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</si>
  <si>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</si>
  <si>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</si>
  <si>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</si>
  <si>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</si>
  <si>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</si>
  <si>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</si>
  <si>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</si>
  <si>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</si>
  <si>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</si>
  <si>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</si>
  <si>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</si>
  <si>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</si>
  <si>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</si>
  <si>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</si>
  <si>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</si>
  <si>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</si>
  <si>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</si>
  <si>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</si>
  <si>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</si>
  <si>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</si>
  <si>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</si>
  <si>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</si>
  <si>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</si>
  <si>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</si>
  <si>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</si>
  <si>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</si>
  <si>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</si>
  <si>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</si>
  <si>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</si>
  <si>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</si>
  <si>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</si>
  <si>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</si>
  <si>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</si>
  <si>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</si>
  <si>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</si>
  <si>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</si>
  <si>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</si>
  <si>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</si>
  <si>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</si>
  <si>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</si>
  <si>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</si>
  <si>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</si>
  <si>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</si>
  <si>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</si>
  <si>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</si>
  <si>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</si>
  <si>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</si>
  <si>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</si>
  <si>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</si>
  <si>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</si>
  <si>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</si>
  <si>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</si>
  <si>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</si>
  <si>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</si>
  <si>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</si>
  <si>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</si>
  <si>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</si>
  <si>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</si>
  <si>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</si>
  <si>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</si>
  <si>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</si>
  <si>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</si>
  <si>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</si>
  <si>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</si>
  <si>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</si>
  <si>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</si>
  <si>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</si>
  <si>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</si>
  <si>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</si>
  <si>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</si>
  <si>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</si>
  <si>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</si>
  <si>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</si>
  <si>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</si>
  <si>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</si>
  <si>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</si>
  <si>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</si>
  <si>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</si>
  <si>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</si>
  <si>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</si>
  <si>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</si>
  <si>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</si>
  <si>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</si>
  <si>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</si>
  <si>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</si>
  <si>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</si>
  <si>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</si>
  <si>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</si>
  <si>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</si>
  <si>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</si>
  <si>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</si>
  <si>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</si>
  <si>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</si>
  <si>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</si>
  <si>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</si>
  <si>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</si>
  <si>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</si>
  <si>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</si>
  <si>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</si>
  <si>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</si>
  <si>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</si>
  <si>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</si>
  <si>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</si>
  <si>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</si>
  <si>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</si>
  <si>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</si>
  <si>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</si>
  <si>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</si>
  <si>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</si>
  <si>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</si>
  <si>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</si>
  <si>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</si>
  <si>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</si>
  <si>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</si>
  <si>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</si>
  <si>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</si>
  <si>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</si>
  <si>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</si>
  <si>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</si>
  <si>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</si>
  <si>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</si>
  <si>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</si>
  <si>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</si>
  <si>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</si>
  <si>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</si>
  <si>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</si>
  <si>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</si>
  <si>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</si>
  <si>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</si>
  <si>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</si>
  <si>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</si>
  <si>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</si>
  <si>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</si>
  <si>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</si>
  <si>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</si>
  <si>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</si>
  <si>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</si>
  <si>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</si>
  <si>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</si>
  <si>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</si>
  <si>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</si>
  <si>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</si>
  <si>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</si>
  <si>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</si>
  <si>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</si>
  <si>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</si>
  <si>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</si>
  <si>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</si>
  <si>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</si>
  <si>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</si>
  <si>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</si>
  <si>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</si>
  <si>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</si>
  <si>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</si>
  <si>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</si>
  <si>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</si>
  <si>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</si>
  <si>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</si>
  <si>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</si>
  <si>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</si>
  <si>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</si>
  <si>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</si>
  <si>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</si>
  <si>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</si>
  <si>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</si>
  <si>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</si>
  <si>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</si>
  <si>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</si>
  <si>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</si>
  <si>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</si>
  <si>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</si>
  <si>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</si>
  <si>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</si>
  <si>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</si>
  <si>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</si>
  <si>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</si>
  <si>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</si>
  <si>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</si>
  <si>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</si>
  <si>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</si>
  <si>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</si>
  <si>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</si>
  <si>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</si>
  <si>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</si>
  <si>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</si>
  <si>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</si>
  <si>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</si>
  <si>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</si>
  <si>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</si>
  <si>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</si>
  <si>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</si>
  <si>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</si>
  <si>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</si>
  <si>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</si>
  <si>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</si>
  <si>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</si>
  <si>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</si>
  <si>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</si>
  <si>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</si>
  <si>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</si>
  <si>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</si>
  <si>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</si>
  <si>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</si>
  <si>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</si>
  <si>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</si>
  <si>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</si>
  <si>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</si>
  <si>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</si>
  <si>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</si>
  <si>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</si>
  <si>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</si>
  <si>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</si>
  <si>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</si>
  <si>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</si>
  <si>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</si>
  <si>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</si>
  <si>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</si>
  <si>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</si>
  <si>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</si>
  <si>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</si>
  <si>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</si>
  <si>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</si>
  <si>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</si>
  <si>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</si>
  <si>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</si>
  <si>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</si>
  <si>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</si>
  <si>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</si>
  <si>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</si>
  <si>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</si>
  <si>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</si>
  <si>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</si>
  <si>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</si>
  <si>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</si>
  <si>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</si>
  <si>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</si>
  <si>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</si>
  <si>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</si>
  <si>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</si>
  <si>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</si>
  <si>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</si>
  <si>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</si>
  <si>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</si>
  <si>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</si>
  <si>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</si>
  <si>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</si>
  <si>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</si>
  <si>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</si>
  <si>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</si>
  <si>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</si>
  <si>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</si>
  <si>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</si>
  <si>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</si>
  <si>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</si>
  <si>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</si>
  <si>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</si>
  <si>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</si>
  <si>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</si>
  <si>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</si>
  <si>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</si>
  <si>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</si>
  <si>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</si>
  <si>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</si>
  <si>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</si>
  <si>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</si>
  <si>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</si>
  <si>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</si>
  <si>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</si>
  <si>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</si>
  <si>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</si>
  <si>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</si>
  <si>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</si>
  <si>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</si>
  <si>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</si>
  <si>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</si>
  <si>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</si>
  <si>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</si>
  <si>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</si>
  <si>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</si>
  <si>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</si>
  <si>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</si>
  <si>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</si>
  <si>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</si>
  <si>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</si>
  <si>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</si>
  <si>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</si>
  <si>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</si>
  <si>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</si>
  <si>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</si>
  <si>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</si>
  <si>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</si>
  <si>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</si>
  <si>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</si>
  <si>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</si>
  <si>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</si>
  <si>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</si>
  <si>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</si>
  <si>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</si>
  <si>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</si>
  <si>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</si>
  <si>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</si>
  <si>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</si>
  <si>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</si>
  <si>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</si>
  <si>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</si>
  <si>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</si>
  <si>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</si>
  <si>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</si>
  <si>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</si>
  <si>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</si>
  <si>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</si>
  <si>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</si>
  <si>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</si>
  <si>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</si>
  <si>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</si>
  <si>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</si>
  <si>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</si>
  <si>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</si>
  <si>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</si>
  <si>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</si>
  <si>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</si>
  <si>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</si>
  <si>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</si>
  <si>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</si>
  <si>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</si>
  <si>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</si>
  <si>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</si>
  <si>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</si>
  <si>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</si>
  <si>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</si>
  <si>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</si>
  <si>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</si>
  <si>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</si>
  <si>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</si>
  <si>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</si>
  <si>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</si>
  <si>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</si>
  <si>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</si>
  <si>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</si>
  <si>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</si>
  <si>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</si>
  <si>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</si>
  <si>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</si>
  <si>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</si>
  <si>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</si>
  <si>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</si>
  <si>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</si>
  <si>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</si>
  <si>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</si>
  <si>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</si>
  <si>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</si>
  <si>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</si>
  <si>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</si>
  <si>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</si>
  <si>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</si>
  <si>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</si>
  <si>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</si>
  <si>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</si>
  <si>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</si>
  <si>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</si>
  <si>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</si>
  <si>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</si>
  <si>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</si>
  <si>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</si>
  <si>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</si>
  <si>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</si>
  <si>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</si>
  <si>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</si>
  <si>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</si>
  <si>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</si>
  <si>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</si>
  <si>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</si>
  <si>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</si>
  <si>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</si>
  <si>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</si>
  <si>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</si>
  <si>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</si>
  <si>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</si>
  <si>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</si>
  <si>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</si>
  <si>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</si>
  <si>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</si>
  <si>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</si>
  <si>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</si>
  <si>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</si>
  <si>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</si>
  <si>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</si>
  <si>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</si>
  <si>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</si>
  <si>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</si>
  <si>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</si>
  <si>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</si>
  <si>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</si>
  <si>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</si>
  <si>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</si>
  <si>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</si>
  <si>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</si>
  <si>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</si>
  <si>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</si>
  <si>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</si>
  <si>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</si>
  <si>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</si>
  <si>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</si>
  <si>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</si>
  <si>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</si>
  <si>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</si>
  <si>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</si>
  <si>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</si>
  <si>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</si>
  <si>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</si>
  <si>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</si>
  <si>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</si>
  <si>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</si>
  <si>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</si>
  <si>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</si>
  <si>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</si>
  <si>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</si>
  <si>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</si>
  <si>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</si>
  <si>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</si>
  <si>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</si>
  <si>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</si>
  <si>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</si>
  <si>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</si>
  <si>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</si>
  <si>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</si>
  <si>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</si>
  <si>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</si>
  <si>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</si>
  <si>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</si>
  <si>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</si>
  <si>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</si>
  <si>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</si>
  <si>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</si>
  <si>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</si>
  <si>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</si>
  <si>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</si>
  <si>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</si>
  <si>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</si>
  <si>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</si>
  <si>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</si>
  <si>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</si>
  <si>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</si>
  <si>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</si>
  <si>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</si>
  <si>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</si>
  <si>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</si>
  <si>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</si>
  <si>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</si>
  <si>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</si>
  <si>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</si>
  <si>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</si>
  <si>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</si>
  <si>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</si>
  <si>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</si>
  <si>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</si>
  <si>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</si>
  <si>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</si>
  <si>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</si>
  <si>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</si>
  <si>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</si>
  <si>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</si>
  <si>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</si>
  <si>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</si>
  <si>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</si>
  <si>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</si>
  <si>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</si>
  <si>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</si>
  <si>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</si>
  <si>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</si>
  <si>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</si>
  <si>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</si>
  <si>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</si>
  <si>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</si>
  <si>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</si>
  <si>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</si>
  <si>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</si>
  <si>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</si>
  <si>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</si>
  <si>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</si>
  <si>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</si>
  <si>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</si>
  <si>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</si>
  <si>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</si>
  <si>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</si>
  <si>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</si>
  <si>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</si>
  <si>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</si>
  <si>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</si>
  <si>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</si>
  <si>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</si>
  <si>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</si>
  <si>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</si>
  <si>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</si>
  <si>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</si>
  <si>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</si>
  <si>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</si>
  <si>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</si>
  <si>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</si>
  <si>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</si>
  <si>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</si>
  <si>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</si>
  <si>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</si>
  <si>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</si>
  <si>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</si>
  <si>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</si>
  <si>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</si>
  <si>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</si>
  <si>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</si>
  <si>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</si>
  <si>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</si>
  <si>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</si>
  <si>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</si>
  <si>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</si>
  <si>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</si>
  <si>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</si>
  <si>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</si>
  <si>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</si>
  <si>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</si>
  <si>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</si>
  <si>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</si>
  <si>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</si>
  <si>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</si>
  <si>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</si>
  <si>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</si>
  <si>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</si>
  <si>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</si>
  <si>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</si>
  <si>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</si>
  <si>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</si>
  <si>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</si>
  <si>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</si>
  <si>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</si>
  <si>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</si>
  <si>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</si>
  <si>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</si>
  <si>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</si>
  <si>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</si>
  <si>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</si>
  <si>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</si>
  <si>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</si>
  <si>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</si>
  <si>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</si>
  <si>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</si>
  <si>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</si>
  <si>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</si>
  <si>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</si>
  <si>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</si>
  <si>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</si>
  <si>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</si>
  <si>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</si>
  <si>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</si>
  <si>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</si>
  <si>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</si>
  <si>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</si>
  <si>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</si>
  <si>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</si>
  <si>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</si>
  <si>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</si>
  <si>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</si>
  <si>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</si>
  <si>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</si>
  <si>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</si>
  <si>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</si>
  <si>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</si>
  <si>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</si>
  <si>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</si>
  <si>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</si>
  <si>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</si>
  <si>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</si>
  <si>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</si>
  <si>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</si>
  <si>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</si>
  <si>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</si>
  <si>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</si>
  <si>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</si>
  <si>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</si>
  <si>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</si>
  <si>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</si>
  <si>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</si>
  <si>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</si>
  <si>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</si>
  <si>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</si>
  <si>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</si>
  <si>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</si>
  <si>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</si>
  <si>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</si>
  <si>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</si>
  <si>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</si>
  <si>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</si>
  <si>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</si>
  <si>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</si>
  <si>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</si>
  <si>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</si>
  <si>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</si>
  <si>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</si>
  <si>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</si>
  <si>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</si>
  <si>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</si>
  <si>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</si>
  <si>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</si>
  <si>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</si>
  <si>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</si>
  <si>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</si>
  <si>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</si>
  <si>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</si>
  <si>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</si>
  <si>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</si>
  <si>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</si>
  <si>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</si>
  <si>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</si>
  <si>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</si>
  <si>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</si>
  <si>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</si>
  <si>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</si>
  <si>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</si>
  <si>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</si>
  <si>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</si>
  <si>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</si>
  <si>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</si>
  <si>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</si>
  <si>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</si>
  <si>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</si>
  <si>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</si>
  <si>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</si>
  <si>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</si>
  <si>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</si>
  <si>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</si>
  <si>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</si>
  <si>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</si>
  <si>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</si>
  <si>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</si>
  <si>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</si>
  <si>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</si>
  <si>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</si>
  <si>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</si>
  <si>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</si>
  <si>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</si>
  <si>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</si>
  <si>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</si>
  <si>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</si>
  <si>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</si>
  <si>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</si>
  <si>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</si>
  <si>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</si>
  <si>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</si>
  <si>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</si>
  <si>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</si>
  <si>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</si>
  <si>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</si>
  <si>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</si>
  <si>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</si>
  <si>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</si>
  <si>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</si>
  <si>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</si>
  <si>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</si>
  <si>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</si>
  <si>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</si>
  <si>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</si>
  <si>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</si>
  <si>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</si>
  <si>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</si>
  <si>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</si>
  <si>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</si>
  <si>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</si>
  <si>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</si>
  <si>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</si>
  <si>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</si>
  <si>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</si>
  <si>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</si>
  <si>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</si>
  <si>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</si>
  <si>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</si>
  <si>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</si>
  <si>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</si>
  <si>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</si>
  <si>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</si>
  <si>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</si>
  <si>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</si>
  <si>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</si>
  <si>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</si>
  <si>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</si>
  <si>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</si>
  <si>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</si>
  <si>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</si>
  <si>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</si>
  <si>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</si>
  <si>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</si>
  <si>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</si>
  <si>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</si>
  <si>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</si>
  <si>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</si>
  <si>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</si>
  <si>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</si>
  <si>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</si>
  <si>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</si>
  <si>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</si>
  <si>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</si>
  <si>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</si>
  <si>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</si>
  <si>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</si>
  <si>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</si>
  <si>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</si>
  <si>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</si>
  <si>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</si>
  <si>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</si>
  <si>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</si>
  <si>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</si>
  <si>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</si>
  <si>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</si>
  <si>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</si>
  <si>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</si>
  <si>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</si>
  <si>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</si>
  <si>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</si>
  <si>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</si>
  <si>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</si>
  <si>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</si>
  <si>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</si>
  <si>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</si>
  <si>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</si>
  <si>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</si>
  <si>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</si>
  <si>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</si>
  <si>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</si>
  <si>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</si>
  <si>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</si>
  <si>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</si>
  <si>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</si>
  <si>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</si>
  <si>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</si>
  <si>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</si>
  <si>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</si>
  <si>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</si>
  <si>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</si>
  <si>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</si>
  <si>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</si>
  <si>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</si>
  <si>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</si>
  <si>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</si>
  <si>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</si>
  <si>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</si>
  <si>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</si>
  <si>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</si>
  <si>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</si>
  <si>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</si>
  <si>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</si>
  <si>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</si>
  <si>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</si>
  <si>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</si>
  <si>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</si>
  <si>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</si>
  <si>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</si>
  <si>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</si>
  <si>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</si>
  <si>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</si>
  <si>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</si>
  <si>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</si>
  <si>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</si>
  <si>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</si>
  <si>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</si>
  <si>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</si>
  <si>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</si>
  <si>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</si>
  <si>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</si>
  <si>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</si>
  <si>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</si>
  <si>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</si>
  <si>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</si>
  <si>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</si>
  <si>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</si>
  <si>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</si>
  <si>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</si>
  <si>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</si>
  <si>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</si>
  <si>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</si>
  <si>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</si>
  <si>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</si>
  <si>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</si>
  <si>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</si>
  <si>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</si>
  <si>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</si>
  <si>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</si>
  <si>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</si>
  <si>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</si>
  <si>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</si>
  <si>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</si>
  <si>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</si>
  <si>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</si>
  <si>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</si>
  <si>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</si>
  <si>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</si>
  <si>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</si>
  <si>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</si>
  <si>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</si>
  <si>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</si>
  <si>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</si>
  <si>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</si>
  <si>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</si>
  <si>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</si>
  <si>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</si>
  <si>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</si>
  <si>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</si>
  <si>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</si>
  <si>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</si>
  <si>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</si>
  <si>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</si>
  <si>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</si>
  <si>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</si>
  <si>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</si>
  <si>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</si>
  <si>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</si>
  <si>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</si>
  <si>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</si>
  <si>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</si>
  <si>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</si>
  <si>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</si>
  <si>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</si>
  <si>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</si>
  <si>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</si>
  <si>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</si>
  <si>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</si>
  <si>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</si>
  <si>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</si>
  <si>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BHXH LA 06/2016</t>
  </si>
  <si>
    <t>Xây Dưng Đ &amp; T</t>
  </si>
  <si>
    <t>Công Ty Xăng Dầu Trà Vinh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</si>
  <si>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</si>
  <si>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</si>
  <si>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</si>
  <si>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</si>
  <si>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</si>
  <si>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</si>
  <si>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</si>
  <si>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</si>
  <si>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</si>
  <si>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</si>
  <si>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</si>
  <si>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</si>
  <si>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</si>
  <si>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</si>
  <si>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</si>
  <si>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</si>
  <si>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</si>
  <si>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</si>
  <si>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</si>
  <si>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</si>
  <si>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</si>
  <si>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</si>
  <si>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</si>
  <si>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</si>
  <si>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</si>
  <si>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</si>
  <si>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</si>
  <si>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</si>
  <si>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</si>
  <si>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Ánh dương Vina (Hộp ghẹ)</t>
  </si>
  <si>
    <t>Nước Hải Sơn T6 &amp; 7</t>
  </si>
  <si>
    <t>Tiền điện kỳ 3 T07</t>
  </si>
  <si>
    <t>41.5x34.5x24.5</t>
  </si>
  <si>
    <t>48x32.5x15</t>
  </si>
  <si>
    <t>48x29x10</t>
  </si>
  <si>
    <t>Muối Tân Thành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</si>
  <si>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</si>
  <si>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</si>
  <si>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</si>
  <si>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</si>
  <si>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</si>
  <si>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</si>
  <si>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</si>
  <si>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</si>
  <si>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</si>
  <si>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</si>
  <si>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</si>
  <si>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</si>
  <si>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</si>
  <si>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</si>
  <si>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</si>
  <si>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</si>
  <si>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</si>
  <si>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</si>
  <si>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</si>
  <si>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</si>
  <si>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</si>
  <si>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</si>
  <si>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</si>
  <si>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</si>
  <si>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</si>
  <si>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</si>
  <si>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</si>
  <si>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</si>
  <si>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</si>
  <si>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</si>
  <si>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</si>
  <si>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</si>
  <si>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</si>
  <si>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</si>
  <si>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</si>
  <si>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</si>
  <si>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</si>
  <si>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</si>
  <si>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</si>
  <si>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</si>
  <si>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</si>
  <si>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</si>
  <si>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</si>
  <si>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</si>
  <si>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</si>
  <si>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</si>
  <si>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</si>
  <si>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</si>
  <si>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</si>
  <si>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</si>
  <si>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</si>
  <si>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</si>
  <si>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</si>
  <si>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</si>
  <si>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</si>
  <si>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</si>
  <si>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</si>
  <si>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</si>
  <si>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</si>
  <si>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</si>
  <si>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</si>
  <si>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</si>
  <si>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</si>
  <si>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</si>
  <si>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</si>
  <si>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</si>
  <si>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</si>
  <si>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</si>
  <si>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</si>
  <si>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</si>
  <si>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</si>
  <si>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</si>
  <si>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</si>
  <si>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</si>
  <si>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</si>
  <si>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</si>
  <si>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</si>
  <si>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</si>
  <si>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</si>
  <si>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</si>
  <si>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</si>
  <si>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</si>
  <si>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</si>
  <si>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</si>
  <si>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</si>
  <si>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</si>
  <si>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</si>
  <si>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</si>
  <si>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</si>
  <si>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</si>
  <si>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</si>
  <si>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</si>
  <si>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</si>
  <si>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</si>
  <si>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</si>
  <si>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</si>
  <si>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</si>
  <si>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</si>
  <si>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</si>
  <si>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</si>
  <si>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</si>
  <si>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</si>
  <si>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</si>
  <si>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</si>
  <si>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</si>
  <si>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</si>
  <si>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</si>
  <si>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Tiền Code AL</t>
  </si>
  <si>
    <t>Phí kiểm hàng (kiểm nghiệm Nafi)</t>
  </si>
  <si>
    <t>Phí chiếu xạ, hàng mẫu</t>
  </si>
  <si>
    <t>Phí cấp Health &amp; CO</t>
  </si>
  <si>
    <t>Tiền tàu (container : 680USD)</t>
  </si>
  <si>
    <t>Phí Chứng từ (Bill,THC,Seal)</t>
  </si>
  <si>
    <t>Phí xe kéo cont nội địa (nâng hạ)</t>
  </si>
  <si>
    <t>VNĐ/Kg =</t>
  </si>
  <si>
    <t>Phí chuyển Bill Surrender</t>
  </si>
  <si>
    <t>Phí gửi bộ chứng từ qua Trung Quốc</t>
  </si>
  <si>
    <t>Phi lưu kho</t>
  </si>
  <si>
    <t>Phí lưu kho:</t>
  </si>
  <si>
    <t>Cá cơm</t>
  </si>
  <si>
    <t>Số ngày LK</t>
  </si>
  <si>
    <t>ĐƠN GIÁ tấn/ngày</t>
  </si>
  <si>
    <t>CHI PHÍ XUAÁT HAØNG - CAÙ CÔM - SHOUSHAN (Cont 1,2,3,4 - 05&amp;12/08/16)</t>
  </si>
  <si>
    <t>Phí bốc xếp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</si>
  <si>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</si>
  <si>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</si>
  <si>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</si>
  <si>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</si>
  <si>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</si>
  <si>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</si>
  <si>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Phí dv, kiểm dịch</t>
  </si>
  <si>
    <t>Hoàng Anh</t>
  </si>
  <si>
    <t>THANH TOÁN:</t>
  </si>
  <si>
    <t>Cá cơm khô</t>
  </si>
  <si>
    <t>TỜ KHAI (lần 1): 05/08/16</t>
  </si>
  <si>
    <t>TỜ KHAI (lần 2): 12/08/16</t>
  </si>
  <si>
    <t>14/09/16 Chuyển NH</t>
  </si>
  <si>
    <t>CHUYỀN KHOẢN</t>
  </si>
  <si>
    <t>TIỀN (USD)</t>
  </si>
  <si>
    <t>Tiền hàng</t>
  </si>
  <si>
    <t>Nguyễn Đình Nguyên</t>
  </si>
  <si>
    <t>Hồ Thiên Trang</t>
  </si>
  <si>
    <t>Phí chuyển tiền ngân hàng 14/09/16</t>
  </si>
  <si>
    <t>Bùi Thị Diện</t>
  </si>
  <si>
    <t>CÒN LẠI CHI PHÍ:</t>
  </si>
  <si>
    <t>TỔNG CỘNG:</t>
  </si>
  <si>
    <t>Toàn Nguyễn (BHLĐ)</t>
  </si>
  <si>
    <t>Zhoushan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</si>
</sst>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5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29" fillId="0" borderId="0" applyFont="0" applyFill="0" applyBorder="0" applyAlignment="0" applyProtection="0"/>
    <xf numFmtId="0" fontId="29" fillId="0" borderId="0"/>
    <xf numFmtId="3" fontId="33" fillId="3" borderId="4"/>
    <xf numFmtId="0" fontId="33" fillId="3" borderId="4">
      <alignment horizontal="centerContinuous" vertical="center" wrapText="1"/>
    </xf>
    <xf numFmtId="3" fontId="33" fillId="3" borderId="4">
      <alignment horizontal="center" vertical="center" wrapText="1"/>
    </xf>
    <xf numFmtId="3" fontId="33" fillId="0" borderId="20"/>
    <xf numFmtId="3" fontId="34" fillId="0" borderId="21"/>
    <xf numFmtId="3" fontId="33" fillId="0" borderId="4">
      <alignment horizontal="center" vertical="center" wrapText="1"/>
    </xf>
    <xf numFmtId="3" fontId="33" fillId="0" borderId="4">
      <alignment horizontal="centerContinuous" vertical="center"/>
    </xf>
    <xf numFmtId="0" fontId="35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60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7" fillId="0" borderId="5" xfId="12" applyNumberFormat="1" applyFont="1" applyBorder="1" applyAlignment="1">
      <alignment horizontal="center"/>
    </xf>
    <xf numFmtId="1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27" fillId="0" borderId="9" xfId="12" applyNumberFormat="1" applyFont="1" applyBorder="1" applyAlignment="1">
      <alignment horizont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8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8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8" fillId="0" borderId="0" xfId="26" applyFont="1" applyAlignment="1">
      <alignment horizontal="left" vertical="center"/>
    </xf>
    <xf numFmtId="167" fontId="28" fillId="0" borderId="0" xfId="25" applyNumberFormat="1" applyFont="1" applyAlignment="1">
      <alignment horizontal="center" vertical="center" wrapText="1"/>
    </xf>
    <xf numFmtId="167" fontId="28" fillId="0" borderId="0" xfId="27" applyNumberFormat="1" applyFont="1" applyAlignment="1">
      <alignment horizontal="center" vertical="center" wrapText="1"/>
    </xf>
    <xf numFmtId="167" fontId="28" fillId="0" borderId="0" xfId="28" applyNumberFormat="1" applyFont="1" applyAlignment="1">
      <alignment vertical="center"/>
    </xf>
    <xf numFmtId="167" fontId="28" fillId="0" borderId="0" xfId="28" applyNumberFormat="1" applyFont="1" applyAlignment="1">
      <alignment horizontal="left" vertical="center"/>
    </xf>
    <xf numFmtId="167" fontId="28" fillId="0" borderId="0" xfId="2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28" fillId="0" borderId="4" xfId="27" applyNumberFormat="1" applyFont="1" applyBorder="1" applyAlignment="1">
      <alignment horizontal="center" vertical="center" wrapText="1"/>
    </xf>
    <xf numFmtId="167" fontId="30" fillId="0" borderId="19" xfId="28" applyNumberFormat="1" applyFont="1" applyBorder="1" applyAlignment="1">
      <alignment horizontal="center" vertical="center" wrapText="1"/>
    </xf>
    <xf numFmtId="167" fontId="30" fillId="0" borderId="19" xfId="27" applyNumberFormat="1" applyFont="1" applyBorder="1" applyAlignment="1">
      <alignment horizontal="center" vertical="center" wrapText="1"/>
    </xf>
    <xf numFmtId="167" fontId="30" fillId="0" borderId="0" xfId="28" applyNumberFormat="1" applyFont="1" applyAlignment="1">
      <alignment vertical="center"/>
    </xf>
    <xf numFmtId="167" fontId="28" fillId="0" borderId="5" xfId="28" applyNumberFormat="1" applyFont="1" applyBorder="1" applyAlignment="1">
      <alignment vertical="center" wrapText="1"/>
    </xf>
    <xf numFmtId="167" fontId="28" fillId="0" borderId="5" xfId="28" applyNumberFormat="1" applyFont="1" applyBorder="1" applyAlignment="1">
      <alignment horizontal="left" vertical="center" wrapText="1"/>
    </xf>
    <xf numFmtId="167" fontId="28" fillId="0" borderId="5" xfId="27" applyNumberFormat="1" applyFont="1" applyBorder="1" applyAlignment="1">
      <alignment vertical="center" wrapText="1"/>
    </xf>
    <xf numFmtId="14" fontId="28" fillId="0" borderId="5" xfId="28" applyNumberFormat="1" applyFont="1" applyBorder="1" applyAlignment="1">
      <alignment horizontal="center" vertical="center" wrapText="1"/>
    </xf>
    <xf numFmtId="167" fontId="28" fillId="0" borderId="5" xfId="27" applyNumberFormat="1" applyFont="1" applyBorder="1" applyAlignment="1">
      <alignment horizontal="left" vertical="center" wrapText="1"/>
    </xf>
    <xf numFmtId="167" fontId="28" fillId="0" borderId="5" xfId="28" applyNumberFormat="1" applyFont="1" applyBorder="1" applyAlignment="1">
      <alignment horizontal="center" vertical="center" wrapText="1"/>
    </xf>
    <xf numFmtId="167" fontId="31" fillId="0" borderId="5" xfId="28" applyNumberFormat="1" applyFont="1" applyBorder="1" applyAlignment="1">
      <alignment horizontal="center" vertical="center" wrapText="1"/>
    </xf>
    <xf numFmtId="167" fontId="28" fillId="0" borderId="8" xfId="28" applyNumberFormat="1" applyFont="1" applyBorder="1" applyAlignment="1">
      <alignment vertical="center" wrapText="1"/>
    </xf>
    <xf numFmtId="167" fontId="28" fillId="0" borderId="8" xfId="28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vertical="center" wrapText="1"/>
    </xf>
    <xf numFmtId="167" fontId="28" fillId="0" borderId="0" xfId="28" quotePrefix="1" applyNumberFormat="1" applyFont="1" applyAlignment="1">
      <alignment vertical="center"/>
    </xf>
    <xf numFmtId="0" fontId="32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8" fillId="0" borderId="0" xfId="25" applyFont="1" applyAlignment="1">
      <alignment horizontal="center" vertical="center"/>
    </xf>
    <xf numFmtId="167" fontId="28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7" fillId="0" borderId="0" xfId="39" applyNumberFormat="1" applyFont="1"/>
    <xf numFmtId="0" fontId="38" fillId="0" borderId="0" xfId="39" applyNumberFormat="1" applyFont="1" applyAlignment="1">
      <alignment horizontal="center"/>
    </xf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0" fontId="38" fillId="0" borderId="0" xfId="39" applyNumberFormat="1" applyFont="1" applyAlignment="1">
      <alignment horizontal="center" vertical="center" wrapText="1"/>
    </xf>
    <xf numFmtId="0" fontId="37" fillId="0" borderId="4" xfId="39" applyNumberFormat="1" applyFont="1" applyBorder="1" applyAlignment="1">
      <alignment horizontal="center"/>
    </xf>
    <xf numFmtId="0" fontId="39" fillId="0" borderId="4" xfId="39" applyNumberFormat="1" applyFont="1" applyBorder="1" applyAlignment="1" applyProtection="1">
      <alignment vertical="center"/>
    </xf>
    <xf numFmtId="166" fontId="39" fillId="0" borderId="4" xfId="40" applyNumberFormat="1" applyFont="1" applyBorder="1" applyAlignment="1" applyProtection="1">
      <alignment vertical="center"/>
    </xf>
    <xf numFmtId="43" fontId="39" fillId="0" borderId="4" xfId="40" applyFont="1" applyBorder="1" applyAlignment="1" applyProtection="1">
      <alignment vertical="center"/>
    </xf>
    <xf numFmtId="43" fontId="37" fillId="0" borderId="4" xfId="40" applyFont="1" applyBorder="1"/>
    <xf numFmtId="43" fontId="38" fillId="0" borderId="4" xfId="40" applyFont="1" applyBorder="1" applyAlignment="1">
      <alignment vertical="center"/>
    </xf>
    <xf numFmtId="0" fontId="39" fillId="0" borderId="0" xfId="39" applyNumberFormat="1" applyFont="1" applyBorder="1" applyAlignment="1" applyProtection="1">
      <alignment vertical="center"/>
    </xf>
    <xf numFmtId="43" fontId="38" fillId="0" borderId="0" xfId="40" applyFont="1" applyBorder="1"/>
    <xf numFmtId="0" fontId="40" fillId="0" borderId="0" xfId="39" applyNumberFormat="1" applyFont="1" applyBorder="1" applyAlignment="1" applyProtection="1">
      <alignment vertical="center"/>
    </xf>
    <xf numFmtId="43" fontId="38" fillId="0" borderId="0" xfId="39" applyNumberFormat="1" applyFont="1" applyBorder="1"/>
    <xf numFmtId="0" fontId="38" fillId="0" borderId="0" xfId="39" applyNumberFormat="1" applyFont="1"/>
    <xf numFmtId="0" fontId="38" fillId="0" borderId="0" xfId="39" applyNumberFormat="1" applyFont="1" applyBorder="1" applyAlignment="1">
      <alignment horizontal="center"/>
    </xf>
    <xf numFmtId="49" fontId="41" fillId="0" borderId="0" xfId="39" applyNumberFormat="1" applyFont="1" applyAlignment="1"/>
    <xf numFmtId="49" fontId="37" fillId="0" borderId="0" xfId="39" applyNumberFormat="1" applyFont="1" applyAlignment="1"/>
    <xf numFmtId="14" fontId="41" fillId="0" borderId="0" xfId="39" applyNumberFormat="1" applyFont="1" applyAlignment="1"/>
    <xf numFmtId="43" fontId="37" fillId="0" borderId="0" xfId="40" applyFont="1"/>
    <xf numFmtId="0" fontId="36" fillId="0" borderId="0" xfId="39" applyNumberFormat="1" applyFont="1" applyBorder="1" applyAlignment="1"/>
    <xf numFmtId="0" fontId="42" fillId="0" borderId="0" xfId="39" applyNumberFormat="1" applyFont="1" applyBorder="1"/>
    <xf numFmtId="49" fontId="39" fillId="0" borderId="4" xfId="39" applyNumberFormat="1" applyFont="1" applyBorder="1" applyAlignment="1" applyProtection="1">
      <alignment vertical="center" wrapText="1"/>
    </xf>
    <xf numFmtId="49" fontId="43" fillId="0" borderId="0" xfId="39" applyNumberFormat="1" applyFont="1" applyBorder="1" applyAlignment="1" applyProtection="1">
      <alignment vertical="center" wrapText="1"/>
    </xf>
    <xf numFmtId="0" fontId="37" fillId="0" borderId="0" xfId="39" applyNumberFormat="1" applyFont="1" applyBorder="1"/>
    <xf numFmtId="0" fontId="37" fillId="0" borderId="0" xfId="39" applyNumberFormat="1" applyFont="1" applyAlignment="1"/>
    <xf numFmtId="0" fontId="37" fillId="0" borderId="4" xfId="39" applyNumberFormat="1" applyFont="1" applyBorder="1" applyAlignment="1">
      <alignment horizontal="center" vertical="center" wrapText="1"/>
    </xf>
    <xf numFmtId="166" fontId="37" fillId="0" borderId="4" xfId="40" applyNumberFormat="1" applyFont="1" applyBorder="1" applyAlignment="1">
      <alignment horizontal="center" vertical="center" wrapText="1"/>
    </xf>
    <xf numFmtId="43" fontId="37" fillId="0" borderId="4" xfId="40" applyFont="1" applyBorder="1" applyAlignment="1">
      <alignment horizontal="center" vertical="center" wrapText="1"/>
    </xf>
    <xf numFmtId="43" fontId="37" fillId="0" borderId="4" xfId="40" applyFont="1" applyBorder="1" applyAlignment="1">
      <alignment vertical="center"/>
    </xf>
    <xf numFmtId="0" fontId="37" fillId="0" borderId="0" xfId="39" applyNumberFormat="1" applyFont="1" applyAlignment="1">
      <alignment horizontal="center" vertical="center" wrapText="1"/>
    </xf>
    <xf numFmtId="166" fontId="37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2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6" fillId="0" borderId="5" xfId="12" applyNumberFormat="1" applyFont="1" applyBorder="1" applyAlignment="1">
      <alignment horizontal="center"/>
    </xf>
    <xf numFmtId="0" fontId="46" fillId="0" borderId="0" xfId="12" applyFont="1"/>
    <xf numFmtId="167" fontId="47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8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7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6" fillId="0" borderId="9" xfId="12" applyNumberFormat="1" applyFont="1" applyBorder="1" applyAlignment="1">
      <alignment horizontal="center"/>
    </xf>
    <xf numFmtId="0" fontId="46" fillId="0" borderId="9" xfId="3" applyNumberFormat="1" applyFont="1" applyBorder="1" applyAlignment="1">
      <alignment horizontal="center"/>
    </xf>
    <xf numFmtId="168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37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8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3" xfId="37" applyNumberFormat="1" applyFont="1" applyBorder="1" applyAlignment="1">
      <alignment horizontal="center"/>
    </xf>
    <xf numFmtId="0" fontId="4" fillId="0" borderId="23" xfId="37" applyFont="1" applyBorder="1" applyAlignment="1">
      <alignment horizontal="center"/>
    </xf>
    <xf numFmtId="49" fontId="4" fillId="0" borderId="23" xfId="42" applyNumberFormat="1" applyFont="1" applyBorder="1" applyAlignment="1">
      <alignment horizontal="center"/>
    </xf>
    <xf numFmtId="166" fontId="4" fillId="0" borderId="23" xfId="42" applyNumberFormat="1" applyFont="1" applyBorder="1" applyAlignment="1">
      <alignment horizontal="center"/>
    </xf>
    <xf numFmtId="43" fontId="4" fillId="0" borderId="23" xfId="42" applyNumberFormat="1" applyFont="1" applyBorder="1" applyAlignment="1">
      <alignment horizontal="center"/>
    </xf>
    <xf numFmtId="167" fontId="4" fillId="0" borderId="23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38" fillId="0" borderId="0" xfId="1" applyNumberFormat="1" applyFont="1"/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" fontId="46" fillId="0" borderId="5" xfId="3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0" fontId="49" fillId="0" borderId="0" xfId="37" applyFont="1" applyAlignment="1">
      <alignment vertical="center"/>
    </xf>
    <xf numFmtId="0" fontId="50" fillId="0" borderId="0" xfId="37" applyFont="1" applyAlignment="1">
      <alignment vertical="center"/>
    </xf>
    <xf numFmtId="0" fontId="51" fillId="0" borderId="0" xfId="37" applyFont="1" applyAlignment="1">
      <alignment vertical="center"/>
    </xf>
    <xf numFmtId="166" fontId="50" fillId="0" borderId="0" xfId="38" applyNumberFormat="1" applyFont="1" applyAlignment="1">
      <alignment vertical="center"/>
    </xf>
    <xf numFmtId="167" fontId="50" fillId="0" borderId="0" xfId="38" applyNumberFormat="1" applyFont="1" applyAlignment="1">
      <alignment vertical="center"/>
    </xf>
    <xf numFmtId="0" fontId="51" fillId="0" borderId="4" xfId="37" applyFont="1" applyBorder="1" applyAlignment="1">
      <alignment vertical="center"/>
    </xf>
    <xf numFmtId="166" fontId="51" fillId="0" borderId="4" xfId="38" applyNumberFormat="1" applyFont="1" applyBorder="1" applyAlignment="1">
      <alignment horizontal="center" vertical="center" wrapText="1"/>
    </xf>
    <xf numFmtId="167" fontId="51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6" fontId="4" fillId="0" borderId="3" xfId="38" applyNumberFormat="1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6" fontId="4" fillId="0" borderId="5" xfId="38" applyNumberFormat="1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43" fontId="50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6" fontId="4" fillId="0" borderId="8" xfId="38" applyNumberFormat="1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6" fontId="5" fillId="0" borderId="4" xfId="38" applyNumberFormat="1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0" fontId="49" fillId="0" borderId="0" xfId="37" applyFont="1" applyAlignment="1">
      <alignment horizontal="center" vertical="center"/>
    </xf>
    <xf numFmtId="0" fontId="50" fillId="0" borderId="0" xfId="37" applyFont="1" applyAlignment="1">
      <alignment horizontal="center" vertical="center"/>
    </xf>
    <xf numFmtId="0" fontId="51" fillId="0" borderId="0" xfId="37" applyFont="1" applyAlignment="1">
      <alignment horizontal="center" vertical="center"/>
    </xf>
    <xf numFmtId="0" fontId="51" fillId="0" borderId="4" xfId="37" applyFont="1" applyBorder="1" applyAlignment="1">
      <alignment horizontal="center" vertical="center"/>
    </xf>
    <xf numFmtId="166" fontId="4" fillId="0" borderId="8" xfId="38" applyNumberFormat="1" applyFont="1" applyBorder="1" applyAlignment="1">
      <alignment horizontal="center" vertical="center"/>
    </xf>
    <xf numFmtId="167" fontId="4" fillId="0" borderId="8" xfId="38" applyNumberFormat="1" applyFont="1" applyBorder="1" applyAlignment="1">
      <alignment horizontal="center" vertical="center"/>
    </xf>
    <xf numFmtId="166" fontId="5" fillId="0" borderId="4" xfId="38" applyNumberFormat="1" applyFont="1" applyBorder="1" applyAlignment="1">
      <alignment horizontal="center" vertical="center"/>
    </xf>
    <xf numFmtId="167" fontId="5" fillId="0" borderId="4" xfId="38" applyNumberFormat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 vertical="center"/>
    </xf>
    <xf numFmtId="14" fontId="4" fillId="0" borderId="8" xfId="37" applyNumberFormat="1" applyFont="1" applyBorder="1" applyAlignment="1">
      <alignment horizontal="center" vertical="center"/>
    </xf>
    <xf numFmtId="14" fontId="4" fillId="0" borderId="6" xfId="37" applyNumberFormat="1" applyFont="1" applyBorder="1" applyAlignment="1">
      <alignment horizontal="center" vertical="center"/>
    </xf>
    <xf numFmtId="0" fontId="4" fillId="0" borderId="6" xfId="37" applyFont="1" applyBorder="1" applyAlignment="1">
      <alignment horizontal="left" vertical="center"/>
    </xf>
    <xf numFmtId="167" fontId="4" fillId="0" borderId="6" xfId="38" applyNumberFormat="1" applyFont="1" applyBorder="1" applyAlignment="1">
      <alignment horizontal="center" vertical="center"/>
    </xf>
    <xf numFmtId="0" fontId="51" fillId="0" borderId="4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/>
    </xf>
    <xf numFmtId="168" fontId="4" fillId="0" borderId="6" xfId="38" applyNumberFormat="1" applyFont="1" applyBorder="1" applyAlignment="1">
      <alignment horizontal="center" vertical="center"/>
    </xf>
    <xf numFmtId="168" fontId="4" fillId="0" borderId="5" xfId="38" applyNumberFormat="1" applyFont="1" applyBorder="1" applyAlignment="1">
      <alignment horizontal="center" vertical="center"/>
    </xf>
    <xf numFmtId="167" fontId="51" fillId="0" borderId="4" xfId="38" applyNumberFormat="1" applyFont="1" applyBorder="1" applyAlignment="1">
      <alignment horizontal="center" vertical="center" wrapText="1"/>
    </xf>
    <xf numFmtId="0" fontId="51" fillId="0" borderId="0" xfId="37" applyFont="1" applyAlignment="1">
      <alignment horizontal="left" vertic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6" fontId="5" fillId="0" borderId="4" xfId="27" applyNumberFormat="1" applyFont="1" applyBorder="1" applyAlignment="1">
      <alignment horizontal="center" vertical="center" wrapText="1"/>
    </xf>
    <xf numFmtId="167" fontId="5" fillId="0" borderId="4" xfId="27" applyNumberFormat="1" applyFont="1" applyBorder="1" applyAlignment="1">
      <alignment horizontal="center" vertical="center" wrapText="1"/>
    </xf>
    <xf numFmtId="166" fontId="4" fillId="0" borderId="5" xfId="27" applyNumberFormat="1" applyFont="1" applyBorder="1" applyAlignment="1">
      <alignment vertical="center"/>
    </xf>
    <xf numFmtId="43" fontId="4" fillId="0" borderId="5" xfId="27" applyFont="1" applyBorder="1" applyAlignment="1">
      <alignment vertical="center"/>
    </xf>
    <xf numFmtId="43" fontId="4" fillId="0" borderId="5" xfId="27" applyNumberFormat="1" applyFont="1" applyBorder="1" applyAlignment="1">
      <alignment vertical="center"/>
    </xf>
    <xf numFmtId="166" fontId="4" fillId="0" borderId="9" xfId="27" applyNumberFormat="1" applyFont="1" applyBorder="1" applyAlignment="1">
      <alignment vertical="center"/>
    </xf>
    <xf numFmtId="43" fontId="4" fillId="0" borderId="9" xfId="27" applyFont="1" applyBorder="1" applyAlignment="1">
      <alignment vertical="center"/>
    </xf>
    <xf numFmtId="43" fontId="4" fillId="0" borderId="9" xfId="27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27" applyNumberFormat="1" applyFont="1" applyBorder="1" applyAlignment="1">
      <alignment vertical="center"/>
    </xf>
    <xf numFmtId="43" fontId="5" fillId="0" borderId="9" xfId="27" applyFont="1" applyBorder="1" applyAlignment="1">
      <alignment vertical="center"/>
    </xf>
    <xf numFmtId="43" fontId="5" fillId="0" borderId="9" xfId="27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166" fontId="4" fillId="0" borderId="8" xfId="27" applyNumberFormat="1" applyFont="1" applyBorder="1" applyAlignment="1">
      <alignment vertical="center"/>
    </xf>
    <xf numFmtId="43" fontId="4" fillId="0" borderId="8" xfId="27" applyFont="1" applyBorder="1" applyAlignment="1">
      <alignment vertical="center"/>
    </xf>
    <xf numFmtId="43" fontId="4" fillId="0" borderId="8" xfId="27" applyNumberFormat="1" applyFont="1" applyBorder="1" applyAlignment="1">
      <alignment vertical="center"/>
    </xf>
    <xf numFmtId="167" fontId="4" fillId="0" borderId="8" xfId="27" applyNumberFormat="1" applyFont="1" applyBorder="1" applyAlignment="1">
      <alignment vertical="center"/>
    </xf>
    <xf numFmtId="166" fontId="5" fillId="0" borderId="4" xfId="27" applyNumberFormat="1" applyFont="1" applyBorder="1" applyAlignment="1">
      <alignment vertical="center"/>
    </xf>
    <xf numFmtId="0" fontId="5" fillId="0" borderId="0" xfId="44" applyFont="1" applyBorder="1" applyAlignment="1">
      <alignment vertical="center"/>
    </xf>
    <xf numFmtId="166" fontId="5" fillId="0" borderId="0" xfId="27" applyNumberFormat="1" applyFont="1" applyAlignment="1">
      <alignment vertical="center"/>
    </xf>
    <xf numFmtId="166" fontId="5" fillId="0" borderId="10" xfId="27" applyNumberFormat="1" applyFont="1" applyBorder="1" applyAlignment="1">
      <alignment vertical="center"/>
    </xf>
    <xf numFmtId="43" fontId="5" fillId="0" borderId="0" xfId="27" applyNumberFormat="1" applyFont="1" applyBorder="1" applyAlignment="1">
      <alignment vertical="center"/>
    </xf>
    <xf numFmtId="43" fontId="50" fillId="0" borderId="0" xfId="37" applyNumberFormat="1" applyFont="1" applyAlignment="1">
      <alignment horizontal="center" vertical="center"/>
    </xf>
    <xf numFmtId="167" fontId="30" fillId="0" borderId="0" xfId="1" applyNumberFormat="1" applyFont="1" applyAlignment="1">
      <alignment horizontal="center" vertical="center"/>
    </xf>
    <xf numFmtId="43" fontId="52" fillId="0" borderId="0" xfId="37" applyNumberFormat="1" applyFont="1" applyAlignment="1">
      <alignment horizontal="center" vertical="center"/>
    </xf>
    <xf numFmtId="167" fontId="51" fillId="0" borderId="0" xfId="38" applyNumberFormat="1" applyFont="1" applyAlignment="1">
      <alignment vertical="center"/>
    </xf>
    <xf numFmtId="167" fontId="51" fillId="0" borderId="0" xfId="3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8" fillId="0" borderId="0" xfId="28" applyNumberFormat="1" applyFont="1" applyAlignment="1">
      <alignment horizontal="center" vertical="center"/>
    </xf>
    <xf numFmtId="167" fontId="28" fillId="0" borderId="12" xfId="28" applyNumberFormat="1" applyFont="1" applyBorder="1" applyAlignment="1">
      <alignment horizontal="center" vertical="center" wrapText="1"/>
    </xf>
    <xf numFmtId="167" fontId="28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7" xfId="12" applyNumberFormat="1" applyFont="1" applyBorder="1" applyAlignment="1">
      <alignment horizontal="center"/>
    </xf>
    <xf numFmtId="14" fontId="4" fillId="0" borderId="18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7" fillId="0" borderId="0" xfId="39" applyNumberFormat="1" applyFont="1" applyAlignment="1">
      <alignment horizontal="center"/>
    </xf>
    <xf numFmtId="0" fontId="36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6" fillId="0" borderId="0" xfId="39" applyNumberFormat="1" applyFont="1" applyBorder="1" applyAlignment="1">
      <alignment horizontal="left"/>
    </xf>
    <xf numFmtId="0" fontId="38" fillId="0" borderId="0" xfId="39" applyNumberFormat="1" applyFont="1" applyBorder="1" applyAlignment="1">
      <alignment horizontal="center"/>
    </xf>
    <xf numFmtId="49" fontId="37" fillId="0" borderId="0" xfId="39" applyNumberFormat="1" applyFont="1" applyAlignment="1">
      <alignment horizontal="left"/>
    </xf>
    <xf numFmtId="0" fontId="44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left"/>
    </xf>
    <xf numFmtId="0" fontId="5" fillId="0" borderId="0" xfId="44" applyFont="1" applyAlignment="1">
      <alignment horizontal="center" vertical="center"/>
    </xf>
    <xf numFmtId="167" fontId="16" fillId="0" borderId="10" xfId="1" applyNumberFormat="1" applyFont="1" applyBorder="1" applyAlignment="1">
      <alignment horizontal="center" vertical="center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0" fontId="49" fillId="0" borderId="0" xfId="37" applyFont="1" applyAlignment="1">
      <alignment horizontal="center" vertical="center" wrapText="1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44" t="s">
        <v>127</v>
      </c>
      <c r="F1" s="544"/>
      <c r="G1" s="544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45" t="s">
        <v>128</v>
      </c>
      <c r="F2" s="545"/>
      <c r="G2" s="545"/>
    </row>
    <row r="3" spans="1:8" s="174" customFormat="1" ht="16.5" customHeight="1">
      <c r="A3" s="176" t="s">
        <v>129</v>
      </c>
      <c r="B3" s="175"/>
      <c r="C3" s="175"/>
      <c r="E3" s="545"/>
      <c r="F3" s="545"/>
      <c r="G3" s="545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46" t="s">
        <v>130</v>
      </c>
      <c r="B5" s="546"/>
      <c r="C5" s="546"/>
      <c r="D5" s="546"/>
      <c r="E5" s="546"/>
      <c r="F5" s="546"/>
      <c r="G5" s="546"/>
    </row>
    <row r="6" spans="1:8">
      <c r="A6" s="547" t="s">
        <v>131</v>
      </c>
      <c r="B6" s="547"/>
      <c r="C6" s="547"/>
      <c r="D6" s="547"/>
      <c r="E6" s="547"/>
      <c r="F6" s="547"/>
      <c r="G6" s="547"/>
    </row>
    <row r="7" spans="1:8">
      <c r="A7" s="547" t="s">
        <v>132</v>
      </c>
      <c r="B7" s="547"/>
      <c r="C7" s="547"/>
      <c r="D7" s="547"/>
      <c r="E7" s="547"/>
      <c r="F7" s="547"/>
      <c r="G7" s="547"/>
    </row>
    <row r="8" spans="1:8">
      <c r="A8" s="180"/>
      <c r="F8" s="180" t="s">
        <v>133</v>
      </c>
    </row>
    <row r="9" spans="1:8" ht="24" customHeight="1">
      <c r="A9" s="548" t="s">
        <v>134</v>
      </c>
      <c r="B9" s="548" t="s">
        <v>135</v>
      </c>
      <c r="C9" s="543" t="s">
        <v>14</v>
      </c>
      <c r="D9" s="543" t="s">
        <v>136</v>
      </c>
      <c r="E9" s="543"/>
      <c r="F9" s="543" t="s">
        <v>137</v>
      </c>
      <c r="G9" s="543" t="s">
        <v>19</v>
      </c>
    </row>
    <row r="10" spans="1:8" ht="20.25" customHeight="1">
      <c r="A10" s="549"/>
      <c r="B10" s="549"/>
      <c r="C10" s="543"/>
      <c r="D10" s="182" t="s">
        <v>138</v>
      </c>
      <c r="E10" s="183" t="s">
        <v>139</v>
      </c>
      <c r="F10" s="543"/>
      <c r="G10" s="543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44" t="s">
        <v>127</v>
      </c>
      <c r="F1" s="544"/>
      <c r="G1" s="544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545" t="s">
        <v>128</v>
      </c>
      <c r="F2" s="545"/>
      <c r="G2" s="545"/>
    </row>
    <row r="3" spans="1:8" s="174" customFormat="1" ht="16.5" customHeight="1">
      <c r="A3" s="176" t="s">
        <v>129</v>
      </c>
      <c r="B3" s="290"/>
      <c r="C3" s="290"/>
      <c r="E3" s="545"/>
      <c r="F3" s="545"/>
      <c r="G3" s="545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546" t="s">
        <v>130</v>
      </c>
      <c r="B5" s="546"/>
      <c r="C5" s="546"/>
      <c r="D5" s="546"/>
      <c r="E5" s="546"/>
      <c r="F5" s="546"/>
      <c r="G5" s="546"/>
    </row>
    <row r="6" spans="1:8">
      <c r="A6" s="547" t="s">
        <v>131</v>
      </c>
      <c r="B6" s="547"/>
      <c r="C6" s="547"/>
      <c r="D6" s="547"/>
      <c r="E6" s="547"/>
      <c r="F6" s="547"/>
      <c r="G6" s="547"/>
    </row>
    <row r="7" spans="1:8">
      <c r="A7" s="547" t="s">
        <v>132</v>
      </c>
      <c r="B7" s="547"/>
      <c r="C7" s="547"/>
      <c r="D7" s="547"/>
      <c r="E7" s="547"/>
      <c r="F7" s="547"/>
      <c r="G7" s="547"/>
    </row>
    <row r="8" spans="1:8">
      <c r="A8" s="180"/>
      <c r="F8" s="180" t="s">
        <v>133</v>
      </c>
    </row>
    <row r="9" spans="1:8" ht="24" customHeight="1">
      <c r="A9" s="548" t="s">
        <v>134</v>
      </c>
      <c r="B9" s="548" t="s">
        <v>135</v>
      </c>
      <c r="C9" s="543" t="s">
        <v>14</v>
      </c>
      <c r="D9" s="543" t="s">
        <v>136</v>
      </c>
      <c r="E9" s="543"/>
      <c r="F9" s="543" t="s">
        <v>137</v>
      </c>
      <c r="G9" s="543" t="s">
        <v>19</v>
      </c>
    </row>
    <row r="10" spans="1:8" ht="20.25" customHeight="1">
      <c r="A10" s="549"/>
      <c r="B10" s="549"/>
      <c r="C10" s="543"/>
      <c r="D10" s="289" t="s">
        <v>138</v>
      </c>
      <c r="E10" s="183" t="s">
        <v>139</v>
      </c>
      <c r="F10" s="543"/>
      <c r="G10" s="543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2031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2032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2033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2034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2035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2036</v>
      </c>
      <c r="C756" s="188" t="s">
        <v>2037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2036</v>
      </c>
      <c r="C757" s="188" t="s">
        <v>2038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2039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2040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2042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2041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2043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2044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2045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2046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2047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2048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2049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2050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2051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2053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2052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2043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2054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2055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2056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2057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2058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2059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2060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2036</v>
      </c>
      <c r="C782" s="188" t="s">
        <v>2061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2063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2064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2065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2066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2067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2068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2036</v>
      </c>
      <c r="C789" s="188" t="s">
        <v>2069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2070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2071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2072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2073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2074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2075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2076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2077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2078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2079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2080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2081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2082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2083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2084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2085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2086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2087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2088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2036</v>
      </c>
      <c r="C813" s="188" t="s">
        <v>2089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2090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2052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2092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2091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2093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2094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2095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2030</v>
      </c>
      <c r="C823" s="188" t="s">
        <v>2096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2097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2098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2099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2100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2101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2036</v>
      </c>
      <c r="C830" s="188" t="s">
        <v>2102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2103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2036</v>
      </c>
      <c r="C832" s="188" t="s">
        <v>2104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2105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2106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2107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2108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2109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2036</v>
      </c>
      <c r="C839" s="188" t="s">
        <v>2110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2111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2112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2113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2114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2115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2052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2116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2062</v>
      </c>
      <c r="C847" s="188" t="s">
        <v>2117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2118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2119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2120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2121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2122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2095</v>
      </c>
      <c r="C853" s="188" t="s">
        <v>2123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2124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2125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2128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2126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2127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2129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2130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2036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2131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2132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2133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2134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2030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2030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workbookViewId="0">
      <selection activeCell="G11" sqref="G1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26/9/2016</v>
      </c>
      <c r="E1" s="23" t="str">
        <f ca="1">"CÔNG NỢ KHÁC - LONG AN : " &amp; DAY($I$1)&amp;"/"&amp;MONTH($I$1)&amp;"/"&amp;YEAR($I$1)</f>
        <v>CÔNG NỢ KHÁC - LONG AN : 26/9/2016</v>
      </c>
      <c r="I1" s="28">
        <f ca="1">TODAY()</f>
        <v>42639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PHÚ'!$I$157&lt;0,0,'AN PHÚ'!$I$157)</f>
        <v>195217067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HÒA'!$K$98</f>
        <v>90788923.599999905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1990</v>
      </c>
      <c r="G5" s="112"/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PHÁT!$I$312</f>
        <v>353259533</v>
      </c>
      <c r="D6" s="34"/>
      <c r="E6" s="22">
        <f t="shared" si="1"/>
        <v>4</v>
      </c>
      <c r="F6" s="128" t="s">
        <v>2024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T.M.THƯ!$I$49</f>
        <v>50100000</v>
      </c>
      <c r="D7" s="34"/>
      <c r="E7" s="22">
        <f t="shared" si="1"/>
        <v>5</v>
      </c>
      <c r="F7" s="128" t="s">
        <v>1991</v>
      </c>
      <c r="G7" s="126">
        <f>77480000-40000000</f>
        <v>37480000</v>
      </c>
      <c r="I7" s="119"/>
    </row>
    <row r="8" spans="1:9" s="14" customFormat="1" ht="19.5" customHeight="1">
      <c r="A8" s="22">
        <f t="shared" si="0"/>
        <v>6</v>
      </c>
      <c r="B8" s="29" t="s">
        <v>1130</v>
      </c>
      <c r="C8" s="33">
        <f>109355400-50000000</f>
        <v>59355400</v>
      </c>
      <c r="D8" s="34"/>
      <c r="E8" s="22">
        <f t="shared" si="1"/>
        <v>6</v>
      </c>
      <c r="F8" s="128" t="s">
        <v>2023</v>
      </c>
      <c r="G8" s="126">
        <f>8305175+9537153</f>
        <v>17842328</v>
      </c>
      <c r="I8" s="119"/>
    </row>
    <row r="9" spans="1:9" s="14" customFormat="1" ht="19.5" customHeight="1">
      <c r="A9" s="22">
        <f t="shared" si="0"/>
        <v>7</v>
      </c>
      <c r="B9" s="29" t="s">
        <v>2022</v>
      </c>
      <c r="C9" s="33">
        <v>28690200</v>
      </c>
      <c r="D9" s="34"/>
      <c r="E9" s="22">
        <f t="shared" si="1"/>
        <v>7</v>
      </c>
      <c r="F9" s="128" t="s">
        <v>1881</v>
      </c>
      <c r="G9" s="112">
        <f>11750000+11750000+35250000</f>
        <v>58750000</v>
      </c>
      <c r="I9" s="119"/>
    </row>
    <row r="10" spans="1:9" s="14" customFormat="1" ht="19.5" customHeight="1">
      <c r="A10" s="22">
        <f t="shared" si="0"/>
        <v>8</v>
      </c>
      <c r="B10" s="286" t="s">
        <v>2028</v>
      </c>
      <c r="C10" s="112">
        <f>6400000+9600000</f>
        <v>16000000</v>
      </c>
      <c r="D10" s="34"/>
      <c r="E10" s="22">
        <f t="shared" si="1"/>
        <v>8</v>
      </c>
      <c r="F10" s="128" t="s">
        <v>2175</v>
      </c>
      <c r="G10" s="126">
        <v>29656000</v>
      </c>
      <c r="I10" s="119"/>
    </row>
    <row r="11" spans="1:9" s="14" customFormat="1" ht="19.5" customHeight="1">
      <c r="A11" s="22" t="str">
        <f t="shared" si="0"/>
        <v/>
      </c>
      <c r="B11" s="286"/>
      <c r="C11" s="112"/>
      <c r="D11" s="34"/>
      <c r="E11" s="22">
        <f t="shared" si="1"/>
        <v>9</v>
      </c>
      <c r="F11" s="128" t="s">
        <v>2158</v>
      </c>
      <c r="G11" s="126">
        <v>84566900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670075156.5999999</v>
      </c>
      <c r="D14" s="76"/>
      <c r="E14" s="551" t="s">
        <v>3</v>
      </c>
      <c r="F14" s="552"/>
      <c r="G14" s="25">
        <f>SUM(G3:G13)</f>
        <v>423512295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26/9/2016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26/9/2016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>
        <f>IF(F18&lt;&gt;"",ROW()-16,"")</f>
        <v>2</v>
      </c>
      <c r="F18" s="128" t="s">
        <v>1992</v>
      </c>
      <c r="G18" s="126">
        <v>8143872</v>
      </c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Asia!$I$38</f>
        <v>191339845.30000001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2029</v>
      </c>
      <c r="C20" s="112">
        <f>AAAS!I22</f>
        <v>10803694</v>
      </c>
      <c r="D20" s="21"/>
      <c r="E20" s="22">
        <f t="shared" si="3"/>
        <v>4</v>
      </c>
      <c r="F20" s="128" t="s">
        <v>1881</v>
      </c>
      <c r="G20" s="112">
        <v>23500000</v>
      </c>
    </row>
    <row r="21" spans="1:9" s="14" customFormat="1" ht="19.5" customHeight="1">
      <c r="A21" s="22"/>
      <c r="B21" s="157" t="s">
        <v>2160</v>
      </c>
      <c r="C21" s="112">
        <f>'HOÀNG ANH'!I33</f>
        <v>27710536</v>
      </c>
      <c r="D21" s="21"/>
      <c r="E21" s="22" t="str">
        <f t="shared" si="3"/>
        <v/>
      </c>
      <c r="F21" s="128"/>
      <c r="G21" s="126"/>
    </row>
    <row r="22" spans="1:9" s="14" customFormat="1" ht="19.5" customHeight="1">
      <c r="A22" s="22"/>
      <c r="B22" s="157"/>
      <c r="C22" s="112"/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/>
      <c r="C23" s="112"/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550" t="s">
        <v>3</v>
      </c>
      <c r="B26" s="550"/>
      <c r="C26" s="25">
        <f>SUM(C18:C25)</f>
        <v>229854075.30000001</v>
      </c>
      <c r="D26" s="21"/>
      <c r="E26" s="550" t="s">
        <v>3</v>
      </c>
      <c r="F26" s="550"/>
      <c r="G26" s="25">
        <f>SUM(G18:G25)</f>
        <v>140999272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26/9/2016</v>
      </c>
      <c r="B28" s="6"/>
      <c r="C28" s="7"/>
      <c r="D28" s="21"/>
      <c r="E28" s="13" t="str">
        <f ca="1">"CÔNG NỢ CÁ - TRÀ VINH: " &amp; DAY(I1)&amp;"/"&amp;MONTH(I1)&amp;"/"&amp;YEAR(I1)</f>
        <v>CÔNG NỢ CÁ - TRÀ VINH: 26/9/2016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550" t="s">
        <v>3</v>
      </c>
      <c r="B49" s="550"/>
      <c r="C49" s="10">
        <f>SUM(C30:C48)</f>
        <v>5397541.5</v>
      </c>
      <c r="E49" s="550" t="s">
        <v>3</v>
      </c>
      <c r="F49" s="550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553" t="s">
        <v>0</v>
      </c>
      <c r="B2" s="553" t="s">
        <v>1</v>
      </c>
      <c r="C2" s="553" t="s">
        <v>1294</v>
      </c>
      <c r="D2" s="555" t="s">
        <v>2</v>
      </c>
      <c r="E2" s="556"/>
      <c r="F2" s="557"/>
    </row>
    <row r="3" spans="1:6" s="301" customFormat="1" ht="37.5" customHeight="1">
      <c r="A3" s="554"/>
      <c r="B3" s="554"/>
      <c r="C3" s="554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558" t="s">
        <v>1316</v>
      </c>
      <c r="B19" s="559"/>
      <c r="C19" s="560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77"/>
  <sheetViews>
    <sheetView topLeftCell="A5" zoomScale="95" workbookViewId="0">
      <pane ySplit="7" topLeftCell="A129" activePane="bottomLeft" state="frozen"/>
      <selection activeCell="A5" sqref="A5"/>
      <selection pane="bottomLeft" activeCell="F136" sqref="F136:G136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66" t="s">
        <v>10</v>
      </c>
      <c r="B2" s="566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68" t="s">
        <v>12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61" t="s">
        <v>41</v>
      </c>
      <c r="B12" s="562"/>
      <c r="C12" s="563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64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65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6" si="12">ROUND(F119*10%,0)</f>
        <v>200000</v>
      </c>
      <c r="H119" s="66"/>
      <c r="I119" s="63">
        <f t="shared" ref="I119:I136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8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7"/>
        <v>0</v>
      </c>
      <c r="H128" s="66">
        <f>I127</f>
        <v>140197984</v>
      </c>
      <c r="I128" s="63">
        <f t="shared" si="13"/>
        <v>0</v>
      </c>
      <c r="J128" s="82"/>
    </row>
    <row r="129" spans="1:10" ht="18" customHeight="1">
      <c r="A129" s="65">
        <v>42573</v>
      </c>
      <c r="B129" s="123"/>
      <c r="C129" s="71" t="s">
        <v>73</v>
      </c>
      <c r="D129" s="124"/>
      <c r="E129" s="125"/>
      <c r="F129" s="66">
        <v>2000000</v>
      </c>
      <c r="G129" s="63">
        <f t="shared" si="12"/>
        <v>200000</v>
      </c>
      <c r="H129" s="66"/>
      <c r="I129" s="63">
        <f t="shared" si="13"/>
        <v>2200000</v>
      </c>
      <c r="J129" s="82"/>
    </row>
    <row r="130" spans="1:10" ht="18" customHeight="1">
      <c r="A130" s="65">
        <v>42577</v>
      </c>
      <c r="B130" s="123"/>
      <c r="C130" s="71" t="s">
        <v>73</v>
      </c>
      <c r="D130" s="124"/>
      <c r="E130" s="125"/>
      <c r="F130" s="66">
        <v>2000000</v>
      </c>
      <c r="G130" s="63">
        <f t="shared" si="12"/>
        <v>200000</v>
      </c>
      <c r="H130" s="66"/>
      <c r="I130" s="63">
        <f t="shared" si="13"/>
        <v>4400000</v>
      </c>
      <c r="J130" s="82"/>
    </row>
    <row r="131" spans="1:10" ht="18" customHeight="1">
      <c r="A131" s="65">
        <v>42591</v>
      </c>
      <c r="B131" s="123"/>
      <c r="C131" s="71" t="s">
        <v>73</v>
      </c>
      <c r="D131" s="124"/>
      <c r="E131" s="125"/>
      <c r="F131" s="66">
        <v>2000000</v>
      </c>
      <c r="G131" s="63">
        <f t="shared" si="12"/>
        <v>200000</v>
      </c>
      <c r="H131" s="66"/>
      <c r="I131" s="63">
        <f t="shared" si="13"/>
        <v>6600000</v>
      </c>
      <c r="J131" s="82"/>
    </row>
    <row r="132" spans="1:10" ht="18" customHeight="1">
      <c r="A132" s="65">
        <v>42593</v>
      </c>
      <c r="B132" s="123"/>
      <c r="C132" s="71" t="s">
        <v>73</v>
      </c>
      <c r="D132" s="124"/>
      <c r="E132" s="125"/>
      <c r="F132" s="66">
        <v>2000000</v>
      </c>
      <c r="G132" s="63">
        <f t="shared" si="12"/>
        <v>200000</v>
      </c>
      <c r="H132" s="66"/>
      <c r="I132" s="63">
        <f t="shared" si="13"/>
        <v>8800000</v>
      </c>
      <c r="J132" s="82"/>
    </row>
    <row r="133" spans="1:10" ht="18" customHeight="1">
      <c r="A133" s="65">
        <v>42625</v>
      </c>
      <c r="B133" s="123"/>
      <c r="C133" s="71" t="s">
        <v>73</v>
      </c>
      <c r="D133" s="124"/>
      <c r="E133" s="125"/>
      <c r="F133" s="66">
        <v>2000000</v>
      </c>
      <c r="G133" s="63">
        <f t="shared" si="12"/>
        <v>200000</v>
      </c>
      <c r="H133" s="66"/>
      <c r="I133" s="63">
        <f t="shared" si="13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si="12"/>
        <v>204136</v>
      </c>
      <c r="H134" s="66"/>
      <c r="I134" s="63">
        <f t="shared" si="13"/>
        <v>13245496</v>
      </c>
      <c r="J134" s="82"/>
    </row>
    <row r="135" spans="1:10" ht="18" customHeight="1">
      <c r="A135" s="65">
        <v>42627</v>
      </c>
      <c r="B135" s="123"/>
      <c r="C135" s="71" t="s">
        <v>73</v>
      </c>
      <c r="D135" s="124"/>
      <c r="E135" s="125"/>
      <c r="F135" s="66">
        <v>2000000</v>
      </c>
      <c r="G135" s="63">
        <f t="shared" si="12"/>
        <v>200000</v>
      </c>
      <c r="H135" s="66"/>
      <c r="I135" s="63">
        <f t="shared" si="13"/>
        <v>15445496</v>
      </c>
      <c r="J135" s="82"/>
    </row>
    <row r="136" spans="1:10" ht="18" customHeight="1">
      <c r="A136" s="65">
        <v>42635</v>
      </c>
      <c r="B136" s="123"/>
      <c r="C136" s="71" t="s">
        <v>73</v>
      </c>
      <c r="D136" s="124"/>
      <c r="E136" s="125"/>
      <c r="F136" s="66">
        <v>163428701</v>
      </c>
      <c r="G136" s="63">
        <f t="shared" si="12"/>
        <v>16342870</v>
      </c>
      <c r="H136" s="66"/>
      <c r="I136" s="63">
        <f t="shared" si="13"/>
        <v>195217067</v>
      </c>
      <c r="J136" s="82"/>
    </row>
    <row r="137" spans="1:10" ht="18" customHeight="1">
      <c r="A137" s="65"/>
      <c r="B137" s="123"/>
      <c r="C137" s="96"/>
      <c r="D137" s="124"/>
      <c r="E137" s="125"/>
      <c r="F137" s="66"/>
      <c r="G137" s="63">
        <f t="shared" ref="G137:G155" si="18">ROUND(F137*10%,0)</f>
        <v>0</v>
      </c>
      <c r="H137" s="66"/>
      <c r="I137" s="63">
        <f t="shared" ref="I137:I155" si="19">IF(C137&lt;&gt;"",I136+F137+G137-H137,0)</f>
        <v>0</v>
      </c>
      <c r="J137" s="82"/>
    </row>
    <row r="138" spans="1:10" ht="18" customHeight="1">
      <c r="A138" s="65"/>
      <c r="B138" s="123"/>
      <c r="C138" s="96"/>
      <c r="D138" s="124"/>
      <c r="E138" s="125"/>
      <c r="F138" s="66"/>
      <c r="G138" s="63">
        <f t="shared" si="18"/>
        <v>0</v>
      </c>
      <c r="H138" s="66"/>
      <c r="I138" s="63">
        <f t="shared" si="19"/>
        <v>0</v>
      </c>
      <c r="J138" s="82"/>
    </row>
    <row r="139" spans="1:10" ht="18" customHeight="1">
      <c r="A139" s="65"/>
      <c r="B139" s="123"/>
      <c r="C139" s="96"/>
      <c r="D139" s="124"/>
      <c r="E139" s="125"/>
      <c r="F139" s="66"/>
      <c r="G139" s="63">
        <f t="shared" si="18"/>
        <v>0</v>
      </c>
      <c r="H139" s="66"/>
      <c r="I139" s="63">
        <f t="shared" si="19"/>
        <v>0</v>
      </c>
      <c r="J139" s="82"/>
    </row>
    <row r="140" spans="1:10" ht="18" customHeight="1">
      <c r="A140" s="65"/>
      <c r="B140" s="123"/>
      <c r="C140" s="96"/>
      <c r="D140" s="124"/>
      <c r="E140" s="125"/>
      <c r="F140" s="66"/>
      <c r="G140" s="63">
        <f t="shared" si="18"/>
        <v>0</v>
      </c>
      <c r="H140" s="66"/>
      <c r="I140" s="63">
        <f t="shared" si="19"/>
        <v>0</v>
      </c>
      <c r="J140" s="82"/>
    </row>
    <row r="141" spans="1:10" ht="18" customHeight="1">
      <c r="A141" s="65"/>
      <c r="B141" s="123"/>
      <c r="C141" s="96"/>
      <c r="D141" s="124"/>
      <c r="E141" s="125"/>
      <c r="F141" s="66"/>
      <c r="G141" s="63">
        <f t="shared" si="18"/>
        <v>0</v>
      </c>
      <c r="H141" s="66"/>
      <c r="I141" s="63">
        <f t="shared" si="19"/>
        <v>0</v>
      </c>
      <c r="J141" s="82"/>
    </row>
    <row r="142" spans="1:10" ht="18" customHeight="1">
      <c r="A142" s="65"/>
      <c r="B142" s="123"/>
      <c r="C142" s="96"/>
      <c r="D142" s="124"/>
      <c r="E142" s="125"/>
      <c r="F142" s="66"/>
      <c r="G142" s="63">
        <f t="shared" si="18"/>
        <v>0</v>
      </c>
      <c r="H142" s="66"/>
      <c r="I142" s="63">
        <f t="shared" si="19"/>
        <v>0</v>
      </c>
      <c r="J142" s="82"/>
    </row>
    <row r="143" spans="1:10" ht="18" customHeight="1">
      <c r="A143" s="65"/>
      <c r="B143" s="123"/>
      <c r="C143" s="96"/>
      <c r="D143" s="124"/>
      <c r="E143" s="125"/>
      <c r="F143" s="66"/>
      <c r="G143" s="63">
        <f t="shared" si="18"/>
        <v>0</v>
      </c>
      <c r="H143" s="66"/>
      <c r="I143" s="63">
        <f t="shared" si="19"/>
        <v>0</v>
      </c>
      <c r="J143" s="82"/>
    </row>
    <row r="144" spans="1:10" ht="18" customHeight="1">
      <c r="A144" s="65"/>
      <c r="B144" s="123"/>
      <c r="C144" s="96"/>
      <c r="D144" s="124"/>
      <c r="E144" s="125"/>
      <c r="F144" s="66"/>
      <c r="G144" s="63">
        <f t="shared" si="18"/>
        <v>0</v>
      </c>
      <c r="H144" s="66"/>
      <c r="I144" s="63">
        <f t="shared" si="19"/>
        <v>0</v>
      </c>
      <c r="J144" s="82"/>
    </row>
    <row r="145" spans="1:10" ht="18" customHeight="1">
      <c r="A145" s="65"/>
      <c r="B145" s="123"/>
      <c r="C145" s="96"/>
      <c r="D145" s="124"/>
      <c r="E145" s="125"/>
      <c r="F145" s="66"/>
      <c r="G145" s="63">
        <f t="shared" si="18"/>
        <v>0</v>
      </c>
      <c r="H145" s="66"/>
      <c r="I145" s="63">
        <f t="shared" si="19"/>
        <v>0</v>
      </c>
      <c r="J145" s="82"/>
    </row>
    <row r="146" spans="1:10" ht="18" customHeight="1">
      <c r="A146" s="65"/>
      <c r="B146" s="123"/>
      <c r="C146" s="96"/>
      <c r="D146" s="124"/>
      <c r="E146" s="125"/>
      <c r="F146" s="66"/>
      <c r="G146" s="63">
        <f t="shared" si="18"/>
        <v>0</v>
      </c>
      <c r="H146" s="66"/>
      <c r="I146" s="63">
        <f t="shared" si="19"/>
        <v>0</v>
      </c>
      <c r="J146" s="82"/>
    </row>
    <row r="147" spans="1:10" ht="18" customHeight="1">
      <c r="A147" s="65"/>
      <c r="B147" s="123"/>
      <c r="C147" s="96"/>
      <c r="D147" s="124"/>
      <c r="E147" s="125"/>
      <c r="F147" s="66"/>
      <c r="G147" s="63">
        <f t="shared" si="18"/>
        <v>0</v>
      </c>
      <c r="H147" s="66"/>
      <c r="I147" s="63">
        <f t="shared" si="19"/>
        <v>0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8"/>
        <v>0</v>
      </c>
      <c r="H148" s="66"/>
      <c r="I148" s="63">
        <f t="shared" si="19"/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8"/>
        <v>0</v>
      </c>
      <c r="H149" s="66"/>
      <c r="I149" s="63">
        <f t="shared" si="19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8"/>
        <v>0</v>
      </c>
      <c r="H150" s="66"/>
      <c r="I150" s="63">
        <f t="shared" si="19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8"/>
        <v>0</v>
      </c>
      <c r="H151" s="66"/>
      <c r="I151" s="63">
        <f t="shared" si="19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8"/>
        <v>0</v>
      </c>
      <c r="H152" s="66"/>
      <c r="I152" s="63">
        <f t="shared" si="19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8"/>
        <v>0</v>
      </c>
      <c r="H153" s="66"/>
      <c r="I153" s="63">
        <f t="shared" si="19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8"/>
        <v>0</v>
      </c>
      <c r="H154" s="66"/>
      <c r="I154" s="63">
        <f t="shared" si="19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8"/>
        <v>0</v>
      </c>
      <c r="H155" s="66"/>
      <c r="I155" s="63">
        <f t="shared" si="19"/>
        <v>0</v>
      </c>
      <c r="J155" s="82"/>
    </row>
    <row r="156" spans="1:10" ht="18" customHeight="1">
      <c r="A156" s="65"/>
      <c r="B156" s="74"/>
      <c r="C156" s="71"/>
      <c r="D156" s="72"/>
      <c r="E156" s="66"/>
      <c r="F156" s="66"/>
      <c r="G156" s="66"/>
      <c r="H156" s="66"/>
      <c r="I156" s="63">
        <f>IF(C156&lt;&gt;"",I155+F156+G156-H156,0)</f>
        <v>0</v>
      </c>
      <c r="J156" s="82"/>
    </row>
    <row r="157" spans="1:10" s="68" customFormat="1" ht="18" customHeight="1">
      <c r="A157" s="567" t="s">
        <v>3</v>
      </c>
      <c r="B157" s="567"/>
      <c r="C157" s="567"/>
      <c r="D157" s="45"/>
      <c r="E157" s="45"/>
      <c r="F157" s="67">
        <f>I12+SUM(F13:F156)</f>
        <v>2782253455.5799999</v>
      </c>
      <c r="G157" s="67">
        <f>SUM(G13:G156)</f>
        <v>124048162</v>
      </c>
      <c r="H157" s="67">
        <f>SUM(H13:H156)</f>
        <v>2711084550.5799999</v>
      </c>
      <c r="I157" s="45">
        <f>F157+G157-H157</f>
        <v>195217067</v>
      </c>
      <c r="J157" s="62"/>
    </row>
    <row r="158" spans="1:10" ht="18" customHeight="1"/>
    <row r="159" spans="1:10" ht="21" hidden="1" customHeight="1">
      <c r="C159" s="46"/>
      <c r="D159" s="46"/>
      <c r="E159" s="46"/>
      <c r="F159" s="69" t="s">
        <v>20</v>
      </c>
      <c r="G159" s="69"/>
    </row>
    <row r="160" spans="1:10" ht="21" hidden="1" customHeight="1"/>
    <row r="161" spans="1:8" ht="21" hidden="1" customHeight="1"/>
    <row r="162" spans="1:8" ht="14.25" hidden="1" customHeight="1">
      <c r="H162" s="70" t="s">
        <v>21</v>
      </c>
    </row>
    <row r="163" spans="1:8" ht="21" hidden="1" customHeight="1">
      <c r="A163" s="55" t="s">
        <v>22</v>
      </c>
      <c r="F163" s="55" t="s">
        <v>23</v>
      </c>
    </row>
    <row r="164" spans="1:8" ht="21" hidden="1" customHeight="1"/>
    <row r="165" spans="1:8" ht="21" hidden="1" customHeight="1"/>
    <row r="166" spans="1:8" ht="21" hidden="1" customHeight="1"/>
    <row r="167" spans="1:8" ht="21" hidden="1" customHeight="1"/>
    <row r="168" spans="1:8" ht="21" hidden="1" customHeight="1"/>
    <row r="169" spans="1:8" ht="21" customHeight="1"/>
    <row r="170" spans="1:8" ht="21" customHeight="1"/>
    <row r="171" spans="1:8" ht="2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</sheetData>
  <mergeCells count="6">
    <mergeCell ref="A12:C12"/>
    <mergeCell ref="J17:J18"/>
    <mergeCell ref="A2:B2"/>
    <mergeCell ref="A157:C157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47"/>
  <sheetViews>
    <sheetView topLeftCell="A5" zoomScale="95" workbookViewId="0">
      <pane ySplit="7" topLeftCell="A104" activePane="bottomLeft" state="frozen"/>
      <selection activeCell="A5" sqref="A5"/>
      <selection pane="bottomLeft" activeCell="A121" sqref="A12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66" t="s">
        <v>10</v>
      </c>
      <c r="B2" s="566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68" t="s">
        <v>12</v>
      </c>
      <c r="B5" s="568"/>
      <c r="C5" s="568"/>
      <c r="D5" s="568"/>
      <c r="E5" s="568"/>
      <c r="F5" s="568"/>
      <c r="G5" s="81"/>
    </row>
    <row r="6" spans="1:7" ht="9" hidden="1" customHeight="1">
      <c r="A6" s="569"/>
      <c r="B6" s="569"/>
      <c r="C6" s="569"/>
      <c r="D6" s="569"/>
      <c r="E6" s="569"/>
      <c r="F6" s="569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26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ref="F102:F113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8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8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8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8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ref="F111" si="9">IF(C111&lt;&gt;"",F110+D111-E111,0)</f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8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8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ref="F114:F125" si="10">IF(C114&lt;&gt;"",F113+D114-E114,0)</f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10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10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10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10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10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ref="F120" si="11">IF(C120&lt;&gt;"",F119+D120-E120,0)</f>
        <v>0</v>
      </c>
      <c r="G120" s="82"/>
    </row>
    <row r="121" spans="1:7" ht="18" customHeight="1">
      <c r="A121" s="65"/>
      <c r="B121" s="123"/>
      <c r="C121" s="103"/>
      <c r="D121" s="268"/>
      <c r="E121" s="268"/>
      <c r="F121" s="63">
        <f t="shared" si="10"/>
        <v>0</v>
      </c>
      <c r="G121" s="82"/>
    </row>
    <row r="122" spans="1:7" ht="18" customHeight="1">
      <c r="A122" s="65"/>
      <c r="B122" s="123"/>
      <c r="C122" s="103"/>
      <c r="D122" s="268"/>
      <c r="E122" s="268"/>
      <c r="F122" s="63">
        <f t="shared" si="10"/>
        <v>0</v>
      </c>
      <c r="G122" s="82"/>
    </row>
    <row r="123" spans="1:7" ht="18" customHeight="1">
      <c r="A123" s="65"/>
      <c r="B123" s="123"/>
      <c r="C123" s="103"/>
      <c r="D123" s="268"/>
      <c r="E123" s="268"/>
      <c r="F123" s="63">
        <f t="shared" si="10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10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10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2"/>
        <v>0</v>
      </c>
      <c r="G126" s="82"/>
    </row>
    <row r="127" spans="1:7" s="68" customFormat="1" ht="18" customHeight="1">
      <c r="A127" s="567" t="s">
        <v>3</v>
      </c>
      <c r="B127" s="567"/>
      <c r="C127" s="567"/>
      <c r="D127" s="67">
        <f>SUM(D12:D126)</f>
        <v>182080000</v>
      </c>
      <c r="E127" s="67">
        <f>SUM(E12:E126)</f>
        <v>182080000</v>
      </c>
      <c r="F127" s="45">
        <f>D127-E127</f>
        <v>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3" activePane="bottomLeft" state="frozen"/>
      <selection activeCell="B61" sqref="B61"/>
      <selection pane="bottomLeft" activeCell="I117" sqref="I117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70" t="s">
        <v>10</v>
      </c>
      <c r="B2" s="570"/>
      <c r="C2" s="570"/>
      <c r="D2" s="570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8" t="s">
        <v>117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42538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/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67" t="s">
        <v>3</v>
      </c>
      <c r="B116" s="567"/>
      <c r="C116" s="567"/>
      <c r="D116" s="567"/>
      <c r="E116" s="567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571">
        <f>I116</f>
        <v>0</v>
      </c>
      <c r="E118" s="571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8"/>
  <sheetViews>
    <sheetView topLeftCell="A5" zoomScale="90" workbookViewId="0">
      <pane ySplit="7" topLeftCell="A12" activePane="bottomLeft" state="frozen"/>
      <selection activeCell="B61" sqref="B61"/>
      <selection pane="bottomLeft" activeCell="B31" sqref="B31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70" t="s">
        <v>10</v>
      </c>
      <c r="B2" s="570"/>
      <c r="C2" s="570"/>
      <c r="D2" s="570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8" t="s">
        <v>117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37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f>I17</f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2020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2020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2021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2021</v>
      </c>
      <c r="C24" s="140"/>
      <c r="D24" s="141"/>
      <c r="E24" s="73" t="s">
        <v>105</v>
      </c>
      <c r="F24" s="66">
        <v>7839585</v>
      </c>
      <c r="G24" s="142">
        <f>F24*10%</f>
        <v>783958.5</v>
      </c>
      <c r="H24" s="142"/>
      <c r="I24" s="264">
        <f t="shared" ref="I24:I33" si="1">ROUND(IF(E24&lt;&gt;"",I23+F24+G24-H24,0),0)</f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1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1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1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f>F28*10%</f>
        <v>1935564.4000000001</v>
      </c>
      <c r="H28" s="142"/>
      <c r="I28" s="264">
        <f t="shared" si="1"/>
        <v>143504966</v>
      </c>
      <c r="J28" s="143"/>
    </row>
    <row r="29" spans="1:10" s="108" customFormat="1" ht="18" customHeight="1">
      <c r="A29" s="65">
        <v>42602</v>
      </c>
      <c r="B29" s="65" t="s">
        <v>2176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1"/>
        <v>169631066</v>
      </c>
      <c r="J29" s="143"/>
    </row>
    <row r="30" spans="1:10" s="108" customFormat="1" ht="18" customHeight="1">
      <c r="A30" s="65">
        <v>42602</v>
      </c>
      <c r="B30" s="65" t="s">
        <v>2176</v>
      </c>
      <c r="C30" s="140"/>
      <c r="D30" s="141"/>
      <c r="E30" s="73" t="s">
        <v>105</v>
      </c>
      <c r="F30" s="66">
        <v>19735254</v>
      </c>
      <c r="G30" s="142">
        <f>F30*10%</f>
        <v>1973525.4000000001</v>
      </c>
      <c r="H30" s="142"/>
      <c r="I30" s="264">
        <f t="shared" si="1"/>
        <v>191339845</v>
      </c>
      <c r="J30" s="143"/>
    </row>
    <row r="31" spans="1:10" s="108" customFormat="1" ht="18" customHeight="1">
      <c r="A31" s="65"/>
      <c r="B31" s="65"/>
      <c r="C31" s="140"/>
      <c r="D31" s="141"/>
      <c r="E31" s="64"/>
      <c r="F31" s="66"/>
      <c r="G31" s="142"/>
      <c r="H31" s="142"/>
      <c r="I31" s="264">
        <f t="shared" si="1"/>
        <v>0</v>
      </c>
      <c r="J31" s="143"/>
    </row>
    <row r="32" spans="1:10" s="108" customFormat="1" ht="18" customHeight="1">
      <c r="A32" s="65"/>
      <c r="B32" s="65"/>
      <c r="C32" s="140"/>
      <c r="D32" s="141"/>
      <c r="E32" s="64"/>
      <c r="F32" s="66"/>
      <c r="G32" s="142"/>
      <c r="H32" s="142"/>
      <c r="I32" s="264">
        <f t="shared" si="1"/>
        <v>0</v>
      </c>
      <c r="J32" s="143"/>
    </row>
    <row r="33" spans="1:10" s="108" customFormat="1" ht="18" customHeight="1">
      <c r="A33" s="65"/>
      <c r="B33" s="65"/>
      <c r="C33" s="140"/>
      <c r="D33" s="141"/>
      <c r="E33" s="64"/>
      <c r="F33" s="66"/>
      <c r="G33" s="142"/>
      <c r="H33" s="142"/>
      <c r="I33" s="264">
        <f t="shared" si="1"/>
        <v>0</v>
      </c>
      <c r="J33" s="143"/>
    </row>
    <row r="34" spans="1:10" s="108" customFormat="1" ht="18" customHeight="1">
      <c r="A34" s="65"/>
      <c r="B34" s="65"/>
      <c r="C34" s="140"/>
      <c r="D34" s="141"/>
      <c r="E34" s="64"/>
      <c r="F34" s="66"/>
      <c r="G34" s="142"/>
      <c r="H34" s="142"/>
      <c r="I34" s="264">
        <f t="shared" si="0"/>
        <v>0</v>
      </c>
      <c r="J34" s="143"/>
    </row>
    <row r="35" spans="1:10" s="108" customFormat="1" ht="18" customHeight="1">
      <c r="A35" s="65"/>
      <c r="B35" s="65"/>
      <c r="C35" s="140"/>
      <c r="D35" s="141"/>
      <c r="E35" s="64"/>
      <c r="F35" s="66"/>
      <c r="G35" s="142"/>
      <c r="H35" s="142"/>
      <c r="I35" s="264">
        <f t="shared" si="0"/>
        <v>0</v>
      </c>
      <c r="J35" s="143"/>
    </row>
    <row r="36" spans="1:10" s="108" customFormat="1" ht="18" customHeight="1">
      <c r="A36" s="65"/>
      <c r="B36" s="65"/>
      <c r="C36" s="140"/>
      <c r="D36" s="141"/>
      <c r="E36" s="64"/>
      <c r="F36" s="66"/>
      <c r="G36" s="142"/>
      <c r="H36" s="142"/>
      <c r="I36" s="264">
        <f t="shared" si="0"/>
        <v>0</v>
      </c>
      <c r="J36" s="143"/>
    </row>
    <row r="37" spans="1:10" ht="18" customHeight="1">
      <c r="A37" s="65"/>
      <c r="B37" s="65"/>
      <c r="C37" s="74"/>
      <c r="D37" s="72"/>
      <c r="E37" s="71"/>
      <c r="F37" s="66"/>
      <c r="G37" s="66"/>
      <c r="H37" s="66"/>
      <c r="I37" s="264">
        <f t="shared" si="0"/>
        <v>0</v>
      </c>
      <c r="J37" s="82"/>
    </row>
    <row r="38" spans="1:10" s="68" customFormat="1" ht="18" customHeight="1">
      <c r="A38" s="567" t="s">
        <v>3</v>
      </c>
      <c r="B38" s="567"/>
      <c r="C38" s="567"/>
      <c r="D38" s="567"/>
      <c r="E38" s="567"/>
      <c r="F38" s="67">
        <f>SUM(F12:F37)</f>
        <v>246114663</v>
      </c>
      <c r="G38" s="67">
        <f>SUM(G12:G37)</f>
        <v>9600286.3000000007</v>
      </c>
      <c r="H38" s="67">
        <f>SUM(H12:H37)</f>
        <v>64375104</v>
      </c>
      <c r="I38" s="418">
        <f>F38+G38-H38</f>
        <v>191339845.30000001</v>
      </c>
      <c r="J38" s="62"/>
    </row>
    <row r="39" spans="1:10" ht="18" customHeight="1"/>
    <row r="40" spans="1:10" ht="21" customHeight="1">
      <c r="D40" s="571">
        <f>I38</f>
        <v>191339845.30000001</v>
      </c>
      <c r="E40" s="571"/>
      <c r="F40" s="69" t="s">
        <v>20</v>
      </c>
      <c r="G40" s="69"/>
    </row>
    <row r="41" spans="1:10" ht="21" customHeight="1"/>
    <row r="42" spans="1:10" ht="21" customHeight="1"/>
    <row r="43" spans="1:10" ht="14.25" customHeight="1">
      <c r="H43" s="70" t="s">
        <v>21</v>
      </c>
    </row>
    <row r="44" spans="1:10" ht="21" customHeight="1">
      <c r="A44" s="55" t="s">
        <v>22</v>
      </c>
      <c r="B44" s="70"/>
      <c r="F44" s="55" t="s">
        <v>23</v>
      </c>
    </row>
    <row r="45" spans="1:10" ht="21" customHeight="1"/>
    <row r="46" spans="1:10" ht="21" customHeight="1"/>
    <row r="47" spans="1:10" ht="21" customHeight="1"/>
    <row r="48" spans="1:10" ht="21" customHeight="1"/>
    <row r="49" spans="2:10" ht="21" customHeight="1"/>
    <row r="50" spans="2:10" ht="21" customHeight="1"/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  <row r="56" spans="2:10" s="54" customFormat="1" ht="21" customHeight="1">
      <c r="B56" s="129"/>
      <c r="C56" s="55"/>
      <c r="D56" s="56"/>
      <c r="E56" s="57"/>
      <c r="F56" s="55"/>
      <c r="G56" s="55"/>
      <c r="H56" s="55"/>
      <c r="I56" s="55"/>
      <c r="J56" s="50"/>
    </row>
    <row r="57" spans="2:10" s="54" customFormat="1" ht="21" customHeight="1">
      <c r="B57" s="129"/>
      <c r="C57" s="55"/>
      <c r="D57" s="56"/>
      <c r="E57" s="57"/>
      <c r="F57" s="55"/>
      <c r="G57" s="55"/>
      <c r="H57" s="55"/>
      <c r="I57" s="55"/>
      <c r="J57" s="50"/>
    </row>
    <row r="58" spans="2:10" s="54" customFormat="1" ht="21" customHeight="1">
      <c r="B58" s="129"/>
      <c r="C58" s="55"/>
      <c r="D58" s="56"/>
      <c r="E58" s="57"/>
      <c r="F58" s="55"/>
      <c r="G58" s="55"/>
      <c r="H58" s="55"/>
      <c r="I58" s="55"/>
      <c r="J58" s="50"/>
    </row>
  </sheetData>
  <autoFilter ref="A11:J38"/>
  <mergeCells count="5">
    <mergeCell ref="A2:D2"/>
    <mergeCell ref="A5:I5"/>
    <mergeCell ref="A6:I6"/>
    <mergeCell ref="A38:E38"/>
    <mergeCell ref="D40:E40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topLeftCell="A5" zoomScale="90" workbookViewId="0">
      <pane ySplit="7" topLeftCell="A12" activePane="bottomLeft" state="frozen"/>
      <selection activeCell="B61" sqref="B61"/>
      <selection pane="bottomLeft" activeCell="E28" sqref="E28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70" t="s">
        <v>10</v>
      </c>
      <c r="B2" s="570"/>
      <c r="C2" s="570"/>
      <c r="D2" s="570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8" t="s">
        <v>117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F13*10%</f>
        <v>373154</v>
      </c>
      <c r="H13" s="142"/>
      <c r="I13" s="264">
        <f t="shared" ref="I13:I20" si="0">ROUND(IF(E13&lt;&gt;"",I12+F13+G13-H13,0),0)</f>
        <v>10803694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si="0"/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0"/>
        <v>0</v>
      </c>
      <c r="J17" s="143"/>
    </row>
    <row r="18" spans="1:10" s="266" customFormat="1" ht="18" customHeight="1">
      <c r="A18" s="280"/>
      <c r="B18" s="280"/>
      <c r="C18" s="281"/>
      <c r="D18" s="282"/>
      <c r="E18" s="467"/>
      <c r="F18" s="283"/>
      <c r="G18" s="283"/>
      <c r="H18" s="283">
        <f>I17</f>
        <v>0</v>
      </c>
      <c r="I18" s="264">
        <f t="shared" si="0"/>
        <v>0</v>
      </c>
      <c r="J18" s="284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ht="18" customHeight="1">
      <c r="A21" s="65"/>
      <c r="B21" s="65"/>
      <c r="C21" s="74"/>
      <c r="D21" s="72"/>
      <c r="E21" s="71"/>
      <c r="F21" s="66"/>
      <c r="G21" s="66"/>
      <c r="H21" s="66"/>
      <c r="I21" s="264">
        <f>ROUND(IF(E21&lt;&gt;"",#REF!+F21+G21-H21,0),0)</f>
        <v>0</v>
      </c>
      <c r="J21" s="82"/>
    </row>
    <row r="22" spans="1:10" s="68" customFormat="1" ht="18" customHeight="1">
      <c r="A22" s="567" t="s">
        <v>3</v>
      </c>
      <c r="B22" s="567"/>
      <c r="C22" s="567"/>
      <c r="D22" s="567"/>
      <c r="E22" s="567"/>
      <c r="F22" s="67">
        <f>SUM(F12:F21)</f>
        <v>10430540</v>
      </c>
      <c r="G22" s="67">
        <f>SUM(G12:G21)</f>
        <v>373154</v>
      </c>
      <c r="H22" s="67">
        <f>SUM(H12:H21)</f>
        <v>0</v>
      </c>
      <c r="I22" s="468">
        <f>F22+G22-H22</f>
        <v>10803694</v>
      </c>
      <c r="J22" s="62"/>
    </row>
    <row r="23" spans="1:10" ht="18" customHeight="1"/>
    <row r="24" spans="1:10" ht="21" customHeight="1">
      <c r="D24" s="571">
        <f>I22</f>
        <v>10803694</v>
      </c>
      <c r="E24" s="571"/>
      <c r="F24" s="69" t="s">
        <v>20</v>
      </c>
      <c r="G24" s="69"/>
    </row>
    <row r="25" spans="1:10" ht="21" customHeight="1"/>
    <row r="26" spans="1:10" ht="21" customHeight="1"/>
    <row r="27" spans="1:10" ht="14.25" customHeight="1">
      <c r="H27" s="70" t="s">
        <v>21</v>
      </c>
    </row>
    <row r="28" spans="1:10" ht="21" customHeight="1">
      <c r="A28" s="55" t="s">
        <v>22</v>
      </c>
      <c r="B28" s="70"/>
      <c r="F28" s="55" t="s">
        <v>23</v>
      </c>
    </row>
    <row r="29" spans="1:10" ht="21" customHeight="1"/>
    <row r="30" spans="1:10" ht="21" customHeight="1"/>
    <row r="31" spans="1:10" ht="21" customHeight="1"/>
    <row r="32" spans="1:10" ht="21" customHeight="1"/>
    <row r="33" spans="2:10" ht="21" customHeight="1"/>
    <row r="34" spans="2:10" ht="21" customHeight="1"/>
    <row r="35" spans="2:10" s="54" customFormat="1" ht="21" customHeight="1">
      <c r="B35" s="129"/>
      <c r="C35" s="55"/>
      <c r="D35" s="56"/>
      <c r="E35" s="57"/>
      <c r="F35" s="55"/>
      <c r="G35" s="55"/>
      <c r="H35" s="55"/>
      <c r="I35" s="55"/>
      <c r="J35" s="50"/>
    </row>
    <row r="36" spans="2:10" s="54" customFormat="1" ht="21" customHeight="1">
      <c r="B36" s="129"/>
      <c r="C36" s="55"/>
      <c r="D36" s="56"/>
      <c r="E36" s="57"/>
      <c r="F36" s="55"/>
      <c r="G36" s="55"/>
      <c r="H36" s="55"/>
      <c r="I36" s="55"/>
      <c r="J36" s="50"/>
    </row>
    <row r="37" spans="2:10" s="54" customFormat="1" ht="21" customHeight="1">
      <c r="B37" s="129"/>
      <c r="C37" s="55"/>
      <c r="D37" s="56"/>
      <c r="E37" s="57"/>
      <c r="F37" s="55"/>
      <c r="G37" s="55"/>
      <c r="H37" s="55"/>
      <c r="I37" s="55"/>
      <c r="J37" s="50"/>
    </row>
    <row r="38" spans="2:10" s="54" customFormat="1" ht="21" customHeight="1">
      <c r="B38" s="129"/>
      <c r="C38" s="55"/>
      <c r="D38" s="56"/>
      <c r="E38" s="57"/>
      <c r="F38" s="55"/>
      <c r="G38" s="55"/>
      <c r="H38" s="55"/>
      <c r="I38" s="55"/>
      <c r="J38" s="50"/>
    </row>
    <row r="39" spans="2:10" s="54" customFormat="1" ht="21" customHeight="1">
      <c r="B39" s="129"/>
      <c r="C39" s="55"/>
      <c r="D39" s="56"/>
      <c r="E39" s="57"/>
      <c r="F39" s="55"/>
      <c r="G39" s="55"/>
      <c r="H39" s="55"/>
      <c r="I39" s="55"/>
      <c r="J39" s="50"/>
    </row>
    <row r="40" spans="2:10" s="54" customFormat="1" ht="21" customHeight="1">
      <c r="B40" s="129"/>
      <c r="C40" s="55"/>
      <c r="D40" s="56"/>
      <c r="E40" s="57"/>
      <c r="F40" s="55"/>
      <c r="G40" s="55"/>
      <c r="H40" s="55"/>
      <c r="I40" s="55"/>
      <c r="J40" s="50"/>
    </row>
    <row r="41" spans="2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2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</sheetData>
  <autoFilter ref="A11:J22"/>
  <mergeCells count="5">
    <mergeCell ref="A2:D2"/>
    <mergeCell ref="A5:I5"/>
    <mergeCell ref="A6:I6"/>
    <mergeCell ref="A22:E22"/>
    <mergeCell ref="D24:E24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5" zoomScale="90" workbookViewId="0">
      <pane ySplit="7" topLeftCell="A12" activePane="bottomLeft" state="frozen"/>
      <selection activeCell="B61" sqref="B61"/>
      <selection pane="bottomLeft" activeCell="I23" sqref="I23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15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70" t="s">
        <v>10</v>
      </c>
      <c r="B2" s="570"/>
      <c r="C2" s="570"/>
      <c r="D2" s="570"/>
      <c r="E2" s="134"/>
      <c r="F2" s="135"/>
      <c r="G2" s="135"/>
      <c r="H2" s="135"/>
      <c r="J2" s="136"/>
    </row>
    <row r="3" spans="1:10" s="19" customFormat="1" ht="18" customHeight="1">
      <c r="A3" s="515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8" t="s">
        <v>117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2159</v>
      </c>
      <c r="F13" s="66">
        <v>2569100</v>
      </c>
      <c r="G13" s="142">
        <f>F13*10%</f>
        <v>256910</v>
      </c>
      <c r="H13" s="142"/>
      <c r="I13" s="264">
        <f t="shared" ref="I13:I31" si="0">ROUND(IF(E13&lt;&gt;"",I12+F13+G13-H13,0),0)</f>
        <v>27710536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ref="I16:I30" si="1">ROUND(IF(E16&lt;&gt;"",I15+F16+G16-H16,0),0)</f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1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1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1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1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1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1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567" t="s">
        <v>3</v>
      </c>
      <c r="B33" s="567"/>
      <c r="C33" s="567"/>
      <c r="D33" s="567"/>
      <c r="E33" s="567"/>
      <c r="F33" s="67">
        <f>SUM(F12:F32)</f>
        <v>27453626</v>
      </c>
      <c r="G33" s="67">
        <f>SUM(G12:G32)</f>
        <v>256910</v>
      </c>
      <c r="H33" s="67">
        <f>SUM(H12:H32)</f>
        <v>0</v>
      </c>
      <c r="I33" s="514">
        <f>F33+G33-H33</f>
        <v>27710536</v>
      </c>
      <c r="J33" s="62"/>
    </row>
    <row r="34" spans="1:10" ht="18" customHeight="1"/>
    <row r="35" spans="1:10" ht="21" customHeight="1">
      <c r="D35" s="571">
        <f>I33</f>
        <v>27710536</v>
      </c>
      <c r="E35" s="571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56"/>
  <sheetViews>
    <sheetView topLeftCell="A138" workbookViewId="0">
      <selection activeCell="D164" sqref="D164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73" t="s">
        <v>483</v>
      </c>
      <c r="B1" s="573"/>
      <c r="C1" s="573"/>
      <c r="D1" s="573"/>
      <c r="E1" s="573"/>
      <c r="F1" s="573"/>
      <c r="G1" s="573"/>
      <c r="H1" s="573"/>
      <c r="I1" s="573"/>
    </row>
    <row r="2" spans="1:16">
      <c r="A2" s="574" t="s">
        <v>484</v>
      </c>
      <c r="B2" s="574"/>
      <c r="C2" s="574"/>
      <c r="D2" s="574"/>
      <c r="E2" s="574"/>
      <c r="F2" s="574"/>
      <c r="G2" s="574"/>
      <c r="H2" s="574"/>
      <c r="I2" s="574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75" t="s">
        <v>485</v>
      </c>
      <c r="B4" s="575"/>
      <c r="C4" s="575"/>
      <c r="D4" s="575"/>
      <c r="E4" s="575"/>
      <c r="F4" s="575"/>
      <c r="G4" s="575"/>
      <c r="H4" s="575"/>
      <c r="I4" s="575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76" t="s">
        <v>3</v>
      </c>
      <c r="B9" s="576"/>
      <c r="C9" s="576"/>
      <c r="D9" s="576"/>
      <c r="E9" s="576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572"/>
      <c r="H11" s="572"/>
      <c r="I11" s="572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76" t="s">
        <v>3</v>
      </c>
      <c r="B17" s="576"/>
      <c r="C17" s="576"/>
      <c r="D17" s="576"/>
      <c r="E17" s="576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578" t="s">
        <v>499</v>
      </c>
      <c r="B18" s="578"/>
      <c r="C18" s="578"/>
      <c r="D18" s="578"/>
      <c r="E18" s="578"/>
      <c r="F18" s="578"/>
      <c r="G18" s="578"/>
      <c r="H18" s="578"/>
      <c r="I18" s="578"/>
    </row>
    <row r="20" spans="1:12">
      <c r="A20" s="579" t="s">
        <v>500</v>
      </c>
      <c r="B20" s="579"/>
      <c r="C20" s="579"/>
      <c r="D20" s="579"/>
      <c r="G20" s="572" t="s">
        <v>501</v>
      </c>
      <c r="H20" s="572"/>
      <c r="I20" s="572"/>
    </row>
    <row r="21" spans="1:12">
      <c r="A21" s="577" t="s">
        <v>502</v>
      </c>
      <c r="B21" s="577"/>
      <c r="C21" s="577"/>
      <c r="D21" s="577"/>
      <c r="G21" s="572"/>
      <c r="H21" s="572"/>
      <c r="I21" s="572"/>
    </row>
    <row r="22" spans="1:12">
      <c r="A22" s="577" t="s">
        <v>503</v>
      </c>
      <c r="B22" s="577"/>
      <c r="C22" s="577"/>
      <c r="D22" s="577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572"/>
      <c r="H24" s="572"/>
      <c r="I24" s="572"/>
    </row>
    <row r="25" spans="1:12">
      <c r="A25" s="577"/>
      <c r="B25" s="577"/>
      <c r="C25" s="577"/>
      <c r="D25" s="577"/>
    </row>
    <row r="26" spans="1:12" ht="22.5">
      <c r="A26" s="573" t="s">
        <v>483</v>
      </c>
      <c r="B26" s="573"/>
      <c r="C26" s="573"/>
      <c r="D26" s="573"/>
      <c r="E26" s="573"/>
      <c r="F26" s="573"/>
      <c r="G26" s="573"/>
      <c r="H26" s="573"/>
      <c r="I26" s="573"/>
    </row>
    <row r="27" spans="1:12">
      <c r="A27" s="574" t="s">
        <v>484</v>
      </c>
      <c r="B27" s="574"/>
      <c r="C27" s="574"/>
      <c r="D27" s="574"/>
      <c r="E27" s="574"/>
      <c r="F27" s="574"/>
      <c r="G27" s="574"/>
      <c r="H27" s="574"/>
      <c r="I27" s="574"/>
    </row>
    <row r="28" spans="1:12" ht="22.5">
      <c r="A28" s="575" t="s">
        <v>505</v>
      </c>
      <c r="B28" s="575"/>
      <c r="C28" s="575"/>
      <c r="D28" s="575"/>
      <c r="E28" s="575"/>
      <c r="F28" s="575"/>
      <c r="G28" s="575"/>
      <c r="H28" s="575"/>
      <c r="I28" s="575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76" t="s">
        <v>3</v>
      </c>
      <c r="B31" s="576"/>
      <c r="C31" s="576"/>
      <c r="D31" s="576"/>
      <c r="E31" s="576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572"/>
      <c r="H32" s="572"/>
      <c r="I32" s="572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76" t="s">
        <v>3</v>
      </c>
      <c r="B38" s="576"/>
      <c r="C38" s="576"/>
      <c r="D38" s="576"/>
      <c r="E38" s="576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76" t="s">
        <v>3</v>
      </c>
      <c r="B44" s="576"/>
      <c r="C44" s="576"/>
      <c r="D44" s="576"/>
      <c r="E44" s="576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573" t="s">
        <v>483</v>
      </c>
      <c r="B48" s="573"/>
      <c r="C48" s="573"/>
      <c r="D48" s="573"/>
      <c r="E48" s="573"/>
      <c r="F48" s="573"/>
      <c r="G48" s="573"/>
      <c r="H48" s="573"/>
      <c r="I48" s="573"/>
    </row>
    <row r="49" spans="1:16">
      <c r="A49" s="574" t="s">
        <v>484</v>
      </c>
      <c r="B49" s="574"/>
      <c r="C49" s="574"/>
      <c r="D49" s="574"/>
      <c r="E49" s="574"/>
      <c r="F49" s="574"/>
      <c r="G49" s="574"/>
      <c r="H49" s="574"/>
      <c r="I49" s="574"/>
    </row>
    <row r="50" spans="1:16" ht="22.5">
      <c r="A50" s="575" t="s">
        <v>509</v>
      </c>
      <c r="B50" s="575"/>
      <c r="C50" s="575"/>
      <c r="D50" s="575"/>
      <c r="E50" s="575"/>
      <c r="F50" s="575"/>
      <c r="G50" s="575"/>
      <c r="H50" s="575"/>
      <c r="I50" s="575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76" t="s">
        <v>3</v>
      </c>
      <c r="B54" s="576"/>
      <c r="C54" s="576"/>
      <c r="D54" s="576"/>
      <c r="E54" s="576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76" t="s">
        <v>3</v>
      </c>
      <c r="B61" s="576"/>
      <c r="C61" s="576"/>
      <c r="D61" s="576"/>
      <c r="E61" s="576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572"/>
      <c r="H63" s="572"/>
      <c r="I63" s="572"/>
    </row>
    <row r="65" spans="1:16" ht="22.5">
      <c r="A65" s="573" t="s">
        <v>483</v>
      </c>
      <c r="B65" s="573"/>
      <c r="C65" s="573"/>
      <c r="D65" s="573"/>
      <c r="E65" s="573"/>
      <c r="F65" s="573"/>
      <c r="G65" s="573"/>
      <c r="H65" s="573"/>
      <c r="I65" s="573"/>
    </row>
    <row r="66" spans="1:16">
      <c r="A66" s="574" t="s">
        <v>484</v>
      </c>
      <c r="B66" s="574"/>
      <c r="C66" s="574"/>
      <c r="D66" s="574"/>
      <c r="E66" s="574"/>
      <c r="F66" s="574"/>
      <c r="G66" s="574"/>
      <c r="H66" s="574"/>
      <c r="I66" s="574"/>
    </row>
    <row r="67" spans="1:16" ht="22.5" hidden="1">
      <c r="A67" s="575" t="s">
        <v>509</v>
      </c>
      <c r="B67" s="575"/>
      <c r="C67" s="575"/>
      <c r="D67" s="575"/>
      <c r="E67" s="575"/>
      <c r="F67" s="575"/>
      <c r="G67" s="575"/>
      <c r="H67" s="575"/>
      <c r="I67" s="575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76" t="s">
        <v>3</v>
      </c>
      <c r="B71" s="576"/>
      <c r="C71" s="576"/>
      <c r="D71" s="576"/>
      <c r="E71" s="576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76" t="s">
        <v>3</v>
      </c>
      <c r="B78" s="576"/>
      <c r="C78" s="576"/>
      <c r="D78" s="576"/>
      <c r="E78" s="576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572"/>
      <c r="H80" s="572"/>
      <c r="I80" s="572"/>
    </row>
    <row r="81" spans="1:16">
      <c r="A81" s="577"/>
      <c r="B81" s="577"/>
      <c r="C81" s="577"/>
      <c r="D81" s="577"/>
    </row>
    <row r="82" spans="1:16" ht="22.5">
      <c r="A82" s="573" t="s">
        <v>483</v>
      </c>
      <c r="B82" s="573"/>
      <c r="C82" s="573"/>
      <c r="D82" s="573"/>
      <c r="E82" s="573"/>
      <c r="F82" s="573"/>
      <c r="G82" s="573"/>
      <c r="H82" s="573"/>
      <c r="I82" s="573"/>
    </row>
    <row r="83" spans="1:16">
      <c r="A83" s="574" t="s">
        <v>484</v>
      </c>
      <c r="B83" s="574"/>
      <c r="C83" s="574"/>
      <c r="D83" s="574"/>
      <c r="E83" s="574"/>
      <c r="F83" s="574"/>
      <c r="G83" s="574"/>
      <c r="H83" s="574"/>
      <c r="I83" s="574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76" t="s">
        <v>3</v>
      </c>
      <c r="B94" s="576"/>
      <c r="C94" s="576"/>
      <c r="D94" s="576"/>
      <c r="E94" s="576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572"/>
      <c r="H96" s="572"/>
      <c r="I96" s="572"/>
    </row>
    <row r="99" spans="1:16" ht="22.5">
      <c r="A99" s="573" t="s">
        <v>483</v>
      </c>
      <c r="B99" s="573"/>
      <c r="C99" s="573"/>
      <c r="D99" s="573"/>
      <c r="E99" s="573"/>
      <c r="F99" s="573"/>
      <c r="G99" s="573"/>
      <c r="H99" s="573"/>
      <c r="I99" s="573"/>
    </row>
    <row r="100" spans="1:16">
      <c r="A100" s="574" t="s">
        <v>484</v>
      </c>
      <c r="B100" s="574"/>
      <c r="C100" s="574"/>
      <c r="D100" s="574"/>
      <c r="E100" s="574"/>
      <c r="F100" s="574"/>
      <c r="G100" s="574"/>
      <c r="H100" s="574"/>
      <c r="I100" s="574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76" t="s">
        <v>3</v>
      </c>
      <c r="B108" s="576"/>
      <c r="C108" s="576"/>
      <c r="D108" s="576"/>
      <c r="E108" s="576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572"/>
      <c r="H111" s="572"/>
      <c r="I111" s="572"/>
    </row>
    <row r="113" spans="1:16" ht="22.5">
      <c r="A113" s="573" t="s">
        <v>483</v>
      </c>
      <c r="B113" s="573"/>
      <c r="C113" s="573"/>
      <c r="D113" s="573"/>
      <c r="E113" s="573"/>
      <c r="F113" s="573"/>
      <c r="G113" s="573"/>
      <c r="H113" s="573"/>
      <c r="I113" s="573"/>
    </row>
    <row r="114" spans="1:16">
      <c r="A114" s="574" t="s">
        <v>484</v>
      </c>
      <c r="B114" s="574"/>
      <c r="C114" s="574"/>
      <c r="D114" s="574"/>
      <c r="E114" s="574"/>
      <c r="F114" s="574"/>
      <c r="G114" s="574"/>
      <c r="H114" s="574"/>
      <c r="I114" s="574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575" t="s">
        <v>1986</v>
      </c>
      <c r="B116" s="575"/>
      <c r="C116" s="575"/>
      <c r="D116" s="575"/>
      <c r="E116" s="575"/>
      <c r="F116" s="575"/>
      <c r="G116" s="575"/>
      <c r="H116" s="575"/>
      <c r="I116" s="575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576" t="s">
        <v>3</v>
      </c>
      <c r="B123" s="576"/>
      <c r="C123" s="576"/>
      <c r="D123" s="576"/>
      <c r="E123" s="576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2153</v>
      </c>
      <c r="B126" s="227"/>
      <c r="C126" s="228"/>
      <c r="D126" s="229"/>
      <c r="G126" s="572"/>
      <c r="H126" s="572"/>
      <c r="I126" s="572"/>
    </row>
    <row r="128" spans="1:16" ht="22.5">
      <c r="A128" s="573" t="s">
        <v>483</v>
      </c>
      <c r="B128" s="573"/>
      <c r="C128" s="573"/>
      <c r="D128" s="573"/>
      <c r="E128" s="573"/>
      <c r="F128" s="573"/>
      <c r="G128" s="573"/>
      <c r="H128" s="573"/>
      <c r="I128" s="573"/>
    </row>
    <row r="129" spans="1:16">
      <c r="A129" s="574" t="s">
        <v>484</v>
      </c>
      <c r="B129" s="574"/>
      <c r="C129" s="574"/>
      <c r="D129" s="574"/>
      <c r="E129" s="574"/>
      <c r="F129" s="574"/>
      <c r="G129" s="574"/>
      <c r="H129" s="574"/>
      <c r="I129" s="574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575" t="s">
        <v>1987</v>
      </c>
      <c r="B131" s="575"/>
      <c r="C131" s="575"/>
      <c r="D131" s="575"/>
      <c r="E131" s="575"/>
      <c r="F131" s="575"/>
      <c r="G131" s="575"/>
      <c r="H131" s="575"/>
      <c r="I131" s="575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576" t="s">
        <v>3</v>
      </c>
      <c r="B136" s="576"/>
      <c r="C136" s="576"/>
      <c r="D136" s="576"/>
      <c r="E136" s="576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2154</v>
      </c>
      <c r="B140" s="227"/>
      <c r="C140" s="228"/>
      <c r="D140" s="229"/>
      <c r="G140" s="572"/>
      <c r="H140" s="572"/>
      <c r="I140" s="572"/>
    </row>
    <row r="142" spans="1:16" ht="22.5">
      <c r="A142" s="573" t="s">
        <v>483</v>
      </c>
      <c r="B142" s="573"/>
      <c r="C142" s="573"/>
      <c r="D142" s="573"/>
      <c r="E142" s="573"/>
      <c r="F142" s="573"/>
      <c r="G142" s="573"/>
      <c r="H142" s="573"/>
      <c r="I142" s="573"/>
    </row>
    <row r="143" spans="1:16">
      <c r="A143" s="574" t="s">
        <v>484</v>
      </c>
      <c r="B143" s="574"/>
      <c r="C143" s="574"/>
      <c r="D143" s="574"/>
      <c r="E143" s="574"/>
      <c r="F143" s="574"/>
      <c r="G143" s="574"/>
      <c r="H143" s="574"/>
      <c r="I143" s="574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575" t="s">
        <v>2155</v>
      </c>
      <c r="B145" s="575"/>
      <c r="C145" s="575"/>
      <c r="D145" s="575"/>
      <c r="E145" s="575"/>
      <c r="F145" s="575"/>
      <c r="G145" s="575"/>
      <c r="H145" s="575"/>
      <c r="I145" s="575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2156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2157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576" t="s">
        <v>3</v>
      </c>
      <c r="B152" s="576"/>
      <c r="C152" s="576"/>
      <c r="D152" s="576"/>
      <c r="E152" s="576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22200</v>
      </c>
    </row>
    <row r="154" spans="1:16">
      <c r="H154" s="225" t="s">
        <v>1989</v>
      </c>
      <c r="I154" s="422">
        <f>I152*I153</f>
        <v>35320199.99999997</v>
      </c>
    </row>
    <row r="156" spans="1:16">
      <c r="A156" s="227"/>
      <c r="B156" s="227"/>
      <c r="C156" s="228"/>
      <c r="D156" s="229"/>
      <c r="G156" s="572"/>
      <c r="H156" s="572"/>
      <c r="I156" s="572"/>
    </row>
  </sheetData>
  <mergeCells count="57">
    <mergeCell ref="A142:I142"/>
    <mergeCell ref="A143:I143"/>
    <mergeCell ref="A145:I145"/>
    <mergeCell ref="A152:E152"/>
    <mergeCell ref="G156:I156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140:I140"/>
    <mergeCell ref="A128:I128"/>
    <mergeCell ref="A129:I129"/>
    <mergeCell ref="A131:I131"/>
    <mergeCell ref="A136:E13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580" t="s">
        <v>1993</v>
      </c>
      <c r="B1" s="580"/>
      <c r="C1" s="580"/>
      <c r="D1" s="580"/>
      <c r="E1" s="580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1994</v>
      </c>
      <c r="C3" s="428" t="s">
        <v>487</v>
      </c>
      <c r="D3" s="429" t="s">
        <v>1995</v>
      </c>
      <c r="E3" s="429" t="s">
        <v>1996</v>
      </c>
      <c r="F3" s="427" t="s">
        <v>1997</v>
      </c>
      <c r="G3" s="429" t="s">
        <v>1998</v>
      </c>
    </row>
    <row r="4" spans="1:7" s="423" customFormat="1" ht="17.25" customHeight="1">
      <c r="B4" s="431" t="s">
        <v>1999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2000</v>
      </c>
      <c r="C5" s="436"/>
      <c r="D5" s="437"/>
      <c r="E5" s="438"/>
      <c r="F5" s="439"/>
      <c r="G5" s="440"/>
    </row>
    <row r="6" spans="1:7" ht="17.25" customHeight="1">
      <c r="B6" s="441" t="s">
        <v>2001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2002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2003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581"/>
      <c r="D10" s="581"/>
      <c r="E10" s="455"/>
      <c r="G10" s="456"/>
    </row>
    <row r="11" spans="1:7" ht="18.75" customHeight="1">
      <c r="A11" s="423" t="s">
        <v>2004</v>
      </c>
    </row>
    <row r="12" spans="1:7" s="457" customFormat="1" ht="36.75" customHeight="1">
      <c r="A12" s="427" t="s">
        <v>0</v>
      </c>
      <c r="B12" s="427" t="s">
        <v>1994</v>
      </c>
      <c r="C12" s="428" t="s">
        <v>487</v>
      </c>
      <c r="D12" s="429" t="s">
        <v>1995</v>
      </c>
      <c r="E12" s="429" t="s">
        <v>489</v>
      </c>
    </row>
    <row r="13" spans="1:7" ht="15.75" customHeight="1">
      <c r="A13" s="458">
        <v>1</v>
      </c>
      <c r="B13" s="98" t="s">
        <v>2005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2006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2007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2008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2009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2010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1994</v>
      </c>
      <c r="C24" s="428" t="s">
        <v>2011</v>
      </c>
      <c r="D24" s="429" t="s">
        <v>2012</v>
      </c>
      <c r="E24" s="429" t="s">
        <v>1998</v>
      </c>
      <c r="F24" s="427" t="s">
        <v>1997</v>
      </c>
      <c r="G24" s="429" t="s">
        <v>1998</v>
      </c>
    </row>
    <row r="25" spans="1:7" s="423" customFormat="1" ht="17.25" customHeight="1">
      <c r="B25" s="435" t="s">
        <v>2013</v>
      </c>
      <c r="C25" s="434"/>
      <c r="D25" s="433"/>
      <c r="E25" s="434"/>
      <c r="F25" s="434"/>
      <c r="G25" s="433"/>
    </row>
    <row r="26" spans="1:7" ht="17.25" customHeight="1">
      <c r="B26" s="441" t="s">
        <v>2019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2002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2000</v>
      </c>
      <c r="C28" s="436"/>
      <c r="D28" s="437"/>
      <c r="E28" s="438"/>
      <c r="F28" s="439"/>
      <c r="G28" s="440"/>
    </row>
    <row r="29" spans="1:7" ht="17.25" customHeight="1">
      <c r="B29" s="441" t="s">
        <v>2018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2017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2014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2015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2003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2016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78"/>
  <sheetViews>
    <sheetView topLeftCell="A5" zoomScale="95" workbookViewId="0">
      <pane ySplit="7" topLeftCell="A82" activePane="bottomLeft" state="frozen"/>
      <selection activeCell="G72" sqref="G72"/>
      <selection pane="bottomLeft" activeCell="B91" sqref="B91:J91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566" t="s">
        <v>9</v>
      </c>
      <c r="B1" s="566"/>
      <c r="C1" s="566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66" t="s">
        <v>11</v>
      </c>
      <c r="B3" s="566"/>
      <c r="C3" s="586" t="s">
        <v>513</v>
      </c>
      <c r="D3" s="586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587" t="s">
        <v>12</v>
      </c>
      <c r="B5" s="587"/>
      <c r="C5" s="587"/>
      <c r="D5" s="587"/>
      <c r="E5" s="587"/>
      <c r="F5" s="587"/>
      <c r="G5" s="587"/>
      <c r="H5" s="587"/>
      <c r="I5" s="587"/>
      <c r="J5" s="587"/>
      <c r="K5" s="587"/>
    </row>
    <row r="6" spans="1:12" ht="9" customHeight="1">
      <c r="A6" s="588"/>
      <c r="B6" s="588"/>
      <c r="C6" s="588"/>
      <c r="D6" s="588"/>
      <c r="E6" s="588"/>
      <c r="F6" s="588"/>
      <c r="G6" s="588"/>
      <c r="H6" s="588"/>
      <c r="I6" s="588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589" t="s">
        <v>1322</v>
      </c>
      <c r="B12" s="590"/>
      <c r="C12" s="590"/>
      <c r="D12" s="590"/>
      <c r="E12" s="590"/>
      <c r="F12" s="590"/>
      <c r="G12" s="590"/>
      <c r="H12" s="590"/>
      <c r="I12" s="590"/>
      <c r="J12" s="591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97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97" si="4">IF(B59&lt;&gt;"",F59*(G59+H59),0)</f>
        <v>27732210</v>
      </c>
      <c r="J59" s="345"/>
      <c r="K59" s="347">
        <f t="shared" ref="K59:K97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2025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2026</v>
      </c>
      <c r="E87" s="258"/>
      <c r="F87" s="350">
        <v>2300</v>
      </c>
      <c r="G87" s="350">
        <v>10000</v>
      </c>
      <c r="H87" s="346">
        <f t="shared" ref="H87:H96" si="12">G87*10%</f>
        <v>1000</v>
      </c>
      <c r="I87" s="346">
        <f t="shared" ref="I87:I96" si="13">IF(B87&lt;&gt;"",F87*(G87+H87),0)</f>
        <v>25300000</v>
      </c>
      <c r="J87" s="345"/>
      <c r="K87" s="347">
        <f t="shared" ref="K87:K96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2027</v>
      </c>
      <c r="E88" s="258"/>
      <c r="F88" s="350">
        <v>1009</v>
      </c>
      <c r="G88" s="350">
        <v>15000</v>
      </c>
      <c r="H88" s="346">
        <f t="shared" ref="H88:H95" si="15">G88*10%</f>
        <v>1500</v>
      </c>
      <c r="I88" s="346">
        <f t="shared" ref="I88:I95" si="16">IF(B88&lt;&gt;"",F88*(G88+H88),0)</f>
        <v>16648500</v>
      </c>
      <c r="J88" s="345"/>
      <c r="K88" s="347">
        <f t="shared" ref="K88:K95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2135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2026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/>
      <c r="C92" s="349"/>
      <c r="D92" s="258"/>
      <c r="E92" s="258"/>
      <c r="F92" s="350"/>
      <c r="G92" s="350"/>
      <c r="H92" s="346">
        <f t="shared" si="15"/>
        <v>0</v>
      </c>
      <c r="I92" s="346">
        <f t="shared" si="16"/>
        <v>0</v>
      </c>
      <c r="J92" s="345"/>
      <c r="K92" s="347">
        <f t="shared" si="17"/>
        <v>0</v>
      </c>
      <c r="L92" s="348"/>
    </row>
    <row r="93" spans="1:12" ht="20.25" customHeight="1">
      <c r="A93" s="349"/>
      <c r="B93" s="344"/>
      <c r="C93" s="349"/>
      <c r="D93" s="258"/>
      <c r="E93" s="258"/>
      <c r="F93" s="350"/>
      <c r="G93" s="350"/>
      <c r="H93" s="346">
        <f t="shared" si="15"/>
        <v>0</v>
      </c>
      <c r="I93" s="346">
        <f t="shared" si="16"/>
        <v>0</v>
      </c>
      <c r="J93" s="345"/>
      <c r="K93" s="347">
        <f t="shared" si="17"/>
        <v>0</v>
      </c>
      <c r="L93" s="348"/>
    </row>
    <row r="94" spans="1:12" ht="20.25" customHeight="1">
      <c r="A94" s="349"/>
      <c r="B94" s="344"/>
      <c r="C94" s="349"/>
      <c r="D94" s="258"/>
      <c r="E94" s="258"/>
      <c r="F94" s="350"/>
      <c r="G94" s="350"/>
      <c r="H94" s="346">
        <f t="shared" si="15"/>
        <v>0</v>
      </c>
      <c r="I94" s="346">
        <f t="shared" si="16"/>
        <v>0</v>
      </c>
      <c r="J94" s="345"/>
      <c r="K94" s="347">
        <f t="shared" si="17"/>
        <v>0</v>
      </c>
      <c r="L94" s="348"/>
    </row>
    <row r="95" spans="1:12" ht="20.25" customHeight="1">
      <c r="A95" s="349"/>
      <c r="B95" s="344"/>
      <c r="C95" s="349"/>
      <c r="D95" s="258"/>
      <c r="E95" s="258"/>
      <c r="F95" s="350"/>
      <c r="G95" s="350"/>
      <c r="H95" s="346">
        <f t="shared" si="15"/>
        <v>0</v>
      </c>
      <c r="I95" s="346">
        <f t="shared" si="16"/>
        <v>0</v>
      </c>
      <c r="J95" s="345"/>
      <c r="K95" s="347">
        <f t="shared" si="17"/>
        <v>0</v>
      </c>
      <c r="L95" s="348"/>
    </row>
    <row r="96" spans="1:12" ht="20.25" customHeight="1">
      <c r="A96" s="349"/>
      <c r="B96" s="344"/>
      <c r="C96" s="349"/>
      <c r="D96" s="258"/>
      <c r="E96" s="258"/>
      <c r="F96" s="350"/>
      <c r="G96" s="350"/>
      <c r="H96" s="346">
        <f t="shared" si="12"/>
        <v>0</v>
      </c>
      <c r="I96" s="346">
        <f t="shared" si="13"/>
        <v>0</v>
      </c>
      <c r="J96" s="345"/>
      <c r="K96" s="347">
        <f t="shared" si="14"/>
        <v>0</v>
      </c>
      <c r="L96" s="348"/>
    </row>
    <row r="97" spans="1:12" ht="20.25" customHeight="1">
      <c r="A97" s="349"/>
      <c r="B97" s="351"/>
      <c r="C97" s="349"/>
      <c r="D97" s="258"/>
      <c r="E97" s="258"/>
      <c r="F97" s="350"/>
      <c r="G97" s="350"/>
      <c r="H97" s="346">
        <f t="shared" si="3"/>
        <v>0</v>
      </c>
      <c r="I97" s="346">
        <f t="shared" si="4"/>
        <v>0</v>
      </c>
      <c r="J97" s="345"/>
      <c r="K97" s="347">
        <f t="shared" si="5"/>
        <v>0</v>
      </c>
      <c r="L97" s="348"/>
    </row>
    <row r="98" spans="1:12" s="260" customFormat="1" ht="20.25" customHeight="1">
      <c r="A98" s="582" t="s">
        <v>3</v>
      </c>
      <c r="B98" s="583"/>
      <c r="C98" s="583"/>
      <c r="D98" s="583"/>
      <c r="E98" s="583"/>
      <c r="F98" s="583"/>
      <c r="G98" s="583"/>
      <c r="H98" s="584"/>
      <c r="I98" s="352">
        <f>SUM(I13:I97)</f>
        <v>579751013.5999999</v>
      </c>
      <c r="J98" s="352">
        <f>SUM(J13:J97)</f>
        <v>533007965</v>
      </c>
      <c r="K98" s="352">
        <f>K12+I98-J98</f>
        <v>90788923.599999905</v>
      </c>
      <c r="L98" s="353"/>
    </row>
    <row r="99" spans="1:12" ht="21" customHeight="1">
      <c r="A99" s="354"/>
      <c r="B99" s="248"/>
      <c r="C99" s="248"/>
      <c r="D99" s="248"/>
      <c r="F99" s="355"/>
      <c r="G99" s="355"/>
      <c r="H99" s="355"/>
      <c r="I99" s="355"/>
      <c r="J99" s="355"/>
      <c r="K99" s="355"/>
    </row>
    <row r="100" spans="1:12" ht="21" customHeight="1">
      <c r="B100" s="261" t="s">
        <v>517</v>
      </c>
      <c r="C100" s="248"/>
      <c r="D100" s="333"/>
      <c r="E100" s="585">
        <f>K98</f>
        <v>90788923.599999905</v>
      </c>
      <c r="F100" s="585"/>
      <c r="G100" s="356" t="s">
        <v>20</v>
      </c>
      <c r="J100" s="244"/>
      <c r="K100" s="244"/>
    </row>
    <row r="101" spans="1:12" ht="21" customHeight="1">
      <c r="B101" s="261" t="s">
        <v>518</v>
      </c>
      <c r="C101" s="262"/>
      <c r="D101" s="357" t="e">
        <f ca="1">[3]!VND(E100, TRUE)</f>
        <v>#NAME?</v>
      </c>
      <c r="E101" s="333"/>
      <c r="F101" s="358"/>
      <c r="J101" s="244"/>
      <c r="K101" s="244"/>
    </row>
    <row r="102" spans="1:12" ht="21" customHeight="1">
      <c r="C102" s="248"/>
      <c r="D102" s="333"/>
      <c r="E102" s="333"/>
      <c r="F102" s="358"/>
      <c r="J102" s="244"/>
      <c r="K102" s="244"/>
    </row>
    <row r="103" spans="1:12" ht="21" customHeight="1">
      <c r="A103" s="333" t="s">
        <v>1361</v>
      </c>
      <c r="C103" s="248"/>
      <c r="D103" s="333"/>
      <c r="E103" s="333"/>
      <c r="F103" s="358"/>
      <c r="G103" s="333" t="s">
        <v>23</v>
      </c>
      <c r="J103" s="244"/>
      <c r="K103" s="244"/>
    </row>
    <row r="104" spans="1:12">
      <c r="A104" s="354"/>
      <c r="B104" s="248"/>
      <c r="C104" s="248"/>
      <c r="D104" s="248"/>
      <c r="F104" s="355"/>
      <c r="G104" s="355"/>
      <c r="H104" s="355"/>
      <c r="I104" s="355"/>
      <c r="J104" s="355"/>
      <c r="K104" s="355"/>
    </row>
    <row r="105" spans="1:12">
      <c r="A105" s="354"/>
      <c r="B105" s="248"/>
      <c r="C105" s="248"/>
      <c r="D105" s="248"/>
      <c r="F105" s="355"/>
      <c r="G105" s="355"/>
      <c r="H105" s="355"/>
      <c r="I105" s="355"/>
      <c r="J105" s="355"/>
      <c r="K105" s="355"/>
    </row>
    <row r="106" spans="1:12">
      <c r="A106" s="354"/>
      <c r="B106" s="248"/>
      <c r="C106" s="248"/>
      <c r="D106" s="248"/>
      <c r="F106" s="355"/>
      <c r="G106" s="355"/>
      <c r="H106" s="355"/>
      <c r="I106" s="355"/>
      <c r="J106" s="355"/>
      <c r="K106" s="355"/>
    </row>
    <row r="107" spans="1:12">
      <c r="A107" s="354"/>
      <c r="B107" s="248"/>
      <c r="C107" s="248"/>
      <c r="D107" s="248"/>
      <c r="F107" s="355"/>
      <c r="G107" s="355"/>
      <c r="H107" s="355"/>
      <c r="I107" s="355"/>
      <c r="J107" s="355"/>
      <c r="K107" s="355"/>
    </row>
    <row r="108" spans="1:12">
      <c r="A108" s="354"/>
      <c r="B108" s="248"/>
      <c r="C108" s="248"/>
      <c r="D108" s="248"/>
      <c r="F108" s="355"/>
      <c r="G108" s="355"/>
      <c r="H108" s="355"/>
      <c r="I108" s="355"/>
      <c r="J108" s="355"/>
      <c r="K108" s="355"/>
    </row>
    <row r="109" spans="1:12">
      <c r="A109" s="354"/>
      <c r="B109" s="248"/>
      <c r="C109" s="248"/>
      <c r="D109" s="248"/>
      <c r="F109" s="355"/>
      <c r="G109" s="355"/>
      <c r="H109" s="355"/>
      <c r="I109" s="355"/>
      <c r="J109" s="355"/>
      <c r="K109" s="355"/>
    </row>
    <row r="110" spans="1:12">
      <c r="A110" s="354"/>
      <c r="B110" s="248"/>
      <c r="C110" s="248"/>
      <c r="D110" s="248"/>
      <c r="F110" s="355"/>
      <c r="G110" s="355"/>
      <c r="H110" s="355"/>
      <c r="I110" s="355"/>
      <c r="J110" s="355"/>
      <c r="K110" s="355"/>
    </row>
    <row r="111" spans="1:12">
      <c r="A111" s="354"/>
      <c r="B111" s="248"/>
      <c r="C111" s="248"/>
      <c r="D111" s="248"/>
      <c r="F111" s="355"/>
      <c r="G111" s="355"/>
      <c r="H111" s="355"/>
      <c r="I111" s="355"/>
      <c r="J111" s="355"/>
      <c r="K111" s="355"/>
    </row>
    <row r="112" spans="1:12">
      <c r="A112" s="354"/>
      <c r="B112" s="248"/>
      <c r="C112" s="248"/>
      <c r="D112" s="248"/>
      <c r="F112" s="355"/>
      <c r="G112" s="355"/>
      <c r="H112" s="355"/>
      <c r="I112" s="355"/>
      <c r="J112" s="355"/>
      <c r="K112" s="355"/>
    </row>
    <row r="113" spans="1:1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>
      <c r="A114" s="354"/>
      <c r="B114" s="248"/>
      <c r="C114" s="248"/>
      <c r="D114" s="248"/>
      <c r="F114" s="355"/>
      <c r="G114" s="355"/>
      <c r="H114" s="355"/>
      <c r="I114" s="355"/>
      <c r="J114" s="355"/>
      <c r="K114" s="355"/>
    </row>
    <row r="115" spans="1:11">
      <c r="A115" s="354"/>
      <c r="B115" s="248"/>
      <c r="C115" s="248"/>
      <c r="D115" s="248"/>
      <c r="F115" s="355"/>
      <c r="G115" s="355"/>
      <c r="H115" s="355"/>
      <c r="I115" s="355"/>
      <c r="J115" s="355"/>
      <c r="K115" s="355"/>
    </row>
    <row r="116" spans="1:11">
      <c r="A116" s="354"/>
      <c r="B116" s="248"/>
      <c r="C116" s="248"/>
      <c r="D116" s="248"/>
      <c r="F116" s="355"/>
      <c r="G116" s="355"/>
      <c r="H116" s="355"/>
      <c r="I116" s="355"/>
      <c r="J116" s="355"/>
      <c r="K116" s="355"/>
    </row>
    <row r="117" spans="1:11">
      <c r="A117" s="354"/>
      <c r="B117" s="248"/>
      <c r="C117" s="248"/>
      <c r="D117" s="248"/>
      <c r="F117" s="355"/>
      <c r="G117" s="355"/>
      <c r="H117" s="355"/>
      <c r="I117" s="355"/>
      <c r="J117" s="355"/>
      <c r="K117" s="355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</sheetData>
  <autoFilter ref="A11:L98"/>
  <mergeCells count="8">
    <mergeCell ref="A98:H98"/>
    <mergeCell ref="E100:F100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66" t="s">
        <v>9</v>
      </c>
      <c r="B1" s="566"/>
      <c r="C1" s="566"/>
      <c r="E1" s="359"/>
      <c r="F1" s="38"/>
      <c r="G1" s="39"/>
      <c r="H1" s="39"/>
    </row>
    <row r="2" spans="1:10" s="37" customFormat="1" ht="18" customHeight="1">
      <c r="A2" s="566" t="s">
        <v>10</v>
      </c>
      <c r="B2" s="566"/>
      <c r="C2" s="566"/>
      <c r="D2" s="566"/>
      <c r="E2" s="566"/>
      <c r="F2" s="38"/>
      <c r="G2" s="39"/>
      <c r="H2" s="39"/>
    </row>
    <row r="3" spans="1:10" s="37" customFormat="1" ht="18" customHeight="1">
      <c r="A3" s="566" t="s">
        <v>11</v>
      </c>
      <c r="B3" s="566"/>
      <c r="C3" s="586" t="s">
        <v>513</v>
      </c>
      <c r="D3" s="586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587" t="s">
        <v>12</v>
      </c>
      <c r="B5" s="587"/>
      <c r="C5" s="587"/>
      <c r="D5" s="587"/>
      <c r="E5" s="587"/>
      <c r="F5" s="587"/>
      <c r="G5" s="587"/>
      <c r="H5" s="587"/>
      <c r="I5" s="587"/>
    </row>
    <row r="6" spans="1:10" ht="9" customHeight="1">
      <c r="A6" s="588"/>
      <c r="B6" s="588"/>
      <c r="C6" s="588"/>
      <c r="D6" s="588"/>
      <c r="E6" s="588"/>
      <c r="F6" s="588"/>
      <c r="G6" s="588"/>
      <c r="H6" s="588"/>
      <c r="I6" s="588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589" t="s">
        <v>1322</v>
      </c>
      <c r="B12" s="590"/>
      <c r="C12" s="590"/>
      <c r="D12" s="590"/>
      <c r="E12" s="590"/>
      <c r="F12" s="590"/>
      <c r="G12" s="590"/>
      <c r="H12" s="591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592" t="s">
        <v>3</v>
      </c>
      <c r="B30" s="592"/>
      <c r="C30" s="592"/>
      <c r="D30" s="592"/>
      <c r="E30" s="592"/>
      <c r="F30" s="592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585">
        <f>I30</f>
        <v>9400000</v>
      </c>
      <c r="F32" s="585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32"/>
  <sheetViews>
    <sheetView tabSelected="1" topLeftCell="A5" zoomScale="95" workbookViewId="0">
      <pane ySplit="7" topLeftCell="A294" activePane="bottomLeft" state="frozen"/>
      <selection activeCell="G72" sqref="G72"/>
      <selection pane="bottomLeft" activeCell="G299" sqref="G299:G304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66" t="s">
        <v>9</v>
      </c>
      <c r="B1" s="566"/>
      <c r="C1" s="566"/>
      <c r="E1" s="359"/>
      <c r="F1" s="38"/>
      <c r="G1" s="39"/>
      <c r="H1" s="39"/>
    </row>
    <row r="2" spans="1:10" s="37" customFormat="1" ht="18" customHeight="1">
      <c r="A2" s="566" t="s">
        <v>10</v>
      </c>
      <c r="B2" s="566"/>
      <c r="C2" s="566"/>
      <c r="D2" s="566"/>
      <c r="E2" s="566"/>
      <c r="F2" s="38"/>
      <c r="G2" s="39"/>
      <c r="H2" s="39"/>
    </row>
    <row r="3" spans="1:10" s="37" customFormat="1" ht="18" customHeight="1">
      <c r="A3" s="566" t="s">
        <v>11</v>
      </c>
      <c r="B3" s="566"/>
      <c r="C3" s="586" t="s">
        <v>513</v>
      </c>
      <c r="D3" s="586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587" t="s">
        <v>12</v>
      </c>
      <c r="B5" s="587"/>
      <c r="C5" s="587"/>
      <c r="D5" s="587"/>
      <c r="E5" s="587"/>
      <c r="F5" s="587"/>
      <c r="G5" s="587"/>
      <c r="H5" s="587"/>
      <c r="I5" s="587"/>
    </row>
    <row r="6" spans="1:10" ht="9" customHeight="1">
      <c r="A6" s="588"/>
      <c r="B6" s="588"/>
      <c r="C6" s="588"/>
      <c r="D6" s="588"/>
      <c r="E6" s="588"/>
      <c r="F6" s="588"/>
      <c r="G6" s="588"/>
      <c r="H6" s="588"/>
      <c r="I6" s="588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589" t="s">
        <v>1322</v>
      </c>
      <c r="B12" s="590"/>
      <c r="C12" s="590"/>
      <c r="D12" s="590"/>
      <c r="E12" s="590"/>
      <c r="F12" s="590"/>
      <c r="G12" s="590"/>
      <c r="H12" s="591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11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11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10" si="15">IF(B290&lt;&gt;"",D290*(E290+F290),0)</f>
        <v>35500000</v>
      </c>
      <c r="H290" s="345"/>
      <c r="I290" s="345">
        <f t="shared" ref="I290:I310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08" si="17">IF(B295&lt;&gt;"",D295*(E295+F295),0)</f>
        <v>10500000</v>
      </c>
      <c r="H295" s="345"/>
      <c r="I295" s="345">
        <f t="shared" ref="I295:I308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/>
      <c r="B305" s="255"/>
      <c r="C305" s="255"/>
      <c r="D305" s="345"/>
      <c r="E305" s="345"/>
      <c r="F305" s="378"/>
      <c r="G305" s="345">
        <f t="shared" si="17"/>
        <v>0</v>
      </c>
      <c r="H305" s="345"/>
      <c r="I305" s="345">
        <f t="shared" si="18"/>
        <v>0</v>
      </c>
      <c r="J305" s="345"/>
    </row>
    <row r="306" spans="1:10" ht="21" customHeight="1">
      <c r="A306" s="466"/>
      <c r="B306" s="255"/>
      <c r="C306" s="255"/>
      <c r="D306" s="345"/>
      <c r="E306" s="345"/>
      <c r="F306" s="378"/>
      <c r="G306" s="345">
        <f t="shared" si="17"/>
        <v>0</v>
      </c>
      <c r="H306" s="345"/>
      <c r="I306" s="345">
        <f t="shared" si="18"/>
        <v>0</v>
      </c>
      <c r="J306" s="345"/>
    </row>
    <row r="307" spans="1:10" ht="21" customHeight="1">
      <c r="A307" s="466"/>
      <c r="B307" s="255"/>
      <c r="C307" s="255"/>
      <c r="D307" s="345"/>
      <c r="E307" s="345"/>
      <c r="F307" s="378"/>
      <c r="G307" s="345">
        <f t="shared" si="17"/>
        <v>0</v>
      </c>
      <c r="H307" s="345"/>
      <c r="I307" s="345">
        <f t="shared" si="18"/>
        <v>0</v>
      </c>
      <c r="J307" s="345"/>
    </row>
    <row r="308" spans="1:10" ht="21" customHeight="1">
      <c r="A308" s="466"/>
      <c r="B308" s="255"/>
      <c r="C308" s="255"/>
      <c r="D308" s="345"/>
      <c r="E308" s="345"/>
      <c r="F308" s="378"/>
      <c r="G308" s="345">
        <f t="shared" si="17"/>
        <v>0</v>
      </c>
      <c r="H308" s="345"/>
      <c r="I308" s="345">
        <f t="shared" si="18"/>
        <v>0</v>
      </c>
      <c r="J308" s="345"/>
    </row>
    <row r="309" spans="1:10" ht="21" customHeight="1">
      <c r="A309" s="420"/>
      <c r="B309" s="255"/>
      <c r="C309" s="255"/>
      <c r="D309" s="345"/>
      <c r="E309" s="345"/>
      <c r="F309" s="378"/>
      <c r="G309" s="345">
        <f t="shared" si="15"/>
        <v>0</v>
      </c>
      <c r="H309" s="345"/>
      <c r="I309" s="345">
        <f t="shared" si="16"/>
        <v>0</v>
      </c>
      <c r="J309" s="345"/>
    </row>
    <row r="310" spans="1:10" ht="21" customHeight="1">
      <c r="A310" s="420"/>
      <c r="B310" s="255"/>
      <c r="C310" s="255"/>
      <c r="D310" s="345"/>
      <c r="E310" s="345"/>
      <c r="F310" s="378"/>
      <c r="G310" s="345">
        <f t="shared" si="15"/>
        <v>0</v>
      </c>
      <c r="H310" s="345"/>
      <c r="I310" s="345">
        <f t="shared" si="16"/>
        <v>0</v>
      </c>
      <c r="J310" s="345"/>
    </row>
    <row r="311" spans="1:10" ht="21" customHeight="1">
      <c r="A311" s="254"/>
      <c r="B311" s="255"/>
      <c r="C311" s="255"/>
      <c r="D311" s="345"/>
      <c r="E311" s="345"/>
      <c r="F311" s="378"/>
      <c r="G311" s="345">
        <f t="shared" si="9"/>
        <v>0</v>
      </c>
      <c r="H311" s="345"/>
      <c r="I311" s="345">
        <f t="shared" si="8"/>
        <v>0</v>
      </c>
      <c r="J311" s="345"/>
    </row>
    <row r="312" spans="1:10" s="260" customFormat="1" ht="21" customHeight="1">
      <c r="A312" s="592" t="s">
        <v>3</v>
      </c>
      <c r="B312" s="592"/>
      <c r="C312" s="592"/>
      <c r="D312" s="592"/>
      <c r="E312" s="592"/>
      <c r="F312" s="592"/>
      <c r="G312" s="380">
        <f>SUM(G13:G311)</f>
        <v>3325269533</v>
      </c>
      <c r="H312" s="380">
        <f>SUM(H13:H311)</f>
        <v>3061710000</v>
      </c>
      <c r="I312" s="352">
        <f>I12+G312-H312</f>
        <v>353259533</v>
      </c>
      <c r="J312" s="352"/>
    </row>
    <row r="313" spans="1:10" ht="21" customHeight="1"/>
    <row r="314" spans="1:10" ht="21" customHeight="1">
      <c r="B314" s="261" t="s">
        <v>517</v>
      </c>
      <c r="E314" s="585">
        <f>I312</f>
        <v>353259533</v>
      </c>
      <c r="F314" s="585"/>
      <c r="G314" s="356" t="s">
        <v>20</v>
      </c>
    </row>
    <row r="315" spans="1:10" ht="21" customHeight="1">
      <c r="B315" s="261" t="s">
        <v>518</v>
      </c>
      <c r="C315" s="262" t="e">
        <f ca="1">[3]!VND(E314, TRUE)</f>
        <v>#NAME?</v>
      </c>
    </row>
    <row r="316" spans="1:10" ht="21" customHeight="1"/>
    <row r="317" spans="1:10" ht="14.25" customHeight="1">
      <c r="H317" s="355" t="s">
        <v>21</v>
      </c>
    </row>
    <row r="318" spans="1:10" ht="21" customHeight="1">
      <c r="A318" s="333" t="s">
        <v>22</v>
      </c>
      <c r="G318" s="333" t="s">
        <v>23</v>
      </c>
    </row>
    <row r="319" spans="1:10" ht="21" customHeight="1"/>
    <row r="320" spans="1:1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</sheetData>
  <mergeCells count="9">
    <mergeCell ref="A12:H12"/>
    <mergeCell ref="A312:F312"/>
    <mergeCell ref="E314:F314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31" activePane="bottomLeft" state="frozen"/>
      <selection activeCell="G72" sqref="G72"/>
      <selection pane="bottomLeft" activeCell="H41" sqref="H41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595" t="s">
        <v>9</v>
      </c>
      <c r="B1" s="595"/>
      <c r="C1" s="595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596" t="s">
        <v>11</v>
      </c>
      <c r="B3" s="596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597" t="s">
        <v>12</v>
      </c>
      <c r="B5" s="597"/>
      <c r="C5" s="597"/>
      <c r="D5" s="597"/>
      <c r="E5" s="597"/>
      <c r="F5" s="597"/>
      <c r="G5" s="597"/>
      <c r="H5" s="597"/>
    </row>
    <row r="6" spans="1:10" ht="9" customHeight="1">
      <c r="A6" s="598"/>
      <c r="B6" s="598"/>
      <c r="C6" s="598"/>
      <c r="D6" s="598"/>
      <c r="E6" s="598"/>
      <c r="F6" s="598"/>
      <c r="G6" s="598"/>
      <c r="H6" s="598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594"/>
      <c r="B19" s="594"/>
      <c r="C19" s="594"/>
      <c r="D19" s="594"/>
      <c r="E19" s="594"/>
      <c r="F19" s="594"/>
      <c r="G19" s="594"/>
      <c r="H19" s="594"/>
      <c r="I19" s="594"/>
      <c r="J19" s="594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4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4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594"/>
      <c r="B35" s="594"/>
      <c r="C35" s="594"/>
      <c r="D35" s="594"/>
      <c r="E35" s="594"/>
      <c r="F35" s="594"/>
      <c r="G35" s="594"/>
      <c r="H35" s="594"/>
      <c r="I35" s="594"/>
      <c r="J35" s="594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47" si="4">IF(B39&lt;&gt;"",ROUND(D39*(E39+F39),-3),0)</f>
        <v>30800000</v>
      </c>
      <c r="H39" s="345"/>
      <c r="I39" s="345">
        <f t="shared" ref="I39:I47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254"/>
      <c r="B41" s="255"/>
      <c r="C41" s="255"/>
      <c r="D41" s="345"/>
      <c r="E41" s="345"/>
      <c r="F41" s="377"/>
      <c r="G41" s="345">
        <f t="shared" si="4"/>
        <v>0</v>
      </c>
      <c r="H41" s="345"/>
      <c r="I41" s="345">
        <f t="shared" si="5"/>
        <v>0</v>
      </c>
      <c r="J41" s="345"/>
    </row>
    <row r="42" spans="1:10" ht="18.75" customHeight="1">
      <c r="A42" s="254"/>
      <c r="B42" s="255"/>
      <c r="C42" s="255"/>
      <c r="D42" s="345"/>
      <c r="E42" s="345"/>
      <c r="F42" s="377"/>
      <c r="G42" s="345">
        <f t="shared" si="4"/>
        <v>0</v>
      </c>
      <c r="H42" s="345"/>
      <c r="I42" s="345">
        <f t="shared" si="5"/>
        <v>0</v>
      </c>
      <c r="J42" s="345"/>
    </row>
    <row r="43" spans="1:10" ht="18.75" customHeight="1">
      <c r="A43" s="254"/>
      <c r="B43" s="255"/>
      <c r="C43" s="255"/>
      <c r="D43" s="345"/>
      <c r="E43" s="345"/>
      <c r="F43" s="377"/>
      <c r="G43" s="345">
        <f t="shared" si="4"/>
        <v>0</v>
      </c>
      <c r="H43" s="345"/>
      <c r="I43" s="345">
        <f t="shared" si="5"/>
        <v>0</v>
      </c>
      <c r="J43" s="345"/>
    </row>
    <row r="44" spans="1:10" ht="18.75" customHeight="1">
      <c r="A44" s="254"/>
      <c r="B44" s="255"/>
      <c r="C44" s="255"/>
      <c r="D44" s="345"/>
      <c r="E44" s="345"/>
      <c r="F44" s="377"/>
      <c r="G44" s="345">
        <f t="shared" si="4"/>
        <v>0</v>
      </c>
      <c r="H44" s="345"/>
      <c r="I44" s="345">
        <f t="shared" si="5"/>
        <v>0</v>
      </c>
      <c r="J44" s="345"/>
    </row>
    <row r="45" spans="1:10" ht="18.75" customHeight="1">
      <c r="A45" s="254"/>
      <c r="B45" s="255"/>
      <c r="C45" s="255"/>
      <c r="D45" s="345"/>
      <c r="E45" s="345"/>
      <c r="F45" s="377"/>
      <c r="G45" s="345">
        <f t="shared" si="4"/>
        <v>0</v>
      </c>
      <c r="H45" s="345"/>
      <c r="I45" s="345">
        <f t="shared" si="5"/>
        <v>0</v>
      </c>
      <c r="J45" s="345"/>
    </row>
    <row r="46" spans="1:10" ht="18.75" customHeight="1">
      <c r="A46" s="254"/>
      <c r="B46" s="255"/>
      <c r="C46" s="255"/>
      <c r="D46" s="345"/>
      <c r="E46" s="345"/>
      <c r="F46" s="377"/>
      <c r="G46" s="345">
        <f t="shared" si="4"/>
        <v>0</v>
      </c>
      <c r="H46" s="345"/>
      <c r="I46" s="345">
        <f t="shared" si="5"/>
        <v>0</v>
      </c>
      <c r="J46" s="345"/>
    </row>
    <row r="47" spans="1:10" ht="18.75" customHeight="1">
      <c r="A47" s="254"/>
      <c r="B47" s="255"/>
      <c r="C47" s="255"/>
      <c r="D47" s="345"/>
      <c r="E47" s="345"/>
      <c r="F47" s="377"/>
      <c r="G47" s="345">
        <f t="shared" si="4"/>
        <v>0</v>
      </c>
      <c r="H47" s="345"/>
      <c r="I47" s="345">
        <f t="shared" si="5"/>
        <v>0</v>
      </c>
      <c r="J47" s="345"/>
    </row>
    <row r="48" spans="1:10" ht="18.75" customHeight="1">
      <c r="A48" s="258"/>
      <c r="B48" s="259"/>
      <c r="C48" s="259"/>
      <c r="D48" s="350"/>
      <c r="E48" s="350"/>
      <c r="F48" s="412"/>
      <c r="G48" s="350">
        <f t="shared" si="2"/>
        <v>0</v>
      </c>
      <c r="H48" s="350"/>
      <c r="I48" s="350">
        <f t="shared" si="3"/>
        <v>0</v>
      </c>
      <c r="J48" s="350"/>
    </row>
    <row r="49" spans="1:10" s="408" customFormat="1" ht="21" customHeight="1">
      <c r="A49" s="592" t="s">
        <v>3</v>
      </c>
      <c r="B49" s="592"/>
      <c r="C49" s="592"/>
      <c r="D49" s="592"/>
      <c r="E49" s="592"/>
      <c r="F49" s="592"/>
      <c r="G49" s="380">
        <f>SUM(G12:G48)</f>
        <v>409429000</v>
      </c>
      <c r="H49" s="380">
        <f>SUM(H12:H48)</f>
        <v>359329000</v>
      </c>
      <c r="I49" s="352">
        <f>G49-H49</f>
        <v>50100000</v>
      </c>
      <c r="J49" s="352"/>
    </row>
    <row r="50" spans="1:10" ht="21" customHeight="1"/>
    <row r="51" spans="1:10" ht="21" customHeight="1">
      <c r="B51" s="409" t="s">
        <v>517</v>
      </c>
      <c r="E51" s="593">
        <f>I49</f>
        <v>50100000</v>
      </c>
      <c r="F51" s="593"/>
      <c r="G51" s="410" t="s">
        <v>20</v>
      </c>
    </row>
    <row r="52" spans="1:10" ht="21" customHeight="1">
      <c r="B52" s="409" t="s">
        <v>518</v>
      </c>
      <c r="C52" s="411" t="str">
        <f>[4]!VND(E51, TRUE)</f>
        <v>Năm mươi triệu, một trăm ngàn đồng</v>
      </c>
    </row>
    <row r="53" spans="1:10" ht="21" customHeight="1"/>
    <row r="54" spans="1:10" ht="21" customHeight="1">
      <c r="A54" s="401" t="s">
        <v>1409</v>
      </c>
      <c r="G54" s="401" t="s">
        <v>23</v>
      </c>
    </row>
    <row r="55" spans="1:10" ht="21" customHeight="1"/>
    <row r="56" spans="1:10" ht="18.75" customHeight="1">
      <c r="A56" s="404"/>
      <c r="B56" s="400"/>
      <c r="D56" s="406"/>
      <c r="E56" s="406"/>
      <c r="F56" s="405"/>
      <c r="G56" s="406"/>
      <c r="H56" s="406"/>
      <c r="I56" s="406"/>
    </row>
    <row r="57" spans="1:10" ht="18.75" customHeight="1">
      <c r="A57" s="404"/>
      <c r="B57" s="400"/>
      <c r="D57" s="406"/>
      <c r="E57" s="406"/>
      <c r="F57" s="405"/>
      <c r="G57" s="406"/>
      <c r="H57" s="406"/>
      <c r="I57" s="406"/>
    </row>
    <row r="58" spans="1:10" ht="18.75" customHeight="1">
      <c r="A58" s="404"/>
      <c r="B58" s="400"/>
      <c r="D58" s="406"/>
      <c r="E58" s="406"/>
      <c r="F58" s="405"/>
      <c r="G58" s="406"/>
      <c r="H58" s="406"/>
      <c r="I58" s="406"/>
    </row>
    <row r="59" spans="1:10" ht="18.75" customHeight="1">
      <c r="A59" s="404"/>
      <c r="B59" s="400"/>
      <c r="D59" s="406"/>
      <c r="E59" s="406"/>
      <c r="F59" s="405"/>
      <c r="G59" s="406"/>
      <c r="H59" s="406"/>
      <c r="I59" s="406"/>
    </row>
    <row r="60" spans="1:10" ht="18.75" customHeight="1">
      <c r="A60" s="404"/>
      <c r="B60" s="400"/>
      <c r="D60" s="406"/>
      <c r="E60" s="406"/>
      <c r="F60" s="405"/>
      <c r="G60" s="406"/>
      <c r="H60" s="406"/>
      <c r="I60" s="406"/>
    </row>
    <row r="61" spans="1:10" ht="18.75" customHeight="1">
      <c r="A61" s="404"/>
      <c r="B61" s="400"/>
      <c r="D61" s="406"/>
      <c r="E61" s="406"/>
      <c r="F61" s="405"/>
      <c r="G61" s="406"/>
      <c r="H61" s="406"/>
      <c r="I61" s="406"/>
    </row>
    <row r="62" spans="1:10" ht="18.75" customHeight="1">
      <c r="A62" s="404"/>
      <c r="B62" s="400"/>
      <c r="D62" s="406"/>
      <c r="E62" s="406"/>
      <c r="F62" s="405"/>
      <c r="G62" s="406"/>
      <c r="H62" s="406"/>
      <c r="I62" s="406"/>
    </row>
    <row r="63" spans="1:10" ht="18.75" customHeight="1">
      <c r="A63" s="404"/>
      <c r="B63" s="400"/>
      <c r="D63" s="406"/>
      <c r="E63" s="406"/>
      <c r="F63" s="405"/>
      <c r="G63" s="406"/>
      <c r="H63" s="406"/>
      <c r="I63" s="406"/>
    </row>
    <row r="64" spans="1:10" ht="18.75" customHeight="1">
      <c r="A64" s="404"/>
      <c r="B64" s="400"/>
      <c r="D64" s="406"/>
      <c r="E64" s="406"/>
      <c r="F64" s="405"/>
      <c r="G64" s="406"/>
      <c r="H64" s="406"/>
      <c r="I64" s="406"/>
    </row>
    <row r="65" spans="1:9" ht="18.75" customHeight="1">
      <c r="A65" s="404"/>
      <c r="B65" s="400"/>
      <c r="D65" s="406"/>
      <c r="E65" s="406"/>
      <c r="F65" s="405"/>
      <c r="G65" s="406"/>
      <c r="H65" s="406"/>
      <c r="I65" s="406"/>
    </row>
    <row r="66" spans="1:9" ht="18.75" customHeight="1">
      <c r="A66" s="404"/>
      <c r="B66" s="400"/>
      <c r="D66" s="406"/>
      <c r="E66" s="406"/>
      <c r="F66" s="405"/>
      <c r="G66" s="406"/>
      <c r="H66" s="406"/>
      <c r="I66" s="406"/>
    </row>
    <row r="67" spans="1:9" ht="18.75" customHeight="1">
      <c r="A67" s="404"/>
      <c r="B67" s="400"/>
      <c r="D67" s="406"/>
      <c r="E67" s="406"/>
      <c r="F67" s="405"/>
      <c r="G67" s="406"/>
      <c r="H67" s="406"/>
      <c r="I67" s="406"/>
    </row>
    <row r="68" spans="1:9" ht="18.75" customHeight="1">
      <c r="A68" s="404"/>
      <c r="B68" s="400"/>
      <c r="D68" s="406"/>
      <c r="E68" s="406"/>
      <c r="F68" s="405"/>
      <c r="G68" s="406"/>
      <c r="H68" s="406"/>
      <c r="I68" s="406"/>
    </row>
    <row r="69" spans="1:9" ht="18.75" customHeight="1">
      <c r="A69" s="404"/>
      <c r="B69" s="400"/>
      <c r="D69" s="406"/>
      <c r="E69" s="406"/>
      <c r="F69" s="405"/>
      <c r="G69" s="406"/>
      <c r="H69" s="406"/>
      <c r="I69" s="406"/>
    </row>
    <row r="70" spans="1:9" ht="18.75" customHeight="1"/>
    <row r="71" spans="1:9" ht="18.75" customHeight="1"/>
    <row r="72" spans="1:9" ht="18.75" customHeight="1"/>
    <row r="73" spans="1:9" ht="18.75" customHeight="1"/>
    <row r="74" spans="1:9" s="399" customFormat="1" ht="18.75" customHeight="1">
      <c r="B74" s="393"/>
      <c r="C74" s="400"/>
      <c r="D74" s="401"/>
      <c r="E74" s="401"/>
      <c r="F74" s="402"/>
      <c r="G74" s="401"/>
      <c r="H74" s="401"/>
      <c r="I74" s="401"/>
    </row>
    <row r="75" spans="1:9" s="399" customFormat="1" ht="18.75" customHeight="1">
      <c r="B75" s="393"/>
      <c r="C75" s="400"/>
      <c r="D75" s="401"/>
      <c r="E75" s="401"/>
      <c r="F75" s="402"/>
      <c r="G75" s="401"/>
      <c r="H75" s="401"/>
      <c r="I75" s="401"/>
    </row>
    <row r="76" spans="1:9" s="399" customFormat="1" ht="18.75" customHeight="1">
      <c r="B76" s="393"/>
      <c r="C76" s="400"/>
      <c r="D76" s="401"/>
      <c r="E76" s="401"/>
      <c r="F76" s="402"/>
      <c r="G76" s="401"/>
      <c r="H76" s="401"/>
      <c r="I76" s="401"/>
    </row>
    <row r="77" spans="1:9" s="399" customFormat="1" ht="18.75" customHeight="1">
      <c r="B77" s="393"/>
      <c r="C77" s="400"/>
      <c r="D77" s="401"/>
      <c r="E77" s="401"/>
      <c r="F77" s="402"/>
      <c r="G77" s="401"/>
      <c r="H77" s="401"/>
      <c r="I77" s="401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N43"/>
  <sheetViews>
    <sheetView topLeftCell="A13" workbookViewId="0">
      <selection activeCell="E24" sqref="E22:E24"/>
    </sheetView>
  </sheetViews>
  <sheetFormatPr defaultColWidth="9.140625" defaultRowHeight="16.5"/>
  <cols>
    <col min="1" max="1" width="4.85546875" style="472" customWidth="1"/>
    <col min="2" max="2" width="34.140625" style="472" customWidth="1"/>
    <col min="3" max="3" width="12.5703125" style="474" customWidth="1"/>
    <col min="4" max="4" width="13.28515625" style="475" bestFit="1" customWidth="1"/>
    <col min="5" max="5" width="15.7109375" style="475" customWidth="1"/>
    <col min="6" max="6" width="15.85546875" style="472" customWidth="1"/>
    <col min="7" max="7" width="14.5703125" style="496" bestFit="1" customWidth="1"/>
    <col min="8" max="8" width="10.42578125" style="496" customWidth="1"/>
    <col min="9" max="9" width="16.5703125" style="496" customWidth="1"/>
    <col min="10" max="10" width="11.5703125" style="496" customWidth="1"/>
    <col min="11" max="11" width="10" style="496" customWidth="1"/>
    <col min="12" max="12" width="12.85546875" style="496" customWidth="1"/>
    <col min="13" max="13" width="13.28515625" style="496" customWidth="1"/>
    <col min="14" max="16384" width="9.140625" style="472"/>
  </cols>
  <sheetData>
    <row r="1" spans="1:10" ht="47.25" customHeight="1">
      <c r="A1" s="599" t="s">
        <v>2151</v>
      </c>
      <c r="B1" s="599"/>
      <c r="C1" s="599"/>
      <c r="D1" s="599"/>
      <c r="E1" s="599"/>
      <c r="F1" s="471"/>
      <c r="G1" s="495"/>
      <c r="H1" s="495"/>
    </row>
    <row r="2" spans="1:10" ht="18.75" customHeight="1">
      <c r="A2" s="473"/>
      <c r="G2" s="472"/>
      <c r="H2" s="497"/>
    </row>
    <row r="3" spans="1:10" s="430" customFormat="1" ht="39.75" customHeight="1">
      <c r="A3" s="426"/>
      <c r="B3" s="427" t="s">
        <v>1994</v>
      </c>
      <c r="C3" s="516" t="s">
        <v>487</v>
      </c>
      <c r="D3" s="517" t="s">
        <v>1995</v>
      </c>
      <c r="E3" s="517" t="s">
        <v>1996</v>
      </c>
      <c r="F3" s="517" t="s">
        <v>1997</v>
      </c>
    </row>
    <row r="4" spans="1:10" s="424" customFormat="1" ht="17.25" customHeight="1">
      <c r="B4" s="435" t="s">
        <v>2163</v>
      </c>
      <c r="C4" s="518"/>
      <c r="D4" s="519"/>
      <c r="E4" s="520"/>
      <c r="F4" s="440"/>
    </row>
    <row r="5" spans="1:10" s="424" customFormat="1" ht="17.25" customHeight="1">
      <c r="B5" s="441" t="s">
        <v>2162</v>
      </c>
      <c r="C5" s="521">
        <v>52000</v>
      </c>
      <c r="D5" s="522">
        <v>2.85</v>
      </c>
      <c r="E5" s="523">
        <f>C5*D5</f>
        <v>148200</v>
      </c>
      <c r="F5" s="445"/>
    </row>
    <row r="6" spans="1:10" s="423" customFormat="1" ht="17.25" customHeight="1">
      <c r="B6" s="524" t="s">
        <v>2161</v>
      </c>
      <c r="C6" s="525"/>
      <c r="D6" s="526"/>
      <c r="E6" s="527"/>
      <c r="F6" s="528"/>
    </row>
    <row r="7" spans="1:10" s="424" customFormat="1" ht="17.25" customHeight="1">
      <c r="B7" s="441" t="s">
        <v>2165</v>
      </c>
      <c r="C7" s="521"/>
      <c r="D7" s="522"/>
      <c r="E7" s="523"/>
      <c r="F7" s="443">
        <v>148188</v>
      </c>
    </row>
    <row r="8" spans="1:10" s="424" customFormat="1" ht="17.25" customHeight="1">
      <c r="B8" s="441"/>
      <c r="C8" s="521"/>
      <c r="D8" s="522"/>
      <c r="E8" s="523"/>
      <c r="F8" s="445"/>
    </row>
    <row r="9" spans="1:10" s="423" customFormat="1" ht="17.25" customHeight="1">
      <c r="B9" s="451" t="s">
        <v>2003</v>
      </c>
      <c r="C9" s="533">
        <f>SUM(C4:C8)</f>
        <v>52000</v>
      </c>
      <c r="D9" s="533"/>
      <c r="E9" s="533">
        <f t="shared" ref="E9:F9" si="0">SUM(E4:E8)</f>
        <v>148200</v>
      </c>
      <c r="F9" s="533">
        <f t="shared" si="0"/>
        <v>148188</v>
      </c>
    </row>
    <row r="10" spans="1:10" s="424" customFormat="1" ht="17.25" customHeight="1">
      <c r="B10" s="435" t="s">
        <v>2164</v>
      </c>
      <c r="C10" s="521"/>
      <c r="D10" s="522"/>
      <c r="E10" s="523">
        <f t="shared" ref="E10:E11" si="1">C10*D10</f>
        <v>0</v>
      </c>
      <c r="F10" s="445"/>
      <c r="I10" s="17"/>
      <c r="J10" s="17"/>
    </row>
    <row r="11" spans="1:10" s="424" customFormat="1" ht="17.25" customHeight="1">
      <c r="B11" s="441" t="s">
        <v>2162</v>
      </c>
      <c r="C11" s="521">
        <v>52000</v>
      </c>
      <c r="D11" s="522">
        <v>2.85</v>
      </c>
      <c r="E11" s="523">
        <f t="shared" si="1"/>
        <v>148200</v>
      </c>
      <c r="F11" s="445"/>
    </row>
    <row r="12" spans="1:10" s="423" customFormat="1" ht="17.25" customHeight="1">
      <c r="B12" s="524" t="s">
        <v>2161</v>
      </c>
      <c r="C12" s="525"/>
      <c r="D12" s="526"/>
      <c r="E12" s="527"/>
      <c r="F12" s="528"/>
    </row>
    <row r="13" spans="1:10" s="424" customFormat="1" ht="17.25" customHeight="1">
      <c r="B13" s="441"/>
      <c r="C13" s="521"/>
      <c r="D13" s="522"/>
      <c r="E13" s="523"/>
      <c r="F13" s="445"/>
    </row>
    <row r="14" spans="1:10" s="424" customFormat="1" ht="17.25" customHeight="1">
      <c r="B14" s="446"/>
      <c r="C14" s="529"/>
      <c r="D14" s="530"/>
      <c r="E14" s="531"/>
      <c r="F14" s="532"/>
    </row>
    <row r="15" spans="1:10" s="423" customFormat="1" ht="17.25" customHeight="1">
      <c r="B15" s="451" t="s">
        <v>2003</v>
      </c>
      <c r="C15" s="533">
        <f>SUM(C10:C14)</f>
        <v>52000</v>
      </c>
      <c r="D15" s="533"/>
      <c r="E15" s="533">
        <f t="shared" ref="E15:F15" si="2">SUM(E10:E14)</f>
        <v>148200</v>
      </c>
      <c r="F15" s="533">
        <f t="shared" si="2"/>
        <v>0</v>
      </c>
    </row>
    <row r="16" spans="1:10" s="423" customFormat="1" ht="17.25" customHeight="1">
      <c r="B16" s="534"/>
      <c r="C16" s="535"/>
      <c r="D16" s="536"/>
      <c r="E16" s="537"/>
      <c r="F16" s="76"/>
      <c r="G16" s="513" t="s">
        <v>2147</v>
      </c>
    </row>
    <row r="17" spans="1:14" s="473" customFormat="1" ht="36.75" customHeight="1">
      <c r="A17" s="476" t="s">
        <v>0</v>
      </c>
      <c r="B17" s="476" t="s">
        <v>1994</v>
      </c>
      <c r="C17" s="477" t="s">
        <v>487</v>
      </c>
      <c r="D17" s="478" t="s">
        <v>1995</v>
      </c>
      <c r="E17" s="478" t="s">
        <v>489</v>
      </c>
      <c r="G17" s="508" t="s">
        <v>13</v>
      </c>
      <c r="H17" s="508" t="s">
        <v>923</v>
      </c>
      <c r="I17" s="498" t="s">
        <v>1994</v>
      </c>
      <c r="J17" s="508" t="s">
        <v>2149</v>
      </c>
      <c r="K17" s="477" t="s">
        <v>58</v>
      </c>
      <c r="L17" s="512" t="s">
        <v>2150</v>
      </c>
      <c r="M17" s="512" t="s">
        <v>489</v>
      </c>
    </row>
    <row r="18" spans="1:14" ht="17.25" customHeight="1">
      <c r="A18" s="479">
        <f>ROW()-3</f>
        <v>15</v>
      </c>
      <c r="B18" s="480" t="s">
        <v>2136</v>
      </c>
      <c r="C18" s="481">
        <f>52000*2</f>
        <v>104000</v>
      </c>
      <c r="D18" s="482">
        <v>300</v>
      </c>
      <c r="E18" s="482">
        <f t="shared" ref="E18:E25" si="3">C18*D18</f>
        <v>31200000</v>
      </c>
      <c r="G18" s="505">
        <v>42574</v>
      </c>
      <c r="H18" s="505">
        <v>42586</v>
      </c>
      <c r="I18" s="506" t="s">
        <v>2148</v>
      </c>
      <c r="J18" s="509">
        <f>H18-G18+1</f>
        <v>13</v>
      </c>
      <c r="K18" s="510">
        <v>3.1070000000000002</v>
      </c>
      <c r="L18" s="507">
        <v>18000</v>
      </c>
      <c r="M18" s="507">
        <f>L18*K18*J18</f>
        <v>727038.00000000012</v>
      </c>
      <c r="N18" s="487"/>
    </row>
    <row r="19" spans="1:14" ht="17.25" customHeight="1">
      <c r="A19" s="483">
        <f t="shared" ref="A19:A25" si="4">ROW()-3</f>
        <v>16</v>
      </c>
      <c r="B19" s="484" t="s">
        <v>2137</v>
      </c>
      <c r="C19" s="485">
        <v>4</v>
      </c>
      <c r="D19" s="486">
        <v>2000000</v>
      </c>
      <c r="E19" s="486">
        <f t="shared" si="3"/>
        <v>8000000</v>
      </c>
      <c r="G19" s="503">
        <v>42575</v>
      </c>
      <c r="H19" s="503">
        <v>42586</v>
      </c>
      <c r="I19" s="506" t="s">
        <v>2148</v>
      </c>
      <c r="J19" s="509">
        <f t="shared" ref="J19:J29" si="5">H19-G19+1</f>
        <v>12</v>
      </c>
      <c r="K19" s="511">
        <v>22.893000000000001</v>
      </c>
      <c r="L19" s="507">
        <v>18000</v>
      </c>
      <c r="M19" s="507">
        <f t="shared" ref="M19:M29" si="6">L19*K19*J19</f>
        <v>4944888</v>
      </c>
      <c r="N19" s="487"/>
    </row>
    <row r="20" spans="1:14" ht="17.25" customHeight="1">
      <c r="A20" s="483">
        <f t="shared" si="4"/>
        <v>17</v>
      </c>
      <c r="B20" s="484" t="s">
        <v>2138</v>
      </c>
      <c r="C20" s="485">
        <v>4</v>
      </c>
      <c r="D20" s="486">
        <v>2000000</v>
      </c>
      <c r="E20" s="486">
        <f t="shared" si="3"/>
        <v>8000000</v>
      </c>
      <c r="G20" s="503">
        <v>42575</v>
      </c>
      <c r="H20" s="503">
        <v>42587</v>
      </c>
      <c r="I20" s="506" t="s">
        <v>2148</v>
      </c>
      <c r="J20" s="509">
        <f t="shared" si="5"/>
        <v>13</v>
      </c>
      <c r="K20" s="511">
        <v>2.2879999999999998</v>
      </c>
      <c r="L20" s="507">
        <v>18000</v>
      </c>
      <c r="M20" s="507">
        <f t="shared" si="6"/>
        <v>535392</v>
      </c>
      <c r="N20" s="487"/>
    </row>
    <row r="21" spans="1:14" ht="17.25" customHeight="1">
      <c r="A21" s="483">
        <f t="shared" si="4"/>
        <v>18</v>
      </c>
      <c r="B21" s="484" t="s">
        <v>2139</v>
      </c>
      <c r="C21" s="485">
        <v>4</v>
      </c>
      <c r="D21" s="486">
        <v>600000</v>
      </c>
      <c r="E21" s="486">
        <f t="shared" si="3"/>
        <v>2400000</v>
      </c>
      <c r="G21" s="503">
        <v>42576</v>
      </c>
      <c r="H21" s="503">
        <v>42587</v>
      </c>
      <c r="I21" s="506" t="s">
        <v>2148</v>
      </c>
      <c r="J21" s="509">
        <f t="shared" si="5"/>
        <v>12</v>
      </c>
      <c r="K21" s="511">
        <v>7.67</v>
      </c>
      <c r="L21" s="507">
        <v>18000</v>
      </c>
      <c r="M21" s="507">
        <f t="shared" si="6"/>
        <v>1656720</v>
      </c>
      <c r="N21" s="487"/>
    </row>
    <row r="22" spans="1:14" ht="17.25" customHeight="1">
      <c r="A22" s="483">
        <f t="shared" si="4"/>
        <v>19</v>
      </c>
      <c r="B22" s="484" t="s">
        <v>2140</v>
      </c>
      <c r="C22" s="485">
        <v>4</v>
      </c>
      <c r="D22" s="486">
        <v>15306800</v>
      </c>
      <c r="E22" s="486">
        <f>C22*D22</f>
        <v>61227200</v>
      </c>
      <c r="G22" s="503">
        <v>42577</v>
      </c>
      <c r="H22" s="503">
        <v>42587</v>
      </c>
      <c r="I22" s="506" t="s">
        <v>2148</v>
      </c>
      <c r="J22" s="509">
        <f t="shared" si="5"/>
        <v>11</v>
      </c>
      <c r="K22" s="511">
        <v>16.042000000000002</v>
      </c>
      <c r="L22" s="507">
        <v>18000</v>
      </c>
      <c r="M22" s="507">
        <f t="shared" si="6"/>
        <v>3176316</v>
      </c>
      <c r="N22" s="487"/>
    </row>
    <row r="23" spans="1:14" ht="17.25" customHeight="1">
      <c r="A23" s="483">
        <f t="shared" si="4"/>
        <v>20</v>
      </c>
      <c r="B23" s="484" t="s">
        <v>2141</v>
      </c>
      <c r="C23" s="485">
        <v>4</v>
      </c>
      <c r="D23" s="486">
        <v>7378778</v>
      </c>
      <c r="E23" s="486">
        <f t="shared" si="3"/>
        <v>29515112</v>
      </c>
      <c r="G23" s="503">
        <v>42577</v>
      </c>
      <c r="H23" s="503">
        <v>42593</v>
      </c>
      <c r="I23" s="506" t="s">
        <v>2148</v>
      </c>
      <c r="J23" s="509">
        <f t="shared" si="5"/>
        <v>17</v>
      </c>
      <c r="K23" s="511">
        <v>1.794</v>
      </c>
      <c r="L23" s="507">
        <v>18000</v>
      </c>
      <c r="M23" s="507">
        <f t="shared" si="6"/>
        <v>548964</v>
      </c>
      <c r="N23" s="487"/>
    </row>
    <row r="24" spans="1:14" ht="17.25" customHeight="1">
      <c r="A24" s="483">
        <f t="shared" si="4"/>
        <v>21</v>
      </c>
      <c r="B24" s="484" t="s">
        <v>2142</v>
      </c>
      <c r="C24" s="485">
        <v>4</v>
      </c>
      <c r="D24" s="486">
        <v>5600000</v>
      </c>
      <c r="E24" s="486">
        <f t="shared" si="3"/>
        <v>22400000</v>
      </c>
      <c r="G24" s="503">
        <v>42578</v>
      </c>
      <c r="H24" s="503">
        <v>42593</v>
      </c>
      <c r="I24" s="506" t="s">
        <v>2148</v>
      </c>
      <c r="J24" s="509">
        <f t="shared" si="5"/>
        <v>16</v>
      </c>
      <c r="K24" s="511">
        <v>22.399000000000001</v>
      </c>
      <c r="L24" s="507">
        <v>18000</v>
      </c>
      <c r="M24" s="507">
        <f t="shared" si="6"/>
        <v>6450912</v>
      </c>
      <c r="N24" s="487"/>
    </row>
    <row r="25" spans="1:14" ht="16.5" customHeight="1">
      <c r="A25" s="483">
        <f t="shared" si="4"/>
        <v>22</v>
      </c>
      <c r="B25" s="484" t="s">
        <v>2144</v>
      </c>
      <c r="C25" s="485">
        <v>4</v>
      </c>
      <c r="D25" s="486">
        <f>88*22500</f>
        <v>1980000</v>
      </c>
      <c r="E25" s="486">
        <f t="shared" si="3"/>
        <v>7920000</v>
      </c>
      <c r="G25" s="503">
        <v>42579</v>
      </c>
      <c r="H25" s="503">
        <v>42593</v>
      </c>
      <c r="I25" s="506" t="s">
        <v>2148</v>
      </c>
      <c r="J25" s="509">
        <f t="shared" si="5"/>
        <v>15</v>
      </c>
      <c r="K25" s="511">
        <v>1.8069999999999999</v>
      </c>
      <c r="L25" s="507">
        <v>18000</v>
      </c>
      <c r="M25" s="507">
        <f t="shared" si="6"/>
        <v>487890</v>
      </c>
      <c r="N25" s="487"/>
    </row>
    <row r="26" spans="1:14" ht="16.5" customHeight="1">
      <c r="A26" s="483">
        <v>9</v>
      </c>
      <c r="B26" s="484" t="s">
        <v>2145</v>
      </c>
      <c r="C26" s="485">
        <v>2</v>
      </c>
      <c r="D26" s="486">
        <v>1350000</v>
      </c>
      <c r="E26" s="486">
        <f>C26*D26</f>
        <v>2700000</v>
      </c>
      <c r="G26" s="503">
        <v>42579</v>
      </c>
      <c r="H26" s="503">
        <v>42594</v>
      </c>
      <c r="I26" s="506" t="s">
        <v>2148</v>
      </c>
      <c r="J26" s="509">
        <f t="shared" si="5"/>
        <v>16</v>
      </c>
      <c r="K26" s="511">
        <v>11.843</v>
      </c>
      <c r="L26" s="507">
        <v>18000</v>
      </c>
      <c r="M26" s="507">
        <f t="shared" si="6"/>
        <v>3410784</v>
      </c>
      <c r="N26" s="487"/>
    </row>
    <row r="27" spans="1:14" ht="17.25" customHeight="1">
      <c r="A27" s="483">
        <v>10</v>
      </c>
      <c r="B27" s="484" t="s">
        <v>2152</v>
      </c>
      <c r="C27" s="485">
        <f>C18</f>
        <v>104000</v>
      </c>
      <c r="D27" s="486">
        <v>50</v>
      </c>
      <c r="E27" s="486">
        <f>C27*D27</f>
        <v>5200000</v>
      </c>
      <c r="G27" s="503">
        <v>42590</v>
      </c>
      <c r="H27" s="503">
        <v>42594</v>
      </c>
      <c r="I27" s="506" t="s">
        <v>2148</v>
      </c>
      <c r="J27" s="509">
        <f>H27-G27+1</f>
        <v>5</v>
      </c>
      <c r="K27" s="511">
        <v>7.54</v>
      </c>
      <c r="L27" s="507">
        <v>18000</v>
      </c>
      <c r="M27" s="507">
        <f>L27*K27*J27</f>
        <v>678600</v>
      </c>
      <c r="N27" s="487"/>
    </row>
    <row r="28" spans="1:14" ht="17.25" customHeight="1">
      <c r="A28" s="483">
        <v>11</v>
      </c>
      <c r="B28" s="484" t="s">
        <v>2146</v>
      </c>
      <c r="C28" s="485"/>
      <c r="D28" s="486"/>
      <c r="E28" s="486">
        <f>M31</f>
        <v>22818510</v>
      </c>
      <c r="G28" s="503">
        <v>42593</v>
      </c>
      <c r="H28" s="503">
        <v>42594</v>
      </c>
      <c r="I28" s="506" t="s">
        <v>2148</v>
      </c>
      <c r="J28" s="509">
        <f>H28-G28+1</f>
        <v>2</v>
      </c>
      <c r="K28" s="511">
        <v>4.55</v>
      </c>
      <c r="L28" s="507">
        <v>18000</v>
      </c>
      <c r="M28" s="507">
        <f>L28*K28*J28</f>
        <v>163800</v>
      </c>
      <c r="N28" s="487"/>
    </row>
    <row r="29" spans="1:14" s="473" customFormat="1" ht="17.25" customHeight="1">
      <c r="A29" s="483">
        <v>12</v>
      </c>
      <c r="B29" s="484" t="s">
        <v>2171</v>
      </c>
      <c r="C29" s="485"/>
      <c r="D29" s="486"/>
      <c r="E29" s="486">
        <v>1000000</v>
      </c>
      <c r="F29" s="472"/>
      <c r="G29" s="503">
        <v>42594</v>
      </c>
      <c r="H29" s="503">
        <v>42594</v>
      </c>
      <c r="I29" s="506" t="s">
        <v>2148</v>
      </c>
      <c r="J29" s="509">
        <f t="shared" si="5"/>
        <v>1</v>
      </c>
      <c r="K29" s="511">
        <v>2.0670000000000002</v>
      </c>
      <c r="L29" s="507">
        <v>18000</v>
      </c>
      <c r="M29" s="507">
        <f t="shared" si="6"/>
        <v>37206</v>
      </c>
      <c r="N29" s="487"/>
    </row>
    <row r="30" spans="1:14" ht="11.25" customHeight="1">
      <c r="A30" s="483"/>
      <c r="B30" s="484"/>
      <c r="C30" s="485"/>
      <c r="D30" s="486"/>
      <c r="E30" s="486"/>
      <c r="G30" s="504"/>
      <c r="H30" s="504"/>
      <c r="I30" s="488"/>
      <c r="J30" s="488"/>
      <c r="K30" s="499"/>
      <c r="L30" s="500"/>
      <c r="M30" s="500">
        <f t="shared" ref="M30" si="7">K30*L30</f>
        <v>0</v>
      </c>
    </row>
    <row r="31" spans="1:14" ht="18.75" customHeight="1">
      <c r="A31" s="492"/>
      <c r="B31" s="492" t="s">
        <v>2010</v>
      </c>
      <c r="C31" s="493"/>
      <c r="D31" s="494"/>
      <c r="E31" s="494">
        <f>SUM(E18:E30)</f>
        <v>202380822</v>
      </c>
      <c r="F31" s="473"/>
      <c r="G31" s="206"/>
      <c r="H31" s="206"/>
      <c r="I31" s="206" t="s">
        <v>2010</v>
      </c>
      <c r="J31" s="206"/>
      <c r="K31" s="501"/>
      <c r="L31" s="502"/>
      <c r="M31" s="502">
        <f>SUM(M18:M30)</f>
        <v>22818510</v>
      </c>
    </row>
    <row r="32" spans="1:14" ht="18.75" customHeight="1"/>
    <row r="33" spans="1:10" s="496" customFormat="1">
      <c r="A33" s="472"/>
      <c r="B33" s="472"/>
      <c r="C33" s="474"/>
      <c r="D33" s="475" t="s">
        <v>2143</v>
      </c>
      <c r="E33" s="475">
        <f>E31/C18</f>
        <v>1945.9694423076924</v>
      </c>
      <c r="F33" s="472"/>
    </row>
    <row r="35" spans="1:10" ht="33">
      <c r="A35" s="498" t="s">
        <v>0</v>
      </c>
      <c r="B35" s="508" t="s">
        <v>1994</v>
      </c>
      <c r="C35" s="477" t="s">
        <v>2167</v>
      </c>
      <c r="D35" s="512" t="s">
        <v>2012</v>
      </c>
      <c r="E35" s="512" t="s">
        <v>489</v>
      </c>
      <c r="F35" s="512" t="s">
        <v>2166</v>
      </c>
    </row>
    <row r="36" spans="1:10">
      <c r="A36" s="483">
        <v>1</v>
      </c>
      <c r="B36" s="484" t="s">
        <v>2168</v>
      </c>
      <c r="C36" s="485">
        <f>F9</f>
        <v>148188</v>
      </c>
      <c r="D36" s="486">
        <v>22260</v>
      </c>
      <c r="E36" s="486">
        <f t="shared" ref="E36:E37" si="8">C36*D36</f>
        <v>3298664880</v>
      </c>
      <c r="F36" s="486"/>
    </row>
    <row r="37" spans="1:10">
      <c r="A37" s="483">
        <v>2</v>
      </c>
      <c r="B37" s="484" t="s">
        <v>2172</v>
      </c>
      <c r="C37" s="485"/>
      <c r="D37" s="486"/>
      <c r="E37" s="486">
        <f t="shared" si="8"/>
        <v>0</v>
      </c>
      <c r="F37" s="486">
        <v>1416959000</v>
      </c>
      <c r="G37" s="538"/>
      <c r="H37" s="539"/>
      <c r="I37" s="538"/>
      <c r="J37" s="540"/>
    </row>
    <row r="38" spans="1:10">
      <c r="A38" s="483">
        <v>3</v>
      </c>
      <c r="B38" s="484" t="s">
        <v>2169</v>
      </c>
      <c r="C38" s="485"/>
      <c r="D38" s="486"/>
      <c r="E38" s="486">
        <f>C38*D38</f>
        <v>0</v>
      </c>
      <c r="F38" s="486">
        <v>1421958000</v>
      </c>
      <c r="G38" s="538"/>
      <c r="H38" s="539"/>
      <c r="I38" s="538"/>
      <c r="J38" s="540"/>
    </row>
    <row r="39" spans="1:10">
      <c r="A39" s="483">
        <v>5</v>
      </c>
      <c r="B39" s="484" t="s">
        <v>2170</v>
      </c>
      <c r="C39" s="485"/>
      <c r="D39" s="486"/>
      <c r="E39" s="486">
        <f>C39*D39</f>
        <v>0</v>
      </c>
      <c r="F39" s="486">
        <v>257367058</v>
      </c>
      <c r="G39" s="538"/>
      <c r="H39" s="539"/>
      <c r="I39" s="538"/>
      <c r="J39" s="540"/>
    </row>
    <row r="40" spans="1:10">
      <c r="A40" s="488"/>
      <c r="B40" s="489"/>
      <c r="C40" s="490"/>
      <c r="D40" s="491"/>
      <c r="E40" s="491">
        <f>M41</f>
        <v>0</v>
      </c>
      <c r="F40" s="491"/>
    </row>
    <row r="41" spans="1:10">
      <c r="A41" s="492"/>
      <c r="B41" s="492" t="s">
        <v>2174</v>
      </c>
      <c r="C41" s="493"/>
      <c r="D41" s="494"/>
      <c r="E41" s="494">
        <f>SUM(E36:E40)</f>
        <v>3298664880</v>
      </c>
      <c r="F41" s="494">
        <f>SUM(F36:F40)</f>
        <v>3096284058</v>
      </c>
    </row>
    <row r="43" spans="1:10">
      <c r="D43" s="541" t="s">
        <v>2173</v>
      </c>
      <c r="F43" s="542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Trung - Tokai</vt:lpstr>
      <vt:lpstr>CP-MỰC</vt:lpstr>
      <vt:lpstr>NGHỊ HÒA</vt:lpstr>
      <vt:lpstr>M.T.NAM</vt:lpstr>
      <vt:lpstr>PHÁT</vt:lpstr>
      <vt:lpstr>T.M.THƯ</vt:lpstr>
      <vt:lpstr>GC - TQ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2016-09-14T04:11:26Z</cp:lastPrinted>
  <dcterms:created xsi:type="dcterms:W3CDTF">1996-10-14T23:33:28Z</dcterms:created>
  <dcterms:modified xsi:type="dcterms:W3CDTF">2016-09-26T06:33:06Z</dcterms:modified>
</cp:coreProperties>
</file>