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78" activeTab="13"/>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TH!$S$11:$S$930</definedName>
    <definedName name="_C112">TH!$V$11:$V$930</definedName>
    <definedName name="_C133">TH!$Z$11:$Z$930</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TH!$A$9:$AD$808</definedName>
    <definedName name="_xlnm._FilterDatabase" localSheetId="21" hidden="1">'THE KHO'!$A$1:$J$1</definedName>
    <definedName name="_N111">TH!$R$11:$R$930</definedName>
    <definedName name="_N112">TH!$U$11:$U$930</definedName>
    <definedName name="_N133">TH!$Y$11:$Y$930</definedName>
    <definedName name="_TH">TH!$K$11:$K$930</definedName>
    <definedName name="_TM1">IF('IN-TC'!$S$4=1,1,IF('IN-TC'!$S$4=2,4,IF('IN-TC'!$S$4=3,7,10)))</definedName>
    <definedName name="_TM2">IF('IN-TC'!$S$4=1,3,IF('IN-TC'!$S$4=2,6,IF('IN-TC'!$S$4=3,9,12)))</definedName>
    <definedName name="DG">TH!$J$11:$J$930</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TH!$H$11:$H$930</definedName>
    <definedName name="KHC">TH!$O$11:$O$930</definedName>
    <definedName name="KHN">TH!$N$11:$N$930</definedName>
    <definedName name="Loai">OFFSET(TH!$P$5,,,COUNTA(TH!$P$5:$P$39240))</definedName>
    <definedName name="Loai1">OFFSET(TH!$Q$5,,,COUNTA(TH!$Q$5:$Q$39240))</definedName>
    <definedName name="Loai10">OFFSET(TH!$AG$5,,,COUNTA(TH!$AG$5:$AG$39240))</definedName>
    <definedName name="Loai11">OFFSET(TH!$W$5,,,COUNTA(TH!$W$5:$W$39240))</definedName>
    <definedName name="Loai2">OFFSET(TH!$T$5,,,COUNTA(TH!$T$5:$T$39240))</definedName>
    <definedName name="Loai3">OFFSET(TH!$X$5,,,COUNTA(TH!$X$5:$X$39240))</definedName>
    <definedName name="Loai4">OFFSET(TH!$AA$5,,,COUNTA(TH!$AA$5:$AA$39240))</definedName>
    <definedName name="Loai5">OFFSET(TH!$AB$5,,,COUNTA(TH!$AB$5:$AB$39240))</definedName>
    <definedName name="Loai6">OFFSET(TH!$AC$5,,,COUNTA(TH!$AC$5:$AC$39240))</definedName>
    <definedName name="Loai7">OFFSET(TH!$AD$5,,,COUNTA(TH!$AD$5:$AD$39240))</definedName>
    <definedName name="Loai8">OFFSET(TH!$AE$5,,,COUNTA(TH!$AE$5:$AE$39240))</definedName>
    <definedName name="Loai9">OFFSET(TH!$AF$5,,,COUNTA(TH!$AF$5:$AF$39240))</definedName>
    <definedName name="MH">TH!$F$11:$F$930</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TH!$I$11:$I$930</definedName>
    <definedName name="TH">TH!$M$11:$M$930</definedName>
    <definedName name="TM">TH!$A$11:$O$930</definedName>
  </definedNames>
  <calcPr calcId="145621"/>
</workbook>
</file>

<file path=xl/calcChain.xml><?xml version="1.0" encoding="utf-8"?>
<calcChain xmlns="http://schemas.openxmlformats.org/spreadsheetml/2006/main">
  <c r="M406" i="34" l="1"/>
  <c r="A242" i="34"/>
  <c r="A243" i="34"/>
  <c r="A244" i="34"/>
  <c r="A245" i="34"/>
  <c r="A246" i="34"/>
  <c r="A247" i="34"/>
  <c r="A248" i="34"/>
  <c r="A249" i="34"/>
  <c r="A250" i="34"/>
  <c r="A251" i="34"/>
  <c r="A252" i="34"/>
  <c r="A253" i="34"/>
  <c r="A254" i="34"/>
  <c r="A255" i="34"/>
  <c r="A256" i="34"/>
  <c r="A257" i="34"/>
  <c r="A258" i="34"/>
  <c r="A259" i="34"/>
  <c r="A260" i="34"/>
  <c r="A261" i="34"/>
  <c r="A262" i="34"/>
  <c r="A263" i="34"/>
  <c r="A264" i="34"/>
  <c r="A265" i="34"/>
  <c r="A266" i="34"/>
  <c r="A267" i="34"/>
  <c r="A268" i="34"/>
  <c r="A269" i="34"/>
  <c r="A270" i="34"/>
  <c r="A271" i="34"/>
  <c r="A272" i="34"/>
  <c r="A273" i="34"/>
  <c r="A274" i="34"/>
  <c r="A275" i="34"/>
  <c r="A276" i="34"/>
  <c r="A277" i="34"/>
  <c r="A278" i="34"/>
  <c r="A279" i="34"/>
  <c r="A280" i="34"/>
  <c r="A281" i="34"/>
  <c r="A282" i="34"/>
  <c r="A283" i="34"/>
  <c r="A284" i="34"/>
  <c r="A285" i="34"/>
  <c r="A286" i="34"/>
  <c r="A287" i="34"/>
  <c r="A288" i="34"/>
  <c r="A289" i="34"/>
  <c r="A290" i="34"/>
  <c r="A291" i="34"/>
  <c r="A292" i="34"/>
  <c r="A293" i="34"/>
  <c r="A294" i="34"/>
  <c r="A295" i="34"/>
  <c r="A296" i="34"/>
  <c r="A297" i="34"/>
  <c r="A298" i="34"/>
  <c r="A299" i="34"/>
  <c r="A300" i="34"/>
  <c r="A301" i="34"/>
  <c r="A302" i="34"/>
  <c r="A303" i="34"/>
  <c r="A304" i="34"/>
  <c r="A305" i="34"/>
  <c r="A306" i="34"/>
  <c r="A307" i="34"/>
  <c r="A308" i="34"/>
  <c r="A309" i="34"/>
  <c r="A310" i="34"/>
  <c r="A311" i="34"/>
  <c r="A312" i="34"/>
  <c r="A313" i="34"/>
  <c r="A314" i="34"/>
  <c r="A315" i="34"/>
  <c r="A316" i="34"/>
  <c r="A317" i="34"/>
  <c r="A318" i="34"/>
  <c r="A319" i="34"/>
  <c r="A320" i="34"/>
  <c r="A321" i="34"/>
  <c r="A322" i="34"/>
  <c r="A323" i="34"/>
  <c r="A324" i="34"/>
  <c r="A325" i="34"/>
  <c r="A326" i="34"/>
  <c r="A327" i="34"/>
  <c r="A328" i="34"/>
  <c r="A329" i="34"/>
  <c r="A330" i="34"/>
  <c r="A331" i="34"/>
  <c r="A332" i="34"/>
  <c r="A333" i="34"/>
  <c r="A334" i="34"/>
  <c r="A335" i="34"/>
  <c r="A336" i="34"/>
  <c r="A337" i="34"/>
  <c r="A338" i="34"/>
  <c r="A339" i="34"/>
  <c r="A340" i="34"/>
  <c r="A341" i="34"/>
  <c r="A342" i="34"/>
  <c r="A343" i="34"/>
  <c r="A344" i="34"/>
  <c r="A345" i="34"/>
  <c r="A346" i="34"/>
  <c r="A347" i="34"/>
  <c r="A348" i="34"/>
  <c r="A349" i="34"/>
  <c r="A350" i="34"/>
  <c r="A351" i="34"/>
  <c r="A352" i="34"/>
  <c r="A353" i="34"/>
  <c r="A354" i="34"/>
  <c r="A355" i="34"/>
  <c r="A356" i="34"/>
  <c r="A357" i="34"/>
  <c r="A358" i="34"/>
  <c r="A359" i="34"/>
  <c r="A360" i="34"/>
  <c r="A361" i="34"/>
  <c r="A362" i="34"/>
  <c r="A363" i="34"/>
  <c r="A364" i="34"/>
  <c r="A365" i="34"/>
  <c r="A366" i="34"/>
  <c r="A367" i="34"/>
  <c r="A368" i="34"/>
  <c r="A369" i="34"/>
  <c r="A370" i="34"/>
  <c r="A371" i="34"/>
  <c r="A372" i="34"/>
  <c r="A373" i="34"/>
  <c r="A374" i="34"/>
  <c r="A375" i="34"/>
  <c r="A376" i="34"/>
  <c r="A377" i="34"/>
  <c r="A378" i="34"/>
  <c r="A379" i="34"/>
  <c r="A380" i="34"/>
  <c r="A381" i="34"/>
  <c r="A382" i="34"/>
  <c r="A383" i="34"/>
  <c r="A384" i="34"/>
  <c r="A385" i="34"/>
  <c r="A386" i="34"/>
  <c r="A387" i="34"/>
  <c r="A388" i="34"/>
  <c r="A389" i="34"/>
  <c r="A390" i="34"/>
  <c r="A391" i="34"/>
  <c r="A392" i="34"/>
  <c r="A393" i="34"/>
  <c r="A394" i="34"/>
  <c r="A395" i="34"/>
  <c r="A396" i="34"/>
  <c r="A397" i="34"/>
  <c r="A398" i="34"/>
  <c r="A399" i="34"/>
  <c r="A400" i="34"/>
  <c r="A401" i="34"/>
  <c r="A402" i="34"/>
  <c r="A403" i="34"/>
  <c r="A404" i="34"/>
  <c r="A405" i="34"/>
  <c r="A406" i="34"/>
  <c r="A407" i="34"/>
  <c r="A408" i="34"/>
  <c r="A409" i="34"/>
  <c r="A410" i="34"/>
  <c r="A411" i="34"/>
  <c r="A412" i="34"/>
  <c r="A413" i="34"/>
  <c r="A414" i="34"/>
  <c r="A415" i="34"/>
  <c r="A416" i="34"/>
  <c r="A417" i="34"/>
  <c r="A418" i="34"/>
  <c r="A419" i="34"/>
  <c r="A420" i="34"/>
  <c r="A421" i="34"/>
  <c r="A422" i="34"/>
  <c r="A423" i="34"/>
  <c r="A424" i="34"/>
  <c r="A425" i="34"/>
  <c r="A426" i="34"/>
  <c r="A427" i="34"/>
  <c r="A428" i="34"/>
  <c r="A429" i="34"/>
  <c r="A430" i="34"/>
  <c r="A431" i="34"/>
  <c r="A432" i="34"/>
  <c r="A433" i="34"/>
  <c r="A434" i="34"/>
  <c r="A435" i="34"/>
  <c r="A436" i="34"/>
  <c r="A437" i="34"/>
  <c r="A438" i="34"/>
  <c r="A439" i="34"/>
  <c r="A440" i="34"/>
  <c r="A441" i="34"/>
  <c r="A442" i="34"/>
  <c r="A443" i="34"/>
  <c r="A444" i="34"/>
  <c r="A445" i="34"/>
  <c r="A446" i="34"/>
  <c r="A447" i="34"/>
  <c r="A448" i="34"/>
  <c r="A449" i="34"/>
  <c r="A450" i="34"/>
  <c r="A451" i="34"/>
  <c r="A452" i="34"/>
  <c r="A453" i="34"/>
  <c r="A454" i="34"/>
  <c r="A455" i="34"/>
  <c r="A456" i="34"/>
  <c r="A457" i="34"/>
  <c r="A458" i="34"/>
  <c r="A459" i="34"/>
  <c r="A460" i="34"/>
  <c r="A461" i="34"/>
  <c r="A462" i="34"/>
  <c r="A463" i="34"/>
  <c r="A464" i="34"/>
  <c r="A465" i="34"/>
  <c r="A466" i="34"/>
  <c r="A467" i="34"/>
  <c r="A468" i="34"/>
  <c r="A469" i="34"/>
  <c r="A470" i="34"/>
  <c r="A471" i="34"/>
  <c r="A472" i="34"/>
  <c r="A473" i="34"/>
  <c r="A474" i="34"/>
  <c r="A475" i="34"/>
  <c r="A476" i="34"/>
  <c r="A477" i="34"/>
  <c r="A478" i="34"/>
  <c r="A479" i="34"/>
  <c r="A480" i="34"/>
  <c r="A481" i="34"/>
  <c r="A482" i="34"/>
  <c r="A483" i="34"/>
  <c r="A484" i="34"/>
  <c r="A485" i="34"/>
  <c r="A486" i="34"/>
  <c r="A487" i="34"/>
  <c r="A488" i="34"/>
  <c r="A489" i="34"/>
  <c r="A490" i="34"/>
  <c r="A491" i="34"/>
  <c r="A492" i="34"/>
  <c r="A493" i="34"/>
  <c r="A494" i="34"/>
  <c r="A495" i="34"/>
  <c r="A496" i="34"/>
  <c r="A497" i="34"/>
  <c r="A498" i="34"/>
  <c r="A499" i="34"/>
  <c r="A500" i="34"/>
  <c r="A501" i="34"/>
  <c r="A502" i="34"/>
  <c r="A503" i="34"/>
  <c r="A504" i="34"/>
  <c r="A505" i="34"/>
  <c r="A506" i="34"/>
  <c r="A507" i="34"/>
  <c r="A508" i="34"/>
  <c r="A509" i="34"/>
  <c r="A510" i="34"/>
  <c r="A511" i="34"/>
  <c r="A512" i="34"/>
  <c r="A513" i="34"/>
  <c r="A514" i="34"/>
  <c r="A515" i="34"/>
  <c r="A516" i="34"/>
  <c r="A517" i="34"/>
  <c r="A518" i="34"/>
  <c r="A519" i="34"/>
  <c r="A520" i="34"/>
  <c r="A521" i="34"/>
  <c r="A522" i="34"/>
  <c r="A523" i="34"/>
  <c r="A524" i="34"/>
  <c r="A525" i="34"/>
  <c r="A526" i="34"/>
  <c r="A527" i="34"/>
  <c r="A528" i="34"/>
  <c r="A529" i="34"/>
  <c r="A530" i="34"/>
  <c r="A531" i="34"/>
  <c r="A532" i="34"/>
  <c r="M358" i="34"/>
  <c r="M362" i="34"/>
  <c r="M361" i="34"/>
  <c r="C362" i="34"/>
  <c r="C358" i="34"/>
  <c r="C359" i="34"/>
  <c r="C360" i="34"/>
  <c r="C408" i="34"/>
  <c r="C409" i="34"/>
  <c r="C410" i="34"/>
  <c r="C411" i="34"/>
  <c r="C412" i="34"/>
  <c r="C413" i="34"/>
  <c r="C387" i="34"/>
  <c r="C388" i="34"/>
  <c r="C389" i="34"/>
  <c r="C390" i="34"/>
  <c r="C342" i="34"/>
  <c r="C343" i="34"/>
  <c r="C361" i="34"/>
  <c r="C367" i="34"/>
  <c r="C370" i="34"/>
  <c r="C371" i="34"/>
  <c r="C372" i="34"/>
  <c r="C373" i="34"/>
  <c r="C374" i="34"/>
  <c r="C375" i="34"/>
  <c r="C376" i="34"/>
  <c r="C377" i="34"/>
  <c r="C378" i="34"/>
  <c r="C379" i="34"/>
  <c r="C380" i="34"/>
  <c r="C381" i="34"/>
  <c r="C382" i="34"/>
  <c r="C384" i="34"/>
  <c r="C385" i="34"/>
  <c r="C386" i="34"/>
  <c r="M383" i="34"/>
  <c r="C383" i="34"/>
  <c r="M364" i="34"/>
  <c r="M363" i="34"/>
  <c r="C364" i="34"/>
  <c r="C365" i="34"/>
  <c r="C366" i="34"/>
  <c r="C307" i="34"/>
  <c r="C368" i="34"/>
  <c r="C369" i="34"/>
  <c r="C363" i="34"/>
  <c r="C287" i="34" l="1"/>
  <c r="C288" i="34"/>
  <c r="C289" i="34"/>
  <c r="C290" i="34"/>
  <c r="C291" i="34"/>
  <c r="C292" i="34"/>
  <c r="C293" i="34"/>
  <c r="C294" i="34"/>
  <c r="C295" i="34"/>
  <c r="C296" i="34"/>
  <c r="C297" i="34"/>
  <c r="C304" i="34"/>
  <c r="C305" i="34"/>
  <c r="C306" i="34"/>
  <c r="C310" i="34"/>
  <c r="C311" i="34"/>
  <c r="C312" i="34"/>
  <c r="C324" i="34"/>
  <c r="C330" i="34"/>
  <c r="C331" i="34"/>
  <c r="C332" i="34"/>
  <c r="C333" i="34"/>
  <c r="C334" i="34"/>
  <c r="C335" i="34"/>
  <c r="C336" i="34"/>
  <c r="C337" i="34"/>
  <c r="C338" i="34"/>
  <c r="C339" i="34"/>
  <c r="C340" i="34"/>
  <c r="C341" i="34"/>
  <c r="C348" i="34"/>
  <c r="C349" i="34"/>
  <c r="C355" i="34"/>
  <c r="C356" i="34"/>
  <c r="C357" i="34"/>
  <c r="AF277" i="34"/>
  <c r="AE277" i="34"/>
  <c r="AD277" i="34"/>
  <c r="AA277" i="34"/>
  <c r="W277" i="34"/>
  <c r="P277" i="34"/>
  <c r="C277" i="34"/>
  <c r="AG277" i="34" s="1"/>
  <c r="C278" i="34"/>
  <c r="C279" i="34"/>
  <c r="C303" i="34"/>
  <c r="C308" i="34"/>
  <c r="C309" i="34"/>
  <c r="C322" i="34"/>
  <c r="C323" i="34"/>
  <c r="C327" i="34"/>
  <c r="C328" i="34"/>
  <c r="C329" i="34"/>
  <c r="C347" i="34"/>
  <c r="C354" i="34"/>
  <c r="C280" i="34"/>
  <c r="C281" i="34"/>
  <c r="C282" i="34"/>
  <c r="C283" i="34"/>
  <c r="C284" i="34"/>
  <c r="C285" i="34"/>
  <c r="C286" i="34"/>
  <c r="C276" i="34"/>
  <c r="B277" i="34" l="1"/>
  <c r="M16" i="34"/>
  <c r="AC277" i="34" l="1"/>
  <c r="Y277" i="34"/>
  <c r="Z277" i="34"/>
  <c r="X277"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P205" i="34"/>
  <c r="W205" i="34"/>
  <c r="AA205" i="34"/>
  <c r="AE205" i="34"/>
  <c r="AF205" i="34"/>
  <c r="AG205" i="34"/>
  <c r="P206" i="34"/>
  <c r="W206" i="34"/>
  <c r="AA206" i="34"/>
  <c r="AE206" i="34"/>
  <c r="AF206" i="34"/>
  <c r="AG206" i="34"/>
  <c r="P207" i="34"/>
  <c r="W207" i="34"/>
  <c r="AA207" i="34"/>
  <c r="AE207" i="34"/>
  <c r="AF207" i="34"/>
  <c r="AG207" i="34"/>
  <c r="P208" i="34"/>
  <c r="W208" i="34"/>
  <c r="AA208" i="34"/>
  <c r="AE208" i="34"/>
  <c r="AF208" i="34"/>
  <c r="AG208" i="34"/>
  <c r="P209" i="34"/>
  <c r="W209" i="34"/>
  <c r="AA209" i="34"/>
  <c r="AE209" i="34"/>
  <c r="AF209" i="34"/>
  <c r="AG209" i="34"/>
  <c r="P210" i="34"/>
  <c r="W210" i="34"/>
  <c r="AA210" i="34"/>
  <c r="AE210" i="34"/>
  <c r="AF210" i="34"/>
  <c r="AG210" i="34"/>
  <c r="P211" i="34"/>
  <c r="W211" i="34"/>
  <c r="AA211" i="34"/>
  <c r="AE211" i="34"/>
  <c r="AF211" i="34"/>
  <c r="AG211" i="34"/>
  <c r="P212" i="34"/>
  <c r="W212" i="34"/>
  <c r="AA212" i="34"/>
  <c r="AE212" i="34"/>
  <c r="AF212" i="34"/>
  <c r="AG212" i="34"/>
  <c r="P213" i="34"/>
  <c r="W213" i="34"/>
  <c r="AA213" i="34"/>
  <c r="AE213" i="34"/>
  <c r="AF213" i="34"/>
  <c r="AG213" i="34"/>
  <c r="P214" i="34"/>
  <c r="W214" i="34"/>
  <c r="AA214" i="34"/>
  <c r="AE214" i="34"/>
  <c r="AF214" i="34"/>
  <c r="AG214" i="34"/>
  <c r="P215" i="34"/>
  <c r="W215" i="34"/>
  <c r="AA215" i="34"/>
  <c r="AE215" i="34"/>
  <c r="AF215" i="34"/>
  <c r="AG215" i="34"/>
  <c r="P216" i="34"/>
  <c r="W216" i="34"/>
  <c r="AA216" i="34"/>
  <c r="AE216" i="34"/>
  <c r="AF216" i="34"/>
  <c r="AG216" i="34"/>
  <c r="P217" i="34"/>
  <c r="W217" i="34"/>
  <c r="AA217" i="34"/>
  <c r="AD217" i="34"/>
  <c r="AE217" i="34"/>
  <c r="AF217" i="34"/>
  <c r="AG217" i="34"/>
  <c r="P218" i="34"/>
  <c r="W218" i="34"/>
  <c r="AA218" i="34"/>
  <c r="AD218" i="34"/>
  <c r="AE218" i="34"/>
  <c r="AF218" i="34"/>
  <c r="AG218" i="34"/>
  <c r="P219" i="34"/>
  <c r="W219" i="34"/>
  <c r="AA219" i="34"/>
  <c r="AD219" i="34"/>
  <c r="AE219" i="34"/>
  <c r="AF219" i="34"/>
  <c r="AG219" i="34"/>
  <c r="P220" i="34"/>
  <c r="W220" i="34"/>
  <c r="AA220" i="34"/>
  <c r="AD220" i="34"/>
  <c r="AE220" i="34"/>
  <c r="AF220" i="34"/>
  <c r="AG220" i="34"/>
  <c r="P221" i="34"/>
  <c r="W221" i="34"/>
  <c r="AA221" i="34"/>
  <c r="AE221" i="34"/>
  <c r="AF221" i="34"/>
  <c r="AG221" i="34"/>
  <c r="P222" i="34"/>
  <c r="W222" i="34"/>
  <c r="AA222" i="34"/>
  <c r="AE222" i="34"/>
  <c r="AF222" i="34"/>
  <c r="AG222" i="34"/>
  <c r="P223" i="34"/>
  <c r="W223" i="34"/>
  <c r="AA223" i="34"/>
  <c r="AE223" i="34"/>
  <c r="AF223" i="34"/>
  <c r="AG223" i="34"/>
  <c r="P224" i="34"/>
  <c r="W224" i="34"/>
  <c r="AA224" i="34"/>
  <c r="AE224" i="34"/>
  <c r="AF224" i="34"/>
  <c r="AG224" i="34"/>
  <c r="P225" i="34"/>
  <c r="W225" i="34"/>
  <c r="AA225" i="34"/>
  <c r="AE225" i="34"/>
  <c r="AF225" i="34"/>
  <c r="AG225" i="34"/>
  <c r="P226" i="34"/>
  <c r="W226" i="34"/>
  <c r="AA226" i="34"/>
  <c r="AE226" i="34"/>
  <c r="AF226" i="34"/>
  <c r="AG226" i="34"/>
  <c r="P227" i="34"/>
  <c r="W227" i="34"/>
  <c r="AA227" i="34"/>
  <c r="AE227" i="34"/>
  <c r="AF227" i="34"/>
  <c r="AG227" i="34"/>
  <c r="P228" i="34"/>
  <c r="W228" i="34"/>
  <c r="AA228" i="34"/>
  <c r="AE228" i="34"/>
  <c r="AF228" i="34"/>
  <c r="AG228" i="34"/>
  <c r="P229" i="34"/>
  <c r="W229" i="34"/>
  <c r="AA229" i="34"/>
  <c r="AE229" i="34"/>
  <c r="AF229" i="34"/>
  <c r="AG229" i="34"/>
  <c r="P230" i="34"/>
  <c r="W230" i="34"/>
  <c r="AA230" i="34"/>
  <c r="AE230" i="34"/>
  <c r="AF230" i="34"/>
  <c r="AG230" i="34"/>
  <c r="P231" i="34"/>
  <c r="W231" i="34"/>
  <c r="AA231" i="34"/>
  <c r="AE231" i="34"/>
  <c r="AF231" i="34"/>
  <c r="AG231" i="34"/>
  <c r="P232" i="34"/>
  <c r="W232" i="34"/>
  <c r="AA232" i="34"/>
  <c r="AE232" i="34"/>
  <c r="AF232" i="34"/>
  <c r="AG232" i="34"/>
  <c r="P233" i="34"/>
  <c r="W233" i="34"/>
  <c r="AA233" i="34"/>
  <c r="AE233" i="34"/>
  <c r="AF233" i="34"/>
  <c r="AG233" i="34"/>
  <c r="P234" i="34"/>
  <c r="W234" i="34"/>
  <c r="AA234" i="34"/>
  <c r="AE234" i="34"/>
  <c r="AF234" i="34"/>
  <c r="AG234" i="34"/>
  <c r="P235" i="34"/>
  <c r="W235" i="34"/>
  <c r="AA235" i="34"/>
  <c r="AE235" i="34"/>
  <c r="AF235" i="34"/>
  <c r="AG235" i="34"/>
  <c r="P236" i="34"/>
  <c r="W236" i="34"/>
  <c r="AA236" i="34"/>
  <c r="AE236" i="34"/>
  <c r="AF236" i="34"/>
  <c r="AG236" i="34"/>
  <c r="P237" i="34"/>
  <c r="W237" i="34"/>
  <c r="AA237" i="34"/>
  <c r="AE237" i="34"/>
  <c r="AF237" i="34"/>
  <c r="AG237" i="34"/>
  <c r="P238" i="34"/>
  <c r="W238" i="34"/>
  <c r="AA238" i="34"/>
  <c r="AE238" i="34"/>
  <c r="AF238" i="34"/>
  <c r="AG238" i="34"/>
  <c r="P239" i="34"/>
  <c r="W239" i="34"/>
  <c r="AA239" i="34"/>
  <c r="AE239" i="34"/>
  <c r="AF239" i="34"/>
  <c r="AG239" i="34"/>
  <c r="P240" i="34"/>
  <c r="W240" i="34"/>
  <c r="AA240" i="34"/>
  <c r="AE240" i="34"/>
  <c r="AF240" i="34"/>
  <c r="AG240" i="34"/>
  <c r="P241" i="34"/>
  <c r="W241" i="34"/>
  <c r="AA241" i="34"/>
  <c r="AE241" i="34"/>
  <c r="AF241" i="34"/>
  <c r="AG241" i="34"/>
  <c r="P242" i="34"/>
  <c r="W242" i="34"/>
  <c r="AA242" i="34"/>
  <c r="AD242" i="34"/>
  <c r="AE242" i="34"/>
  <c r="AF242" i="34"/>
  <c r="AG242" i="34"/>
  <c r="P243" i="34"/>
  <c r="W243" i="34"/>
  <c r="AA243" i="34"/>
  <c r="AD243" i="34"/>
  <c r="AE243" i="34"/>
  <c r="AF243" i="34"/>
  <c r="AG243" i="34"/>
  <c r="P244" i="34"/>
  <c r="W244" i="34"/>
  <c r="AA244" i="34"/>
  <c r="AD244" i="34"/>
  <c r="AE244" i="34"/>
  <c r="AF244" i="34"/>
  <c r="AG244" i="34"/>
  <c r="P245" i="34"/>
  <c r="W245" i="34"/>
  <c r="AA245" i="34"/>
  <c r="AD245" i="34"/>
  <c r="AE245" i="34"/>
  <c r="AF245" i="34"/>
  <c r="AG245" i="34"/>
  <c r="P246" i="34"/>
  <c r="W246" i="34"/>
  <c r="AA246" i="34"/>
  <c r="AD246" i="34"/>
  <c r="AE246" i="34"/>
  <c r="AF246" i="34"/>
  <c r="AG246" i="34"/>
  <c r="P247" i="34"/>
  <c r="W247" i="34"/>
  <c r="AA247" i="34"/>
  <c r="AD247" i="34"/>
  <c r="AE247" i="34"/>
  <c r="AF247" i="34"/>
  <c r="AG247" i="34"/>
  <c r="P248" i="34"/>
  <c r="W248" i="34"/>
  <c r="AA248" i="34"/>
  <c r="AD248" i="34"/>
  <c r="AE248" i="34"/>
  <c r="AF248" i="34"/>
  <c r="AG248" i="34"/>
  <c r="P249" i="34"/>
  <c r="W249" i="34"/>
  <c r="AA249" i="34"/>
  <c r="AD249" i="34"/>
  <c r="AE249" i="34"/>
  <c r="AF249" i="34"/>
  <c r="AG249" i="34"/>
  <c r="P250" i="34"/>
  <c r="W250" i="34"/>
  <c r="AA250" i="34"/>
  <c r="AD250" i="34"/>
  <c r="AE250" i="34"/>
  <c r="AF250" i="34"/>
  <c r="AG250" i="34"/>
  <c r="P251" i="34"/>
  <c r="W251" i="34"/>
  <c r="AA251" i="34"/>
  <c r="AD251" i="34"/>
  <c r="AE251" i="34"/>
  <c r="AF251" i="34"/>
  <c r="AG251" i="34"/>
  <c r="P252" i="34"/>
  <c r="W252" i="34"/>
  <c r="AA252" i="34"/>
  <c r="AD252" i="34"/>
  <c r="AE252" i="34"/>
  <c r="AF252" i="34"/>
  <c r="AG252" i="34"/>
  <c r="P253" i="34"/>
  <c r="W253" i="34"/>
  <c r="AA253" i="34"/>
  <c r="AD253" i="34"/>
  <c r="AE253" i="34"/>
  <c r="AF253" i="34"/>
  <c r="AG253" i="34"/>
  <c r="P254" i="34"/>
  <c r="W254" i="34"/>
  <c r="AA254" i="34"/>
  <c r="AD254" i="34"/>
  <c r="AE254" i="34"/>
  <c r="AF254" i="34"/>
  <c r="AG254" i="34"/>
  <c r="P255" i="34"/>
  <c r="W255" i="34"/>
  <c r="AA255" i="34"/>
  <c r="AD255" i="34"/>
  <c r="AE255" i="34"/>
  <c r="AF255" i="34"/>
  <c r="AG255" i="34"/>
  <c r="P256" i="34"/>
  <c r="W256" i="34"/>
  <c r="AA256" i="34"/>
  <c r="AD256" i="34"/>
  <c r="AE256" i="34"/>
  <c r="AF256" i="34"/>
  <c r="AG256" i="34"/>
  <c r="P257" i="34"/>
  <c r="W257" i="34"/>
  <c r="AA257" i="34"/>
  <c r="AD257" i="34"/>
  <c r="AE257" i="34"/>
  <c r="AF257" i="34"/>
  <c r="AG257" i="34"/>
  <c r="P258" i="34"/>
  <c r="W258" i="34"/>
  <c r="AA258" i="34"/>
  <c r="AE258" i="34"/>
  <c r="AF258" i="34"/>
  <c r="AG258" i="34"/>
  <c r="P259" i="34"/>
  <c r="W259" i="34"/>
  <c r="AA259" i="34"/>
  <c r="AE259" i="34"/>
  <c r="AF259" i="34"/>
  <c r="AG259" i="34"/>
  <c r="P260" i="34"/>
  <c r="W260" i="34"/>
  <c r="AA260" i="34"/>
  <c r="AE260" i="34"/>
  <c r="AF260" i="34"/>
  <c r="AG260" i="34"/>
  <c r="P261" i="34"/>
  <c r="W261" i="34"/>
  <c r="AA261" i="34"/>
  <c r="AE261" i="34"/>
  <c r="AF261" i="34"/>
  <c r="AG261" i="34"/>
  <c r="P262" i="34"/>
  <c r="W262" i="34"/>
  <c r="AA262" i="34"/>
  <c r="AE262" i="34"/>
  <c r="AF262" i="34"/>
  <c r="AG262" i="34"/>
  <c r="P263" i="34"/>
  <c r="W263" i="34"/>
  <c r="AA263" i="34"/>
  <c r="AE263" i="34"/>
  <c r="AF263" i="34"/>
  <c r="AG263" i="34"/>
  <c r="P264" i="34"/>
  <c r="W264" i="34"/>
  <c r="AA264" i="34"/>
  <c r="AE264" i="34"/>
  <c r="AF264" i="34"/>
  <c r="AG264" i="34"/>
  <c r="P265" i="34"/>
  <c r="W265" i="34"/>
  <c r="AA265" i="34"/>
  <c r="AE265" i="34"/>
  <c r="AF265" i="34"/>
  <c r="AG265" i="34"/>
  <c r="P266" i="34"/>
  <c r="W266" i="34"/>
  <c r="AA266" i="34"/>
  <c r="AE266" i="34"/>
  <c r="AF266" i="34"/>
  <c r="AG266" i="34"/>
  <c r="P267" i="34"/>
  <c r="W267" i="34"/>
  <c r="AA267" i="34"/>
  <c r="AE267" i="34"/>
  <c r="AF267" i="34"/>
  <c r="AG267" i="34"/>
  <c r="P268" i="34"/>
  <c r="W268" i="34"/>
  <c r="AA268" i="34"/>
  <c r="AE268" i="34"/>
  <c r="AF268" i="34"/>
  <c r="AG268" i="34"/>
  <c r="P269" i="34"/>
  <c r="W269" i="34"/>
  <c r="AA269" i="34"/>
  <c r="AE269" i="34"/>
  <c r="AF269" i="34"/>
  <c r="AG269" i="34"/>
  <c r="P270" i="34"/>
  <c r="W270" i="34"/>
  <c r="AA270" i="34"/>
  <c r="AE270" i="34"/>
  <c r="AF270" i="34"/>
  <c r="AG270" i="34"/>
  <c r="P271" i="34"/>
  <c r="W271" i="34"/>
  <c r="AA271" i="34"/>
  <c r="AE271" i="34"/>
  <c r="AF271" i="34"/>
  <c r="AG271" i="34"/>
  <c r="P272" i="34"/>
  <c r="W272" i="34"/>
  <c r="AA272" i="34"/>
  <c r="AD272" i="34"/>
  <c r="AE272" i="34"/>
  <c r="AF272" i="34"/>
  <c r="P273" i="34"/>
  <c r="W273" i="34"/>
  <c r="AA273" i="34"/>
  <c r="AD273" i="34"/>
  <c r="AE273" i="34"/>
  <c r="AF273" i="34"/>
  <c r="P274" i="34"/>
  <c r="W274" i="34"/>
  <c r="AA274" i="34"/>
  <c r="AD274" i="34"/>
  <c r="AE274" i="34"/>
  <c r="AF274" i="34"/>
  <c r="P275" i="34"/>
  <c r="W275" i="34"/>
  <c r="AA275" i="34"/>
  <c r="AD275" i="34"/>
  <c r="AE275" i="34"/>
  <c r="AF275" i="34"/>
  <c r="P298" i="34"/>
  <c r="W298" i="34"/>
  <c r="AA298" i="34"/>
  <c r="AD298" i="34"/>
  <c r="AE298" i="34"/>
  <c r="AF298" i="34"/>
  <c r="P299" i="34"/>
  <c r="W299" i="34"/>
  <c r="AA299" i="34"/>
  <c r="AD299" i="34"/>
  <c r="AE299" i="34"/>
  <c r="AF299" i="34"/>
  <c r="P300" i="34"/>
  <c r="W300" i="34"/>
  <c r="AA300" i="34"/>
  <c r="AD300" i="34"/>
  <c r="AE300" i="34"/>
  <c r="AF300" i="34"/>
  <c r="P301" i="34"/>
  <c r="W301" i="34"/>
  <c r="AA301" i="34"/>
  <c r="AD301" i="34"/>
  <c r="AE301" i="34"/>
  <c r="AF301" i="34"/>
  <c r="P302" i="34"/>
  <c r="W302" i="34"/>
  <c r="AA302" i="34"/>
  <c r="AD302" i="34"/>
  <c r="AE302" i="34"/>
  <c r="AF302" i="34"/>
  <c r="P313" i="34"/>
  <c r="W313" i="34"/>
  <c r="AA313" i="34"/>
  <c r="AD313" i="34"/>
  <c r="AE313" i="34"/>
  <c r="AF313" i="34"/>
  <c r="P314" i="34"/>
  <c r="W314" i="34"/>
  <c r="AA314" i="34"/>
  <c r="AD314" i="34"/>
  <c r="AE314" i="34"/>
  <c r="AF314" i="34"/>
  <c r="P315" i="34"/>
  <c r="W315" i="34"/>
  <c r="AA315" i="34"/>
  <c r="AD315" i="34"/>
  <c r="AE315" i="34"/>
  <c r="AF315" i="34"/>
  <c r="P316" i="34"/>
  <c r="W316" i="34"/>
  <c r="AA316" i="34"/>
  <c r="AD316" i="34"/>
  <c r="AE316" i="34"/>
  <c r="AF316" i="34"/>
  <c r="P317" i="34"/>
  <c r="W317" i="34"/>
  <c r="AA317" i="34"/>
  <c r="AD317" i="34"/>
  <c r="AE317" i="34"/>
  <c r="AF317" i="34"/>
  <c r="P318" i="34"/>
  <c r="W318" i="34"/>
  <c r="AA318" i="34"/>
  <c r="AD318" i="34"/>
  <c r="AE318" i="34"/>
  <c r="AF318" i="34"/>
  <c r="P319" i="34"/>
  <c r="W319" i="34"/>
  <c r="AA319" i="34"/>
  <c r="AD319" i="34"/>
  <c r="AE319" i="34"/>
  <c r="AF319" i="34"/>
  <c r="P320" i="34"/>
  <c r="W320" i="34"/>
  <c r="AA320" i="34"/>
  <c r="AD320" i="34"/>
  <c r="AE320" i="34"/>
  <c r="AF320" i="34"/>
  <c r="P321" i="34"/>
  <c r="W321" i="34"/>
  <c r="AA321" i="34"/>
  <c r="AD321" i="34"/>
  <c r="AE321" i="34"/>
  <c r="AF321" i="34"/>
  <c r="P325" i="34"/>
  <c r="W325" i="34"/>
  <c r="AA325" i="34"/>
  <c r="AD325" i="34"/>
  <c r="AE325" i="34"/>
  <c r="AF325" i="34"/>
  <c r="P326" i="34"/>
  <c r="W326" i="34"/>
  <c r="AA326" i="34"/>
  <c r="AD326" i="34"/>
  <c r="AE326" i="34"/>
  <c r="AF326" i="34"/>
  <c r="P344" i="34"/>
  <c r="W344" i="34"/>
  <c r="AA344" i="34"/>
  <c r="AD344" i="34"/>
  <c r="AE344" i="34"/>
  <c r="AF344" i="34"/>
  <c r="P345" i="34"/>
  <c r="W345" i="34"/>
  <c r="AA345" i="34"/>
  <c r="AD345" i="34"/>
  <c r="AE345" i="34"/>
  <c r="AF345" i="34"/>
  <c r="P346" i="34"/>
  <c r="W346" i="34"/>
  <c r="AA346" i="34"/>
  <c r="AD346" i="34"/>
  <c r="AE346" i="34"/>
  <c r="AF346" i="34"/>
  <c r="P350" i="34"/>
  <c r="W350" i="34"/>
  <c r="AA350" i="34"/>
  <c r="AD350" i="34"/>
  <c r="AE350" i="34"/>
  <c r="AF350" i="34"/>
  <c r="P351" i="34"/>
  <c r="W351" i="34"/>
  <c r="AA351" i="34"/>
  <c r="AD351" i="34"/>
  <c r="AE351" i="34"/>
  <c r="AF351" i="34"/>
  <c r="P352" i="34"/>
  <c r="W352" i="34"/>
  <c r="AA352" i="34"/>
  <c r="AD352" i="34"/>
  <c r="AE352" i="34"/>
  <c r="AF352" i="34"/>
  <c r="P353" i="34"/>
  <c r="W353" i="34"/>
  <c r="AA353" i="34"/>
  <c r="AD353" i="34"/>
  <c r="AE353" i="34"/>
  <c r="AF353" i="34"/>
  <c r="P391" i="34"/>
  <c r="W391" i="34"/>
  <c r="AA391" i="34"/>
  <c r="AD391" i="34"/>
  <c r="AE391" i="34"/>
  <c r="AF391" i="34"/>
  <c r="AG391" i="34"/>
  <c r="P392" i="34"/>
  <c r="W392" i="34"/>
  <c r="AA392" i="34"/>
  <c r="AD392" i="34"/>
  <c r="AE392" i="34"/>
  <c r="AF392" i="34"/>
  <c r="AG392" i="34"/>
  <c r="P393" i="34"/>
  <c r="W393" i="34"/>
  <c r="AA393" i="34"/>
  <c r="AD393" i="34"/>
  <c r="AE393" i="34"/>
  <c r="AF393" i="34"/>
  <c r="AG393" i="34"/>
  <c r="P394" i="34"/>
  <c r="W394" i="34"/>
  <c r="AA394" i="34"/>
  <c r="AD394" i="34"/>
  <c r="AE394" i="34"/>
  <c r="AF394" i="34"/>
  <c r="AG394" i="34"/>
  <c r="P395" i="34"/>
  <c r="W395" i="34"/>
  <c r="AA395" i="34"/>
  <c r="AD395" i="34"/>
  <c r="AE395" i="34"/>
  <c r="AF395" i="34"/>
  <c r="AG395" i="34"/>
  <c r="P396" i="34"/>
  <c r="W396" i="34"/>
  <c r="AA396" i="34"/>
  <c r="AD396" i="34"/>
  <c r="AE396" i="34"/>
  <c r="AF396" i="34"/>
  <c r="AG396" i="34"/>
  <c r="P397" i="34"/>
  <c r="W397" i="34"/>
  <c r="AA397" i="34"/>
  <c r="AD397" i="34"/>
  <c r="AE397" i="34"/>
  <c r="AF397" i="34"/>
  <c r="AG397" i="34"/>
  <c r="P398" i="34"/>
  <c r="W398" i="34"/>
  <c r="AA398" i="34"/>
  <c r="AD398" i="34"/>
  <c r="AE398" i="34"/>
  <c r="AF398" i="34"/>
  <c r="AG398" i="34"/>
  <c r="P399" i="34"/>
  <c r="W399" i="34"/>
  <c r="AA399" i="34"/>
  <c r="AD399" i="34"/>
  <c r="AE399" i="34"/>
  <c r="AF399" i="34"/>
  <c r="AG399" i="34"/>
  <c r="P400" i="34"/>
  <c r="W400" i="34"/>
  <c r="AA400" i="34"/>
  <c r="AD400" i="34"/>
  <c r="AE400" i="34"/>
  <c r="AF400" i="34"/>
  <c r="AG400" i="34"/>
  <c r="P401" i="34"/>
  <c r="W401" i="34"/>
  <c r="AA401" i="34"/>
  <c r="AD401" i="34"/>
  <c r="AE401" i="34"/>
  <c r="AF401" i="34"/>
  <c r="AG401" i="34"/>
  <c r="P402" i="34"/>
  <c r="W402" i="34"/>
  <c r="AA402" i="34"/>
  <c r="AD402" i="34"/>
  <c r="AE402" i="34"/>
  <c r="AF402" i="34"/>
  <c r="AG402" i="34"/>
  <c r="P403" i="34"/>
  <c r="W403" i="34"/>
  <c r="AA403" i="34"/>
  <c r="AD403" i="34"/>
  <c r="AE403" i="34"/>
  <c r="AF403" i="34"/>
  <c r="AG403" i="34"/>
  <c r="P404" i="34"/>
  <c r="W404" i="34"/>
  <c r="AA404" i="34"/>
  <c r="AD404" i="34"/>
  <c r="AE404" i="34"/>
  <c r="AF404" i="34"/>
  <c r="AG404" i="34"/>
  <c r="P405" i="34"/>
  <c r="W405" i="34"/>
  <c r="AA405" i="34"/>
  <c r="AE405" i="34"/>
  <c r="AF405" i="34"/>
  <c r="AG405" i="34"/>
  <c r="P406" i="34"/>
  <c r="W406" i="34"/>
  <c r="AA406" i="34"/>
  <c r="AD406" i="34"/>
  <c r="AE406" i="34"/>
  <c r="AF406" i="34"/>
  <c r="P407" i="34"/>
  <c r="W407" i="34"/>
  <c r="AA407" i="34"/>
  <c r="AD407" i="34"/>
  <c r="AE407" i="34"/>
  <c r="AF407" i="34"/>
  <c r="P276" i="34"/>
  <c r="W276" i="34"/>
  <c r="AA276" i="34"/>
  <c r="AD276" i="34"/>
  <c r="AE276" i="34"/>
  <c r="AF276" i="34"/>
  <c r="AG276" i="34"/>
  <c r="P278" i="34"/>
  <c r="W278" i="34"/>
  <c r="AA278" i="34"/>
  <c r="AD278" i="34"/>
  <c r="AE278" i="34"/>
  <c r="AF278" i="34"/>
  <c r="AG278" i="34"/>
  <c r="P279" i="34"/>
  <c r="W279" i="34"/>
  <c r="AA279" i="34"/>
  <c r="AD279" i="34"/>
  <c r="AE279" i="34"/>
  <c r="AF279" i="34"/>
  <c r="AG279" i="34"/>
  <c r="P303" i="34"/>
  <c r="W303" i="34"/>
  <c r="AA303" i="34"/>
  <c r="AD303" i="34"/>
  <c r="AE303" i="34"/>
  <c r="AF303" i="34"/>
  <c r="AG303" i="34"/>
  <c r="P308" i="34"/>
  <c r="W308" i="34"/>
  <c r="AA308" i="34"/>
  <c r="AD308" i="34"/>
  <c r="AE308" i="34"/>
  <c r="AF308" i="34"/>
  <c r="AG308" i="34"/>
  <c r="P309" i="34"/>
  <c r="W309" i="34"/>
  <c r="AA309" i="34"/>
  <c r="AD309" i="34"/>
  <c r="AE309" i="34"/>
  <c r="AF309" i="34"/>
  <c r="AG309" i="34"/>
  <c r="P322" i="34"/>
  <c r="W322" i="34"/>
  <c r="AA322" i="34"/>
  <c r="AD322" i="34"/>
  <c r="AE322" i="34"/>
  <c r="AF322" i="34"/>
  <c r="AG322" i="34"/>
  <c r="P323" i="34"/>
  <c r="W323" i="34"/>
  <c r="AA323" i="34"/>
  <c r="AD323" i="34"/>
  <c r="AE323" i="34"/>
  <c r="AF323" i="34"/>
  <c r="AG323" i="34"/>
  <c r="P327" i="34"/>
  <c r="W327" i="34"/>
  <c r="AA327" i="34"/>
  <c r="AD327" i="34"/>
  <c r="AE327" i="34"/>
  <c r="AF327" i="34"/>
  <c r="AG327" i="34"/>
  <c r="P328" i="34"/>
  <c r="W328" i="34"/>
  <c r="AA328" i="34"/>
  <c r="AD328" i="34"/>
  <c r="AE328" i="34"/>
  <c r="AF328" i="34"/>
  <c r="AG328" i="34"/>
  <c r="P329" i="34"/>
  <c r="W329" i="34"/>
  <c r="AA329" i="34"/>
  <c r="AD329" i="34"/>
  <c r="AE329" i="34"/>
  <c r="AF329" i="34"/>
  <c r="AG329" i="34"/>
  <c r="P347" i="34"/>
  <c r="W347" i="34"/>
  <c r="AA347" i="34"/>
  <c r="AD347" i="34"/>
  <c r="AE347" i="34"/>
  <c r="AF347" i="34"/>
  <c r="AG347" i="34"/>
  <c r="P354" i="34"/>
  <c r="W354" i="34"/>
  <c r="AA354" i="34"/>
  <c r="AD354" i="34"/>
  <c r="AE354" i="34"/>
  <c r="AF354" i="34"/>
  <c r="AG354" i="34"/>
  <c r="P280" i="34"/>
  <c r="W280" i="34"/>
  <c r="AA280" i="34"/>
  <c r="AD280" i="34"/>
  <c r="AE280" i="34"/>
  <c r="AF280" i="34"/>
  <c r="AG280" i="34"/>
  <c r="P281" i="34"/>
  <c r="W281" i="34"/>
  <c r="AA281" i="34"/>
  <c r="AD281" i="34"/>
  <c r="AE281" i="34"/>
  <c r="AF281" i="34"/>
  <c r="AG281" i="34"/>
  <c r="P282" i="34"/>
  <c r="W282" i="34"/>
  <c r="AA282" i="34"/>
  <c r="AD282" i="34"/>
  <c r="AE282" i="34"/>
  <c r="AF282" i="34"/>
  <c r="AG282" i="34"/>
  <c r="P283" i="34"/>
  <c r="W283" i="34"/>
  <c r="AA283" i="34"/>
  <c r="AD283" i="34"/>
  <c r="AE283" i="34"/>
  <c r="AF283" i="34"/>
  <c r="AG283" i="34"/>
  <c r="P284" i="34"/>
  <c r="W284" i="34"/>
  <c r="AA284" i="34"/>
  <c r="AD284" i="34"/>
  <c r="AE284" i="34"/>
  <c r="AF284" i="34"/>
  <c r="AG284" i="34"/>
  <c r="P285" i="34"/>
  <c r="W285" i="34"/>
  <c r="AA285" i="34"/>
  <c r="AD285" i="34"/>
  <c r="AE285" i="34"/>
  <c r="AF285" i="34"/>
  <c r="AG285" i="34"/>
  <c r="P286" i="34"/>
  <c r="W286" i="34"/>
  <c r="AA286" i="34"/>
  <c r="AD286" i="34"/>
  <c r="AE286" i="34"/>
  <c r="AF286" i="34"/>
  <c r="AG286" i="34"/>
  <c r="P287" i="34"/>
  <c r="W287" i="34"/>
  <c r="AA287" i="34"/>
  <c r="AD287" i="34"/>
  <c r="AE287" i="34"/>
  <c r="AF287" i="34"/>
  <c r="AG287" i="34"/>
  <c r="P288" i="34"/>
  <c r="W288" i="34"/>
  <c r="AA288" i="34"/>
  <c r="AD288" i="34"/>
  <c r="AE288" i="34"/>
  <c r="AF288" i="34"/>
  <c r="AG288" i="34"/>
  <c r="P289" i="34"/>
  <c r="W289" i="34"/>
  <c r="AA289" i="34"/>
  <c r="AD289" i="34"/>
  <c r="AE289" i="34"/>
  <c r="AF289" i="34"/>
  <c r="AG289" i="34"/>
  <c r="P290" i="34"/>
  <c r="W290" i="34"/>
  <c r="AA290" i="34"/>
  <c r="AD290" i="34"/>
  <c r="AE290" i="34"/>
  <c r="AF290" i="34"/>
  <c r="AG290" i="34"/>
  <c r="P291" i="34"/>
  <c r="W291" i="34"/>
  <c r="AA291" i="34"/>
  <c r="AD291" i="34"/>
  <c r="AE291" i="34"/>
  <c r="AF291" i="34"/>
  <c r="AG291" i="34"/>
  <c r="P292" i="34"/>
  <c r="W292" i="34"/>
  <c r="AA292" i="34"/>
  <c r="AD292" i="34"/>
  <c r="AE292" i="34"/>
  <c r="AF292" i="34"/>
  <c r="AG292" i="34"/>
  <c r="P293" i="34"/>
  <c r="W293" i="34"/>
  <c r="AA293" i="34"/>
  <c r="AD293" i="34"/>
  <c r="AE293" i="34"/>
  <c r="AF293" i="34"/>
  <c r="AG293" i="34"/>
  <c r="P294" i="34"/>
  <c r="W294" i="34"/>
  <c r="AA294" i="34"/>
  <c r="AD294" i="34"/>
  <c r="AE294" i="34"/>
  <c r="AF294" i="34"/>
  <c r="AG294" i="34"/>
  <c r="P295" i="34"/>
  <c r="W295" i="34"/>
  <c r="AA295" i="34"/>
  <c r="AD295" i="34"/>
  <c r="AE295" i="34"/>
  <c r="AF295" i="34"/>
  <c r="AG295" i="34"/>
  <c r="P296" i="34"/>
  <c r="W296" i="34"/>
  <c r="AA296" i="34"/>
  <c r="AD296" i="34"/>
  <c r="AE296" i="34"/>
  <c r="AF296" i="34"/>
  <c r="AG296" i="34"/>
  <c r="P297" i="34"/>
  <c r="W297" i="34"/>
  <c r="AA297" i="34"/>
  <c r="AD297" i="34"/>
  <c r="AE297" i="34"/>
  <c r="AF297" i="34"/>
  <c r="AG297" i="34"/>
  <c r="P304" i="34"/>
  <c r="W304" i="34"/>
  <c r="AA304" i="34"/>
  <c r="AD304" i="34"/>
  <c r="AE304" i="34"/>
  <c r="AF304" i="34"/>
  <c r="AG304" i="34"/>
  <c r="P305" i="34"/>
  <c r="W305" i="34"/>
  <c r="AA305" i="34"/>
  <c r="AD305" i="34"/>
  <c r="AE305" i="34"/>
  <c r="AF305" i="34"/>
  <c r="AG305" i="34"/>
  <c r="P306" i="34"/>
  <c r="W306" i="34"/>
  <c r="AA306" i="34"/>
  <c r="AD306" i="34"/>
  <c r="AE306" i="34"/>
  <c r="AF306" i="34"/>
  <c r="AG306" i="34"/>
  <c r="P310" i="34"/>
  <c r="W310" i="34"/>
  <c r="AA310" i="34"/>
  <c r="AD310" i="34"/>
  <c r="AE310" i="34"/>
  <c r="AF310" i="34"/>
  <c r="AG310" i="34"/>
  <c r="P311" i="34"/>
  <c r="W311" i="34"/>
  <c r="AA311" i="34"/>
  <c r="AD311" i="34"/>
  <c r="AE311" i="34"/>
  <c r="AF311" i="34"/>
  <c r="AG311" i="34"/>
  <c r="P312" i="34"/>
  <c r="W312" i="34"/>
  <c r="AA312" i="34"/>
  <c r="AD312" i="34"/>
  <c r="AE312" i="34"/>
  <c r="AF312" i="34"/>
  <c r="AG312" i="34"/>
  <c r="P324" i="34"/>
  <c r="W324" i="34"/>
  <c r="AA324" i="34"/>
  <c r="AD324" i="34"/>
  <c r="AE324" i="34"/>
  <c r="AF324" i="34"/>
  <c r="AG324" i="34"/>
  <c r="P330" i="34"/>
  <c r="W330" i="34"/>
  <c r="AA330" i="34"/>
  <c r="AD330" i="34"/>
  <c r="AE330" i="34"/>
  <c r="AF330" i="34"/>
  <c r="AG330" i="34"/>
  <c r="P331" i="34"/>
  <c r="W331" i="34"/>
  <c r="AA331" i="34"/>
  <c r="AD331" i="34"/>
  <c r="AE331" i="34"/>
  <c r="AF331" i="34"/>
  <c r="AG331" i="34"/>
  <c r="P332" i="34"/>
  <c r="W332" i="34"/>
  <c r="AA332" i="34"/>
  <c r="AD332" i="34"/>
  <c r="AE332" i="34"/>
  <c r="AF332" i="34"/>
  <c r="AG332" i="34"/>
  <c r="P333" i="34"/>
  <c r="W333" i="34"/>
  <c r="AA333" i="34"/>
  <c r="AD333" i="34"/>
  <c r="AE333" i="34"/>
  <c r="AF333" i="34"/>
  <c r="AG333" i="34"/>
  <c r="P334" i="34"/>
  <c r="W334" i="34"/>
  <c r="AA334" i="34"/>
  <c r="AD334" i="34"/>
  <c r="AE334" i="34"/>
  <c r="AF334" i="34"/>
  <c r="AG334" i="34"/>
  <c r="P335" i="34"/>
  <c r="W335" i="34"/>
  <c r="AA335" i="34"/>
  <c r="AD335" i="34"/>
  <c r="AE335" i="34"/>
  <c r="AF335" i="34"/>
  <c r="AG335" i="34"/>
  <c r="P336" i="34"/>
  <c r="W336" i="34"/>
  <c r="AA336" i="34"/>
  <c r="AD336" i="34"/>
  <c r="AE336" i="34"/>
  <c r="AF336" i="34"/>
  <c r="AG336" i="34"/>
  <c r="P337" i="34"/>
  <c r="W337" i="34"/>
  <c r="AA337" i="34"/>
  <c r="AD337" i="34"/>
  <c r="AE337" i="34"/>
  <c r="AF337" i="34"/>
  <c r="AG337" i="34"/>
  <c r="P338" i="34"/>
  <c r="W338" i="34"/>
  <c r="AA338" i="34"/>
  <c r="AD338" i="34"/>
  <c r="AE338" i="34"/>
  <c r="AF338" i="34"/>
  <c r="AG338" i="34"/>
  <c r="P339" i="34"/>
  <c r="W339" i="34"/>
  <c r="AA339" i="34"/>
  <c r="AD339" i="34"/>
  <c r="AE339" i="34"/>
  <c r="AF339" i="34"/>
  <c r="AG339" i="34"/>
  <c r="P340" i="34"/>
  <c r="W340" i="34"/>
  <c r="AA340" i="34"/>
  <c r="AD340" i="34"/>
  <c r="AE340" i="34"/>
  <c r="AF340" i="34"/>
  <c r="AG340" i="34"/>
  <c r="P341" i="34"/>
  <c r="W341" i="34"/>
  <c r="AA341" i="34"/>
  <c r="AD341" i="34"/>
  <c r="AE341" i="34"/>
  <c r="AF341" i="34"/>
  <c r="AG341" i="34"/>
  <c r="P348" i="34"/>
  <c r="W348" i="34"/>
  <c r="AA348" i="34"/>
  <c r="AD348" i="34"/>
  <c r="AE348" i="34"/>
  <c r="AF348" i="34"/>
  <c r="AG348" i="34"/>
  <c r="P349" i="34"/>
  <c r="W349" i="34"/>
  <c r="AA349" i="34"/>
  <c r="AD349" i="34"/>
  <c r="AE349" i="34"/>
  <c r="AF349" i="34"/>
  <c r="AG349" i="34"/>
  <c r="P355" i="34"/>
  <c r="W355" i="34"/>
  <c r="AA355" i="34"/>
  <c r="AD355" i="34"/>
  <c r="AE355" i="34"/>
  <c r="AF355" i="34"/>
  <c r="AG355" i="34"/>
  <c r="P356" i="34"/>
  <c r="W356" i="34"/>
  <c r="AA356" i="34"/>
  <c r="AD356" i="34"/>
  <c r="AE356" i="34"/>
  <c r="AF356" i="34"/>
  <c r="AG356" i="34"/>
  <c r="P357" i="34"/>
  <c r="W357" i="34"/>
  <c r="AA357" i="34"/>
  <c r="AD357" i="34"/>
  <c r="AE357" i="34"/>
  <c r="AF357" i="34"/>
  <c r="AG357" i="34"/>
  <c r="P363" i="34"/>
  <c r="W363" i="34"/>
  <c r="AA363" i="34"/>
  <c r="AD363" i="34"/>
  <c r="AE363" i="34"/>
  <c r="AF363" i="34"/>
  <c r="AG363" i="34"/>
  <c r="P364" i="34"/>
  <c r="W364" i="34"/>
  <c r="AA364" i="34"/>
  <c r="AD364" i="34"/>
  <c r="AE364" i="34"/>
  <c r="AF364" i="34"/>
  <c r="AG364" i="34"/>
  <c r="P365" i="34"/>
  <c r="W365" i="34"/>
  <c r="AA365" i="34"/>
  <c r="AD365" i="34"/>
  <c r="AE365" i="34"/>
  <c r="AF365" i="34"/>
  <c r="AG365" i="34"/>
  <c r="P366" i="34"/>
  <c r="W366" i="34"/>
  <c r="AA366" i="34"/>
  <c r="AD366" i="34"/>
  <c r="AE366" i="34"/>
  <c r="AF366" i="34"/>
  <c r="AG366" i="34"/>
  <c r="P307" i="34"/>
  <c r="W307" i="34"/>
  <c r="AA307" i="34"/>
  <c r="AD307" i="34"/>
  <c r="AE307" i="34"/>
  <c r="AF307" i="34"/>
  <c r="AG307" i="34"/>
  <c r="P368" i="34"/>
  <c r="W368" i="34"/>
  <c r="AA368" i="34"/>
  <c r="AD368" i="34"/>
  <c r="AE368" i="34"/>
  <c r="AF368" i="34"/>
  <c r="AG368" i="34"/>
  <c r="P369" i="34"/>
  <c r="W369" i="34"/>
  <c r="AA369" i="34"/>
  <c r="AD369" i="34"/>
  <c r="AE369" i="34"/>
  <c r="AF369" i="34"/>
  <c r="AG369" i="34"/>
  <c r="P383" i="34"/>
  <c r="W383" i="34"/>
  <c r="AA383" i="34"/>
  <c r="AD383" i="34"/>
  <c r="AE383" i="34"/>
  <c r="AF383" i="34"/>
  <c r="AG383" i="34"/>
  <c r="P367" i="34"/>
  <c r="W367" i="34"/>
  <c r="AA367" i="34"/>
  <c r="AD367" i="34"/>
  <c r="AE367" i="34"/>
  <c r="AF367" i="34"/>
  <c r="AG367" i="34"/>
  <c r="P370" i="34"/>
  <c r="W370" i="34"/>
  <c r="AA370" i="34"/>
  <c r="AD370" i="34"/>
  <c r="AE370" i="34"/>
  <c r="AF370" i="34"/>
  <c r="AG370" i="34"/>
  <c r="P371" i="34"/>
  <c r="W371" i="34"/>
  <c r="AA371" i="34"/>
  <c r="AD371" i="34"/>
  <c r="AE371" i="34"/>
  <c r="AF371" i="34"/>
  <c r="AG371" i="34"/>
  <c r="P372" i="34"/>
  <c r="W372" i="34"/>
  <c r="AA372" i="34"/>
  <c r="AD372" i="34"/>
  <c r="AE372" i="34"/>
  <c r="AF372" i="34"/>
  <c r="AG372" i="34"/>
  <c r="P373" i="34"/>
  <c r="W373" i="34"/>
  <c r="AA373" i="34"/>
  <c r="AD373" i="34"/>
  <c r="AE373" i="34"/>
  <c r="AF373" i="34"/>
  <c r="AG373" i="34"/>
  <c r="P374" i="34"/>
  <c r="W374" i="34"/>
  <c r="AA374" i="34"/>
  <c r="AD374" i="34"/>
  <c r="AE374" i="34"/>
  <c r="AF374" i="34"/>
  <c r="AG374" i="34"/>
  <c r="P375" i="34"/>
  <c r="W375" i="34"/>
  <c r="AA375" i="34"/>
  <c r="AD375" i="34"/>
  <c r="AE375" i="34"/>
  <c r="AF375" i="34"/>
  <c r="AG375" i="34"/>
  <c r="P376" i="34"/>
  <c r="W376" i="34"/>
  <c r="AA376" i="34"/>
  <c r="AD376" i="34"/>
  <c r="AE376" i="34"/>
  <c r="AF376" i="34"/>
  <c r="AG376" i="34"/>
  <c r="P377" i="34"/>
  <c r="W377" i="34"/>
  <c r="AA377" i="34"/>
  <c r="AD377" i="34"/>
  <c r="AE377" i="34"/>
  <c r="AF377" i="34"/>
  <c r="AG377" i="34"/>
  <c r="P378" i="34"/>
  <c r="W378" i="34"/>
  <c r="AA378" i="34"/>
  <c r="AD378" i="34"/>
  <c r="AE378" i="34"/>
  <c r="AF378" i="34"/>
  <c r="AG378" i="34"/>
  <c r="P379" i="34"/>
  <c r="W379" i="34"/>
  <c r="AA379" i="34"/>
  <c r="AD379" i="34"/>
  <c r="AE379" i="34"/>
  <c r="AF379" i="34"/>
  <c r="AG379" i="34"/>
  <c r="P380" i="34"/>
  <c r="W380" i="34"/>
  <c r="AA380" i="34"/>
  <c r="AD380" i="34"/>
  <c r="AE380" i="34"/>
  <c r="AF380" i="34"/>
  <c r="AG380" i="34"/>
  <c r="P381" i="34"/>
  <c r="W381" i="34"/>
  <c r="AA381" i="34"/>
  <c r="AD381" i="34"/>
  <c r="AE381" i="34"/>
  <c r="AF381" i="34"/>
  <c r="AG381" i="34"/>
  <c r="P382" i="34"/>
  <c r="W382" i="34"/>
  <c r="AA382" i="34"/>
  <c r="AD382" i="34"/>
  <c r="AE382" i="34"/>
  <c r="AF382" i="34"/>
  <c r="AG382" i="34"/>
  <c r="P384" i="34"/>
  <c r="W384" i="34"/>
  <c r="AA384" i="34"/>
  <c r="AD384" i="34"/>
  <c r="AE384" i="34"/>
  <c r="AF384" i="34"/>
  <c r="AG384" i="34"/>
  <c r="P385" i="34"/>
  <c r="W385" i="34"/>
  <c r="AA385" i="34"/>
  <c r="AD385" i="34"/>
  <c r="AE385" i="34"/>
  <c r="AF385" i="34"/>
  <c r="AG385" i="34"/>
  <c r="P386" i="34"/>
  <c r="W386" i="34"/>
  <c r="AA386" i="34"/>
  <c r="AD386" i="34"/>
  <c r="AE386" i="34"/>
  <c r="AF386" i="34"/>
  <c r="AG386" i="34"/>
  <c r="P387" i="34"/>
  <c r="W387" i="34"/>
  <c r="AA387" i="34"/>
  <c r="AD387" i="34"/>
  <c r="AE387" i="34"/>
  <c r="AF387" i="34"/>
  <c r="AG387" i="34"/>
  <c r="P388" i="34"/>
  <c r="W388" i="34"/>
  <c r="AA388" i="34"/>
  <c r="AD388" i="34"/>
  <c r="AE388" i="34"/>
  <c r="AF388" i="34"/>
  <c r="AG388" i="34"/>
  <c r="P389" i="34"/>
  <c r="W389" i="34"/>
  <c r="AA389" i="34"/>
  <c r="AD389" i="34"/>
  <c r="AE389" i="34"/>
  <c r="AF389" i="34"/>
  <c r="AG389" i="34"/>
  <c r="P390" i="34"/>
  <c r="W390" i="34"/>
  <c r="AA390" i="34"/>
  <c r="AD390" i="34"/>
  <c r="AE390" i="34"/>
  <c r="AF390" i="34"/>
  <c r="AG390" i="34"/>
  <c r="P342" i="34"/>
  <c r="W342" i="34"/>
  <c r="AA342" i="34"/>
  <c r="AD342" i="34"/>
  <c r="AE342" i="34"/>
  <c r="AF342" i="34"/>
  <c r="AG342" i="34"/>
  <c r="P343" i="34"/>
  <c r="W343" i="34"/>
  <c r="AA343" i="34"/>
  <c r="AD343" i="34"/>
  <c r="AE343" i="34"/>
  <c r="AF343" i="34"/>
  <c r="AG343" i="34"/>
  <c r="P361" i="34"/>
  <c r="W361" i="34"/>
  <c r="AA361" i="34"/>
  <c r="AD361" i="34"/>
  <c r="AE361" i="34"/>
  <c r="AF361" i="34"/>
  <c r="AG361" i="34"/>
  <c r="P362" i="34"/>
  <c r="W362" i="34"/>
  <c r="AA362" i="34"/>
  <c r="AD362" i="34"/>
  <c r="AE362" i="34"/>
  <c r="AF362" i="34"/>
  <c r="AG362" i="34"/>
  <c r="P358" i="34"/>
  <c r="W358" i="34"/>
  <c r="AA358" i="34"/>
  <c r="AD358" i="34"/>
  <c r="AE358" i="34"/>
  <c r="AF358" i="34"/>
  <c r="AG358" i="34"/>
  <c r="P359" i="34"/>
  <c r="W359" i="34"/>
  <c r="AA359" i="34"/>
  <c r="AD359" i="34"/>
  <c r="AE359" i="34"/>
  <c r="AF359" i="34"/>
  <c r="AG359" i="34"/>
  <c r="P360" i="34"/>
  <c r="W360" i="34"/>
  <c r="AA360" i="34"/>
  <c r="AD360" i="34"/>
  <c r="AE360" i="34"/>
  <c r="AF360" i="34"/>
  <c r="AG360" i="34"/>
  <c r="P408" i="34"/>
  <c r="W408" i="34"/>
  <c r="AA408" i="34"/>
  <c r="AD408" i="34"/>
  <c r="AE408" i="34"/>
  <c r="AF408" i="34"/>
  <c r="AG408" i="34"/>
  <c r="P409" i="34"/>
  <c r="W409" i="34"/>
  <c r="AA409" i="34"/>
  <c r="AD409" i="34"/>
  <c r="AE409" i="34"/>
  <c r="AF409" i="34"/>
  <c r="AG409" i="34"/>
  <c r="P410" i="34"/>
  <c r="W410" i="34"/>
  <c r="AA410" i="34"/>
  <c r="AD410" i="34"/>
  <c r="AE410" i="34"/>
  <c r="AF410" i="34"/>
  <c r="AG410" i="34"/>
  <c r="P411" i="34"/>
  <c r="W411" i="34"/>
  <c r="AA411" i="34"/>
  <c r="AD411" i="34"/>
  <c r="AE411" i="34"/>
  <c r="AF411" i="34"/>
  <c r="AG411" i="34"/>
  <c r="P412" i="34"/>
  <c r="W412" i="34"/>
  <c r="AA412" i="34"/>
  <c r="AD412" i="34"/>
  <c r="AE412" i="34"/>
  <c r="AF412" i="34"/>
  <c r="AG412" i="34"/>
  <c r="P413" i="34"/>
  <c r="W413" i="34"/>
  <c r="AA413" i="34"/>
  <c r="AD413" i="34"/>
  <c r="AE413" i="34"/>
  <c r="AF413" i="34"/>
  <c r="AG413" i="34"/>
  <c r="P414" i="34"/>
  <c r="W414" i="34"/>
  <c r="AA414" i="34"/>
  <c r="AD414" i="34"/>
  <c r="AE414" i="34"/>
  <c r="AF414" i="34"/>
  <c r="AG414" i="34"/>
  <c r="P415" i="34"/>
  <c r="W415" i="34"/>
  <c r="AA415" i="34"/>
  <c r="AD415" i="34"/>
  <c r="AE415" i="34"/>
  <c r="AF415" i="34"/>
  <c r="AG415" i="34"/>
  <c r="P416" i="34"/>
  <c r="W416" i="34"/>
  <c r="AA416" i="34"/>
  <c r="AD416" i="34"/>
  <c r="AE416" i="34"/>
  <c r="AF416" i="34"/>
  <c r="AG416" i="34"/>
  <c r="P417" i="34"/>
  <c r="W417" i="34"/>
  <c r="AA417" i="34"/>
  <c r="AD417" i="34"/>
  <c r="AE417" i="34"/>
  <c r="AF417" i="34"/>
  <c r="AG417" i="34"/>
  <c r="P418" i="34"/>
  <c r="W418" i="34"/>
  <c r="AA418" i="34"/>
  <c r="AD418" i="34"/>
  <c r="AE418" i="34"/>
  <c r="AF418" i="34"/>
  <c r="AG418" i="34"/>
  <c r="P419" i="34"/>
  <c r="W419" i="34"/>
  <c r="AA419" i="34"/>
  <c r="AD419" i="34"/>
  <c r="AE419" i="34"/>
  <c r="AF419" i="34"/>
  <c r="AG419" i="34"/>
  <c r="P420" i="34"/>
  <c r="W420" i="34"/>
  <c r="AA420" i="34"/>
  <c r="AD420" i="34"/>
  <c r="AE420" i="34"/>
  <c r="AF420" i="34"/>
  <c r="AG420" i="34"/>
  <c r="P421" i="34"/>
  <c r="W421" i="34"/>
  <c r="AA421" i="34"/>
  <c r="AD421" i="34"/>
  <c r="AE421" i="34"/>
  <c r="AF421" i="34"/>
  <c r="AG421" i="34"/>
  <c r="P422" i="34"/>
  <c r="W422" i="34"/>
  <c r="AA422" i="34"/>
  <c r="AD422" i="34"/>
  <c r="AE422" i="34"/>
  <c r="AF422" i="34"/>
  <c r="AG422" i="34"/>
  <c r="P423" i="34"/>
  <c r="W423" i="34"/>
  <c r="AA423" i="34"/>
  <c r="AD423" i="34"/>
  <c r="AE423" i="34"/>
  <c r="AF423" i="34"/>
  <c r="AG423" i="34"/>
  <c r="P424" i="34"/>
  <c r="W424" i="34"/>
  <c r="AA424" i="34"/>
  <c r="AD424" i="34"/>
  <c r="AE424" i="34"/>
  <c r="AF424" i="34"/>
  <c r="AG424" i="34"/>
  <c r="P425" i="34"/>
  <c r="W425" i="34"/>
  <c r="AA425" i="34"/>
  <c r="AD425" i="34"/>
  <c r="AE425" i="34"/>
  <c r="AF425" i="34"/>
  <c r="AG425" i="34"/>
  <c r="P426" i="34"/>
  <c r="W426" i="34"/>
  <c r="AA426" i="34"/>
  <c r="AD426" i="34"/>
  <c r="AE426" i="34"/>
  <c r="AF426" i="34"/>
  <c r="AG426" i="34"/>
  <c r="P427" i="34"/>
  <c r="W427" i="34"/>
  <c r="AA427" i="34"/>
  <c r="AD427" i="34"/>
  <c r="AE427" i="34"/>
  <c r="AF427" i="34"/>
  <c r="AG427" i="34"/>
  <c r="P428" i="34"/>
  <c r="W428" i="34"/>
  <c r="AA428" i="34"/>
  <c r="AD428" i="34"/>
  <c r="AE428" i="34"/>
  <c r="AF428" i="34"/>
  <c r="AG428" i="34"/>
  <c r="P429" i="34"/>
  <c r="W429" i="34"/>
  <c r="AA429" i="34"/>
  <c r="AD429" i="34"/>
  <c r="AE429" i="34"/>
  <c r="AF429" i="34"/>
  <c r="AG429" i="34"/>
  <c r="P430" i="34"/>
  <c r="W430" i="34"/>
  <c r="AA430" i="34"/>
  <c r="AD430" i="34"/>
  <c r="AE430" i="34"/>
  <c r="AF430" i="34"/>
  <c r="AG430" i="34"/>
  <c r="P431" i="34"/>
  <c r="W431" i="34"/>
  <c r="AA431" i="34"/>
  <c r="AD431" i="34"/>
  <c r="AE431" i="34"/>
  <c r="AF431" i="34"/>
  <c r="AG431" i="34"/>
  <c r="P432" i="34"/>
  <c r="W432" i="34"/>
  <c r="AA432" i="34"/>
  <c r="AD432" i="34"/>
  <c r="AE432" i="34"/>
  <c r="AF432" i="34"/>
  <c r="AG432" i="34"/>
  <c r="P433" i="34"/>
  <c r="W433" i="34"/>
  <c r="AA433" i="34"/>
  <c r="AD433" i="34"/>
  <c r="AE433" i="34"/>
  <c r="AF433" i="34"/>
  <c r="AG433" i="34"/>
  <c r="P434" i="34"/>
  <c r="W434" i="34"/>
  <c r="AA434" i="34"/>
  <c r="AD434" i="34"/>
  <c r="AE434" i="34"/>
  <c r="AF434" i="34"/>
  <c r="AG434" i="34"/>
  <c r="P435" i="34"/>
  <c r="W435" i="34"/>
  <c r="AA435" i="34"/>
  <c r="AD435" i="34"/>
  <c r="AE435" i="34"/>
  <c r="AF435" i="34"/>
  <c r="AG435" i="34"/>
  <c r="P436" i="34"/>
  <c r="W436" i="34"/>
  <c r="AA436" i="34"/>
  <c r="AD436" i="34"/>
  <c r="AE436" i="34"/>
  <c r="AF436" i="34"/>
  <c r="AG436" i="34"/>
  <c r="P437" i="34"/>
  <c r="W437" i="34"/>
  <c r="AA437" i="34"/>
  <c r="AD437" i="34"/>
  <c r="AE437" i="34"/>
  <c r="AF437" i="34"/>
  <c r="AG437" i="34"/>
  <c r="P438" i="34"/>
  <c r="W438" i="34"/>
  <c r="AA438" i="34"/>
  <c r="AD438" i="34"/>
  <c r="AE438" i="34"/>
  <c r="AF438" i="34"/>
  <c r="AG438" i="34"/>
  <c r="P439" i="34"/>
  <c r="W439" i="34"/>
  <c r="AA439" i="34"/>
  <c r="AD439" i="34"/>
  <c r="AE439" i="34"/>
  <c r="AF439" i="34"/>
  <c r="AG439" i="34"/>
  <c r="P440" i="34"/>
  <c r="W440" i="34"/>
  <c r="AA440" i="34"/>
  <c r="AD440" i="34"/>
  <c r="AE440" i="34"/>
  <c r="AF440" i="34"/>
  <c r="AG440" i="34"/>
  <c r="P441" i="34"/>
  <c r="W441" i="34"/>
  <c r="AA441" i="34"/>
  <c r="AD441" i="34"/>
  <c r="AE441" i="34"/>
  <c r="AF441" i="34"/>
  <c r="AG441" i="34"/>
  <c r="P442" i="34"/>
  <c r="W442" i="34"/>
  <c r="AA442" i="34"/>
  <c r="AD442" i="34"/>
  <c r="AE442" i="34"/>
  <c r="AF442" i="34"/>
  <c r="AG442" i="34"/>
  <c r="P443" i="34"/>
  <c r="W443" i="34"/>
  <c r="AA443" i="34"/>
  <c r="AD443" i="34"/>
  <c r="AE443" i="34"/>
  <c r="AF443" i="34"/>
  <c r="AG443" i="34"/>
  <c r="P444" i="34"/>
  <c r="W444" i="34"/>
  <c r="AA444" i="34"/>
  <c r="AD444" i="34"/>
  <c r="AE444" i="34"/>
  <c r="AF444" i="34"/>
  <c r="AG444" i="34"/>
  <c r="P445" i="34"/>
  <c r="W445" i="34"/>
  <c r="AA445" i="34"/>
  <c r="AD445" i="34"/>
  <c r="AE445" i="34"/>
  <c r="AF445" i="34"/>
  <c r="AG445" i="34"/>
  <c r="P446" i="34"/>
  <c r="W446" i="34"/>
  <c r="AA446" i="34"/>
  <c r="AD446" i="34"/>
  <c r="AE446" i="34"/>
  <c r="AF446" i="34"/>
  <c r="AG446" i="34"/>
  <c r="P447" i="34"/>
  <c r="W447" i="34"/>
  <c r="AA447" i="34"/>
  <c r="AD447" i="34"/>
  <c r="AE447" i="34"/>
  <c r="AF447" i="34"/>
  <c r="AG447" i="34"/>
  <c r="P448" i="34"/>
  <c r="W448" i="34"/>
  <c r="AA448" i="34"/>
  <c r="AD448" i="34"/>
  <c r="AE448" i="34"/>
  <c r="AF448" i="34"/>
  <c r="AG448" i="34"/>
  <c r="P449" i="34"/>
  <c r="W449" i="34"/>
  <c r="AA449" i="34"/>
  <c r="AD449" i="34"/>
  <c r="AE449" i="34"/>
  <c r="AF449" i="34"/>
  <c r="AG449" i="34"/>
  <c r="P450" i="34"/>
  <c r="W450" i="34"/>
  <c r="AA450" i="34"/>
  <c r="AD450" i="34"/>
  <c r="AE450" i="34"/>
  <c r="AF450" i="34"/>
  <c r="AG450" i="34"/>
  <c r="P451" i="34"/>
  <c r="W451" i="34"/>
  <c r="AA451" i="34"/>
  <c r="AD451" i="34"/>
  <c r="AE451" i="34"/>
  <c r="AF451" i="34"/>
  <c r="AG451" i="34"/>
  <c r="P452" i="34"/>
  <c r="W452" i="34"/>
  <c r="AA452" i="34"/>
  <c r="AD452" i="34"/>
  <c r="AE452" i="34"/>
  <c r="AF452" i="34"/>
  <c r="AG452" i="34"/>
  <c r="P453" i="34"/>
  <c r="W453" i="34"/>
  <c r="AA453" i="34"/>
  <c r="AD453" i="34"/>
  <c r="AE453" i="34"/>
  <c r="AF453" i="34"/>
  <c r="AG453" i="34"/>
  <c r="P454" i="34"/>
  <c r="W454" i="34"/>
  <c r="AA454" i="34"/>
  <c r="AD454" i="34"/>
  <c r="AE454" i="34"/>
  <c r="AF454" i="34"/>
  <c r="AG454" i="34"/>
  <c r="P455" i="34"/>
  <c r="W455" i="34"/>
  <c r="AA455" i="34"/>
  <c r="AD455" i="34"/>
  <c r="AE455" i="34"/>
  <c r="AF455" i="34"/>
  <c r="AG455" i="34"/>
  <c r="P456" i="34"/>
  <c r="W456" i="34"/>
  <c r="AA456" i="34"/>
  <c r="AD456" i="34"/>
  <c r="AE456" i="34"/>
  <c r="AF456" i="34"/>
  <c r="AG456" i="34"/>
  <c r="P457" i="34"/>
  <c r="W457" i="34"/>
  <c r="AA457" i="34"/>
  <c r="AD457" i="34"/>
  <c r="AE457" i="34"/>
  <c r="AF457" i="34"/>
  <c r="AG457" i="34"/>
  <c r="P458" i="34"/>
  <c r="W458" i="34"/>
  <c r="AA458" i="34"/>
  <c r="AD458" i="34"/>
  <c r="AE458" i="34"/>
  <c r="AF458" i="34"/>
  <c r="AG458" i="34"/>
  <c r="P459" i="34"/>
  <c r="W459" i="34"/>
  <c r="AA459" i="34"/>
  <c r="AD459" i="34"/>
  <c r="AE459" i="34"/>
  <c r="AF459" i="34"/>
  <c r="AG459" i="34"/>
  <c r="P460" i="34"/>
  <c r="W460" i="34"/>
  <c r="AA460" i="34"/>
  <c r="AD460" i="34"/>
  <c r="AE460" i="34"/>
  <c r="AF460" i="34"/>
  <c r="AG460" i="34"/>
  <c r="P461" i="34"/>
  <c r="W461" i="34"/>
  <c r="AA461" i="34"/>
  <c r="AD461" i="34"/>
  <c r="AE461" i="34"/>
  <c r="AF461" i="34"/>
  <c r="AG461" i="34"/>
  <c r="P462" i="34"/>
  <c r="W462" i="34"/>
  <c r="AA462" i="34"/>
  <c r="AD462" i="34"/>
  <c r="AE462" i="34"/>
  <c r="AF462" i="34"/>
  <c r="AG462" i="34"/>
  <c r="P463" i="34"/>
  <c r="W463" i="34"/>
  <c r="AA463" i="34"/>
  <c r="AD463" i="34"/>
  <c r="AE463" i="34"/>
  <c r="AF463" i="34"/>
  <c r="AG463" i="34"/>
  <c r="P464" i="34"/>
  <c r="W464" i="34"/>
  <c r="AA464" i="34"/>
  <c r="AD464" i="34"/>
  <c r="AE464" i="34"/>
  <c r="AF464" i="34"/>
  <c r="AG464" i="34"/>
  <c r="P465" i="34"/>
  <c r="W465" i="34"/>
  <c r="AA465" i="34"/>
  <c r="AD465" i="34"/>
  <c r="AE465" i="34"/>
  <c r="AF465" i="34"/>
  <c r="AG465" i="34"/>
  <c r="P466" i="34"/>
  <c r="W466" i="34"/>
  <c r="AA466" i="34"/>
  <c r="AD466" i="34"/>
  <c r="AE466" i="34"/>
  <c r="AF466" i="34"/>
  <c r="AG466" i="34"/>
  <c r="P467" i="34"/>
  <c r="W467" i="34"/>
  <c r="AA467" i="34"/>
  <c r="AD467" i="34"/>
  <c r="AE467" i="34"/>
  <c r="AF467" i="34"/>
  <c r="AG467" i="34"/>
  <c r="P468" i="34"/>
  <c r="W468" i="34"/>
  <c r="AA468" i="34"/>
  <c r="AD468" i="34"/>
  <c r="AE468" i="34"/>
  <c r="AF468" i="34"/>
  <c r="AG468" i="34"/>
  <c r="P469" i="34"/>
  <c r="W469" i="34"/>
  <c r="AA469" i="34"/>
  <c r="AD469" i="34"/>
  <c r="AE469" i="34"/>
  <c r="AF469" i="34"/>
  <c r="AG469" i="34"/>
  <c r="P470" i="34"/>
  <c r="W470" i="34"/>
  <c r="AA470" i="34"/>
  <c r="AD470" i="34"/>
  <c r="AE470" i="34"/>
  <c r="AF470" i="34"/>
  <c r="AG470" i="34"/>
  <c r="P471" i="34"/>
  <c r="W471" i="34"/>
  <c r="AA471" i="34"/>
  <c r="AD471" i="34"/>
  <c r="AE471" i="34"/>
  <c r="AF471" i="34"/>
  <c r="AG471" i="34"/>
  <c r="P472" i="34"/>
  <c r="W472" i="34"/>
  <c r="AA472" i="34"/>
  <c r="AD472" i="34"/>
  <c r="AE472" i="34"/>
  <c r="AF472" i="34"/>
  <c r="AG472" i="34"/>
  <c r="P473" i="34"/>
  <c r="W473" i="34"/>
  <c r="AA473" i="34"/>
  <c r="AD473" i="34"/>
  <c r="AE473" i="34"/>
  <c r="AF473" i="34"/>
  <c r="AG473" i="34"/>
  <c r="P474" i="34"/>
  <c r="W474" i="34"/>
  <c r="AA474" i="34"/>
  <c r="AD474" i="34"/>
  <c r="AE474" i="34"/>
  <c r="AF474" i="34"/>
  <c r="AG474" i="34"/>
  <c r="P475" i="34"/>
  <c r="W475" i="34"/>
  <c r="AA475" i="34"/>
  <c r="AD475" i="34"/>
  <c r="AE475" i="34"/>
  <c r="AF475" i="34"/>
  <c r="AG475" i="34"/>
  <c r="P476" i="34"/>
  <c r="W476" i="34"/>
  <c r="AA476" i="34"/>
  <c r="AD476" i="34"/>
  <c r="AE476" i="34"/>
  <c r="AF476" i="34"/>
  <c r="AG476" i="34"/>
  <c r="P477" i="34"/>
  <c r="W477" i="34"/>
  <c r="AA477" i="34"/>
  <c r="AD477" i="34"/>
  <c r="AE477" i="34"/>
  <c r="AF477" i="34"/>
  <c r="AG477" i="34"/>
  <c r="P478" i="34"/>
  <c r="W478" i="34"/>
  <c r="AA478" i="34"/>
  <c r="AD478" i="34"/>
  <c r="AE478" i="34"/>
  <c r="AF478" i="34"/>
  <c r="AG478" i="34"/>
  <c r="P479" i="34"/>
  <c r="W479" i="34"/>
  <c r="AA479" i="34"/>
  <c r="AD479" i="34"/>
  <c r="AE479" i="34"/>
  <c r="AF479" i="34"/>
  <c r="AG479" i="34"/>
  <c r="P480" i="34"/>
  <c r="W480" i="34"/>
  <c r="AA480" i="34"/>
  <c r="AD480" i="34"/>
  <c r="AE480" i="34"/>
  <c r="AF480" i="34"/>
  <c r="AG480" i="34"/>
  <c r="P481" i="34"/>
  <c r="W481" i="34"/>
  <c r="AA481" i="34"/>
  <c r="AD481" i="34"/>
  <c r="AE481" i="34"/>
  <c r="AF481" i="34"/>
  <c r="AG481" i="34"/>
  <c r="P482" i="34"/>
  <c r="W482" i="34"/>
  <c r="AA482" i="34"/>
  <c r="AD482" i="34"/>
  <c r="AE482" i="34"/>
  <c r="AF482" i="34"/>
  <c r="AG482" i="34"/>
  <c r="P483" i="34"/>
  <c r="W483" i="34"/>
  <c r="AA483" i="34"/>
  <c r="AD483" i="34"/>
  <c r="AE483" i="34"/>
  <c r="AF483" i="34"/>
  <c r="AG483" i="34"/>
  <c r="P484" i="34"/>
  <c r="W484" i="34"/>
  <c r="AA484" i="34"/>
  <c r="AD484" i="34"/>
  <c r="AE484" i="34"/>
  <c r="AF484" i="34"/>
  <c r="AG484" i="34"/>
  <c r="P485" i="34"/>
  <c r="W485" i="34"/>
  <c r="AA485" i="34"/>
  <c r="AD485" i="34"/>
  <c r="AE485" i="34"/>
  <c r="AF485" i="34"/>
  <c r="AG485" i="34"/>
  <c r="P486" i="34"/>
  <c r="W486" i="34"/>
  <c r="AA486" i="34"/>
  <c r="AD486" i="34"/>
  <c r="AE486" i="34"/>
  <c r="AF486" i="34"/>
  <c r="AG486" i="34"/>
  <c r="P487" i="34"/>
  <c r="W487" i="34"/>
  <c r="AA487" i="34"/>
  <c r="AD487" i="34"/>
  <c r="AE487" i="34"/>
  <c r="AF487" i="34"/>
  <c r="AG487" i="34"/>
  <c r="P488" i="34"/>
  <c r="W488" i="34"/>
  <c r="AA488" i="34"/>
  <c r="AD488" i="34"/>
  <c r="AE488" i="34"/>
  <c r="AF488" i="34"/>
  <c r="AG488" i="34"/>
  <c r="P489" i="34"/>
  <c r="W489" i="34"/>
  <c r="AA489" i="34"/>
  <c r="AD489" i="34"/>
  <c r="AE489" i="34"/>
  <c r="AF489" i="34"/>
  <c r="AG489" i="34"/>
  <c r="P490" i="34"/>
  <c r="W490" i="34"/>
  <c r="AA490" i="34"/>
  <c r="AD490" i="34"/>
  <c r="AE490" i="34"/>
  <c r="AF490" i="34"/>
  <c r="AG490" i="34"/>
  <c r="P491" i="34"/>
  <c r="W491" i="34"/>
  <c r="AA491" i="34"/>
  <c r="AD491" i="34"/>
  <c r="AE491" i="34"/>
  <c r="AF491" i="34"/>
  <c r="AG491" i="34"/>
  <c r="P492" i="34"/>
  <c r="W492" i="34"/>
  <c r="AA492" i="34"/>
  <c r="AD492" i="34"/>
  <c r="AE492" i="34"/>
  <c r="AF492" i="34"/>
  <c r="AG492" i="34"/>
  <c r="P493" i="34"/>
  <c r="W493" i="34"/>
  <c r="AA493" i="34"/>
  <c r="AD493" i="34"/>
  <c r="AE493" i="34"/>
  <c r="AF493" i="34"/>
  <c r="AG493" i="34"/>
  <c r="P494" i="34"/>
  <c r="W494" i="34"/>
  <c r="AA494" i="34"/>
  <c r="AD494" i="34"/>
  <c r="AE494" i="34"/>
  <c r="AF494" i="34"/>
  <c r="AG494" i="34"/>
  <c r="P495" i="34"/>
  <c r="W495" i="34"/>
  <c r="AA495" i="34"/>
  <c r="AD495" i="34"/>
  <c r="AE495" i="34"/>
  <c r="AF495" i="34"/>
  <c r="AG495" i="34"/>
  <c r="P496" i="34"/>
  <c r="W496" i="34"/>
  <c r="AA496" i="34"/>
  <c r="AD496" i="34"/>
  <c r="AE496" i="34"/>
  <c r="AF496" i="34"/>
  <c r="AG496" i="34"/>
  <c r="P497" i="34"/>
  <c r="W497" i="34"/>
  <c r="AA497" i="34"/>
  <c r="AD497" i="34"/>
  <c r="AE497" i="34"/>
  <c r="AF497" i="34"/>
  <c r="AG497" i="34"/>
  <c r="P498" i="34"/>
  <c r="W498" i="34"/>
  <c r="AA498" i="34"/>
  <c r="AD498" i="34"/>
  <c r="AE498" i="34"/>
  <c r="AF498" i="34"/>
  <c r="AG498" i="34"/>
  <c r="P499" i="34"/>
  <c r="W499" i="34"/>
  <c r="AA499" i="34"/>
  <c r="AD499" i="34"/>
  <c r="AE499" i="34"/>
  <c r="AF499" i="34"/>
  <c r="AG499" i="34"/>
  <c r="P500" i="34"/>
  <c r="W500" i="34"/>
  <c r="AA500" i="34"/>
  <c r="AD500" i="34"/>
  <c r="AE500" i="34"/>
  <c r="AF500" i="34"/>
  <c r="AG500" i="34"/>
  <c r="P501" i="34"/>
  <c r="W501" i="34"/>
  <c r="AA501" i="34"/>
  <c r="AD501" i="34"/>
  <c r="AE501" i="34"/>
  <c r="AF501" i="34"/>
  <c r="AG501" i="34"/>
  <c r="P502" i="34"/>
  <c r="W502" i="34"/>
  <c r="AA502" i="34"/>
  <c r="AD502" i="34"/>
  <c r="AE502" i="34"/>
  <c r="AF502" i="34"/>
  <c r="AG502" i="34"/>
  <c r="P503" i="34"/>
  <c r="W503" i="34"/>
  <c r="AA503" i="34"/>
  <c r="AD503" i="34"/>
  <c r="AE503" i="34"/>
  <c r="AF503" i="34"/>
  <c r="AG503" i="34"/>
  <c r="P504" i="34"/>
  <c r="W504" i="34"/>
  <c r="AA504" i="34"/>
  <c r="AD504" i="34"/>
  <c r="AE504" i="34"/>
  <c r="AF504" i="34"/>
  <c r="AG504" i="34"/>
  <c r="P505" i="34"/>
  <c r="W505" i="34"/>
  <c r="AA505" i="34"/>
  <c r="AD505" i="34"/>
  <c r="AE505" i="34"/>
  <c r="AF505" i="34"/>
  <c r="AG505" i="34"/>
  <c r="P506" i="34"/>
  <c r="W506" i="34"/>
  <c r="AA506" i="34"/>
  <c r="AD506" i="34"/>
  <c r="AE506" i="34"/>
  <c r="AF506" i="34"/>
  <c r="AG506" i="34"/>
  <c r="P507" i="34"/>
  <c r="W507" i="34"/>
  <c r="AA507" i="34"/>
  <c r="AD507" i="34"/>
  <c r="AE507" i="34"/>
  <c r="AF507" i="34"/>
  <c r="AG507" i="34"/>
  <c r="P508" i="34"/>
  <c r="W508" i="34"/>
  <c r="AA508" i="34"/>
  <c r="AD508" i="34"/>
  <c r="AE508" i="34"/>
  <c r="AF508" i="34"/>
  <c r="AG508" i="34"/>
  <c r="P509" i="34"/>
  <c r="W509" i="34"/>
  <c r="AA509" i="34"/>
  <c r="AD509" i="34"/>
  <c r="AE509" i="34"/>
  <c r="AF509" i="34"/>
  <c r="AG509" i="34"/>
  <c r="P510" i="34"/>
  <c r="W510" i="34"/>
  <c r="AA510" i="34"/>
  <c r="AD510" i="34"/>
  <c r="AE510" i="34"/>
  <c r="AF510" i="34"/>
  <c r="AG510" i="34"/>
  <c r="P511" i="34"/>
  <c r="W511" i="34"/>
  <c r="AA511" i="34"/>
  <c r="AD511" i="34"/>
  <c r="AE511" i="34"/>
  <c r="AF511" i="34"/>
  <c r="AG511" i="34"/>
  <c r="P512" i="34"/>
  <c r="W512" i="34"/>
  <c r="AA512" i="34"/>
  <c r="AD512" i="34"/>
  <c r="AE512" i="34"/>
  <c r="AF512" i="34"/>
  <c r="AG512" i="34"/>
  <c r="P513" i="34"/>
  <c r="W513" i="34"/>
  <c r="AA513" i="34"/>
  <c r="AD513" i="34"/>
  <c r="AE513" i="34"/>
  <c r="AF513" i="34"/>
  <c r="AG513" i="34"/>
  <c r="P514" i="34"/>
  <c r="W514" i="34"/>
  <c r="AA514" i="34"/>
  <c r="AD514" i="34"/>
  <c r="AE514" i="34"/>
  <c r="AF514" i="34"/>
  <c r="AG514" i="34"/>
  <c r="P515" i="34"/>
  <c r="W515" i="34"/>
  <c r="AA515" i="34"/>
  <c r="AD515" i="34"/>
  <c r="AE515" i="34"/>
  <c r="AF515" i="34"/>
  <c r="AG515" i="34"/>
  <c r="P516" i="34"/>
  <c r="W516" i="34"/>
  <c r="AA516" i="34"/>
  <c r="AD516" i="34"/>
  <c r="AE516" i="34"/>
  <c r="AF516" i="34"/>
  <c r="AG516" i="34"/>
  <c r="P517" i="34"/>
  <c r="W517" i="34"/>
  <c r="AA517" i="34"/>
  <c r="AD517" i="34"/>
  <c r="AE517" i="34"/>
  <c r="AF517" i="34"/>
  <c r="AG517" i="34"/>
  <c r="P518" i="34"/>
  <c r="W518" i="34"/>
  <c r="AA518" i="34"/>
  <c r="AD518" i="34"/>
  <c r="AE518" i="34"/>
  <c r="AF518" i="34"/>
  <c r="AG518" i="34"/>
  <c r="P519" i="34"/>
  <c r="W519" i="34"/>
  <c r="AA519" i="34"/>
  <c r="AD519" i="34"/>
  <c r="AE519" i="34"/>
  <c r="AF519" i="34"/>
  <c r="AG519" i="34"/>
  <c r="P520" i="34"/>
  <c r="W520" i="34"/>
  <c r="AA520" i="34"/>
  <c r="AD520" i="34"/>
  <c r="AE520" i="34"/>
  <c r="AF520" i="34"/>
  <c r="AG520" i="34"/>
  <c r="P521" i="34"/>
  <c r="W521" i="34"/>
  <c r="AA521" i="34"/>
  <c r="AD521" i="34"/>
  <c r="AE521" i="34"/>
  <c r="AF521" i="34"/>
  <c r="AG521" i="34"/>
  <c r="P522" i="34"/>
  <c r="W522" i="34"/>
  <c r="AA522" i="34"/>
  <c r="AD522" i="34"/>
  <c r="AE522" i="34"/>
  <c r="AF522" i="34"/>
  <c r="AG522" i="34"/>
  <c r="P523" i="34"/>
  <c r="W523" i="34"/>
  <c r="AA523" i="34"/>
  <c r="AD523" i="34"/>
  <c r="AE523" i="34"/>
  <c r="AF523" i="34"/>
  <c r="AG523" i="34"/>
  <c r="B249" i="34"/>
  <c r="B248" i="34"/>
  <c r="B247" i="34"/>
  <c r="B246" i="34"/>
  <c r="B396" i="34"/>
  <c r="B395" i="34"/>
  <c r="Z246" i="34" l="1"/>
  <c r="X246" i="34"/>
  <c r="Y246" i="34"/>
  <c r="AC246" i="34"/>
  <c r="X247" i="34"/>
  <c r="Y247" i="34"/>
  <c r="AC247" i="34"/>
  <c r="Z247" i="34"/>
  <c r="Y395" i="34"/>
  <c r="AC395" i="34"/>
  <c r="Z395" i="34"/>
  <c r="X395" i="34"/>
  <c r="Z248" i="34"/>
  <c r="X248" i="34"/>
  <c r="Y248" i="34"/>
  <c r="AC248" i="34"/>
  <c r="X396" i="34"/>
  <c r="Y396" i="34"/>
  <c r="AC396" i="34"/>
  <c r="Z396" i="34"/>
  <c r="X249" i="34"/>
  <c r="Y249" i="34"/>
  <c r="AC249" i="34"/>
  <c r="Z249" i="34"/>
  <c r="P524" i="34"/>
  <c r="W524" i="34"/>
  <c r="AA524" i="34"/>
  <c r="AD524" i="34"/>
  <c r="AE524" i="34"/>
  <c r="AF524" i="34"/>
  <c r="AG524" i="34"/>
  <c r="P525" i="34"/>
  <c r="W525" i="34"/>
  <c r="AA525" i="34"/>
  <c r="AD525" i="34"/>
  <c r="AE525" i="34"/>
  <c r="AF525" i="34"/>
  <c r="AG525" i="34"/>
  <c r="P526" i="34"/>
  <c r="W526" i="34"/>
  <c r="AA526" i="34"/>
  <c r="AD526" i="34"/>
  <c r="AE526" i="34"/>
  <c r="AF526" i="34"/>
  <c r="AG526" i="34"/>
  <c r="P527" i="34"/>
  <c r="W527" i="34"/>
  <c r="AA527" i="34"/>
  <c r="AD527" i="34"/>
  <c r="AE527" i="34"/>
  <c r="AF527" i="34"/>
  <c r="AG527" i="34"/>
  <c r="P528" i="34"/>
  <c r="W528" i="34"/>
  <c r="AA528" i="34"/>
  <c r="AD528" i="34"/>
  <c r="AE528" i="34"/>
  <c r="AF528" i="34"/>
  <c r="AG528" i="34"/>
  <c r="P529" i="34"/>
  <c r="W529" i="34"/>
  <c r="AA529" i="34"/>
  <c r="AD529" i="34"/>
  <c r="AE529" i="34"/>
  <c r="AF529" i="34"/>
  <c r="AG529" i="34"/>
  <c r="P530" i="34"/>
  <c r="W530" i="34"/>
  <c r="AA530" i="34"/>
  <c r="AD530" i="34"/>
  <c r="AE530" i="34"/>
  <c r="AF530" i="34"/>
  <c r="AG530" i="34"/>
  <c r="P531" i="34"/>
  <c r="W531" i="34"/>
  <c r="AA531" i="34"/>
  <c r="AD531" i="34"/>
  <c r="AE531" i="34"/>
  <c r="AF531" i="34"/>
  <c r="AG531" i="34"/>
  <c r="P532" i="34"/>
  <c r="W532" i="34"/>
  <c r="AA532" i="34"/>
  <c r="AD532" i="34"/>
  <c r="AE532" i="34"/>
  <c r="AF532" i="34"/>
  <c r="AG532" i="34"/>
  <c r="P533" i="34"/>
  <c r="W533" i="34"/>
  <c r="AA533" i="34"/>
  <c r="AD533" i="34"/>
  <c r="AE533" i="34"/>
  <c r="AF533" i="34"/>
  <c r="AG533" i="34"/>
  <c r="P534" i="34"/>
  <c r="W534" i="34"/>
  <c r="AA534" i="34"/>
  <c r="AD534" i="34"/>
  <c r="AE534" i="34"/>
  <c r="AF534" i="34"/>
  <c r="AG534" i="34"/>
  <c r="P535" i="34"/>
  <c r="W535" i="34"/>
  <c r="AA535" i="34"/>
  <c r="AD535" i="34"/>
  <c r="AE535" i="34"/>
  <c r="AF535" i="34"/>
  <c r="AG535" i="34"/>
  <c r="P536" i="34"/>
  <c r="W536" i="34"/>
  <c r="AA536" i="34"/>
  <c r="AD536" i="34"/>
  <c r="AE536" i="34"/>
  <c r="AF536" i="34"/>
  <c r="AG536" i="34"/>
  <c r="P537" i="34"/>
  <c r="W537" i="34"/>
  <c r="AA537" i="34"/>
  <c r="AD537" i="34"/>
  <c r="AE537" i="34"/>
  <c r="AF537" i="34"/>
  <c r="AG537" i="34"/>
  <c r="P538" i="34"/>
  <c r="W538" i="34"/>
  <c r="AA538" i="34"/>
  <c r="AD538" i="34"/>
  <c r="AE538" i="34"/>
  <c r="AF538" i="34"/>
  <c r="AG538" i="34"/>
  <c r="P539" i="34"/>
  <c r="W539" i="34"/>
  <c r="AA539" i="34"/>
  <c r="AD539" i="34"/>
  <c r="AE539" i="34"/>
  <c r="AF539" i="34"/>
  <c r="AG539" i="34"/>
  <c r="P540" i="34"/>
  <c r="W540" i="34"/>
  <c r="AA540" i="34"/>
  <c r="AD540" i="34"/>
  <c r="AE540" i="34"/>
  <c r="AF540" i="34"/>
  <c r="AG540" i="34"/>
  <c r="P541" i="34"/>
  <c r="W541" i="34"/>
  <c r="AA541" i="34"/>
  <c r="AD541" i="34"/>
  <c r="AE541" i="34"/>
  <c r="AF541" i="34"/>
  <c r="AG541" i="34"/>
  <c r="P542" i="34"/>
  <c r="W542" i="34"/>
  <c r="AA542" i="34"/>
  <c r="AD542" i="34"/>
  <c r="AE542" i="34"/>
  <c r="AF542" i="34"/>
  <c r="AG542" i="34"/>
  <c r="P543" i="34"/>
  <c r="W543" i="34"/>
  <c r="AA543" i="34"/>
  <c r="AD543" i="34"/>
  <c r="AE543" i="34"/>
  <c r="AF543" i="34"/>
  <c r="AG543" i="34"/>
  <c r="P544" i="34"/>
  <c r="W544" i="34"/>
  <c r="AA544" i="34"/>
  <c r="AD544" i="34"/>
  <c r="AE544" i="34"/>
  <c r="AF544" i="34"/>
  <c r="AG544" i="34"/>
  <c r="P545" i="34"/>
  <c r="W545" i="34"/>
  <c r="AA545" i="34"/>
  <c r="AD545" i="34"/>
  <c r="AE545" i="34"/>
  <c r="AF545" i="34"/>
  <c r="AG545" i="34"/>
  <c r="P546" i="34"/>
  <c r="W546" i="34"/>
  <c r="AA546" i="34"/>
  <c r="AD546" i="34"/>
  <c r="AE546" i="34"/>
  <c r="AF546" i="34"/>
  <c r="AG546" i="34"/>
  <c r="P547" i="34"/>
  <c r="W547" i="34"/>
  <c r="AA547" i="34"/>
  <c r="AD547" i="34"/>
  <c r="AE547" i="34"/>
  <c r="AF547" i="34"/>
  <c r="AG547" i="34"/>
  <c r="P548" i="34"/>
  <c r="W548" i="34"/>
  <c r="AA548" i="34"/>
  <c r="AD548" i="34"/>
  <c r="AE548" i="34"/>
  <c r="AF548" i="34"/>
  <c r="AG548" i="34"/>
  <c r="P549" i="34"/>
  <c r="W549" i="34"/>
  <c r="AA549" i="34"/>
  <c r="AD549" i="34"/>
  <c r="AE549" i="34"/>
  <c r="AF549" i="34"/>
  <c r="AG549" i="34"/>
  <c r="P550" i="34"/>
  <c r="W550" i="34"/>
  <c r="AA550" i="34"/>
  <c r="AD550" i="34"/>
  <c r="AE550" i="34"/>
  <c r="AF550" i="34"/>
  <c r="AG550" i="34"/>
  <c r="P551" i="34"/>
  <c r="W551" i="34"/>
  <c r="AA551" i="34"/>
  <c r="AD551" i="34"/>
  <c r="AE551" i="34"/>
  <c r="AF551" i="34"/>
  <c r="AG551" i="34"/>
  <c r="P552" i="34"/>
  <c r="W552" i="34"/>
  <c r="AA552" i="34"/>
  <c r="AD552" i="34"/>
  <c r="AE552" i="34"/>
  <c r="AF552" i="34"/>
  <c r="AG552" i="34"/>
  <c r="P553" i="34"/>
  <c r="W553" i="34"/>
  <c r="AA553" i="34"/>
  <c r="AD553" i="34"/>
  <c r="AE553" i="34"/>
  <c r="AF553" i="34"/>
  <c r="AG553" i="34"/>
  <c r="P554" i="34"/>
  <c r="W554" i="34"/>
  <c r="AA554" i="34"/>
  <c r="AD554" i="34"/>
  <c r="AE554" i="34"/>
  <c r="AF554" i="34"/>
  <c r="AG554" i="34"/>
  <c r="P555" i="34"/>
  <c r="W555" i="34"/>
  <c r="AA555" i="34"/>
  <c r="AD555" i="34"/>
  <c r="AE555" i="34"/>
  <c r="AF555" i="34"/>
  <c r="AG555" i="34"/>
  <c r="P556" i="34"/>
  <c r="W556" i="34"/>
  <c r="AA556" i="34"/>
  <c r="AD556" i="34"/>
  <c r="AE556" i="34"/>
  <c r="AF556" i="34"/>
  <c r="AG556" i="34"/>
  <c r="P557" i="34"/>
  <c r="W557" i="34"/>
  <c r="AA557" i="34"/>
  <c r="AD557" i="34"/>
  <c r="AE557" i="34"/>
  <c r="AF557" i="34"/>
  <c r="AG557" i="34"/>
  <c r="P558" i="34"/>
  <c r="W558" i="34"/>
  <c r="AA558" i="34"/>
  <c r="AD558" i="34"/>
  <c r="AE558" i="34"/>
  <c r="AF558" i="34"/>
  <c r="AG558" i="34"/>
  <c r="P559" i="34"/>
  <c r="W559" i="34"/>
  <c r="AA559" i="34"/>
  <c r="AD559" i="34"/>
  <c r="AE559" i="34"/>
  <c r="AF559" i="34"/>
  <c r="AG559" i="34"/>
  <c r="P560" i="34"/>
  <c r="W560" i="34"/>
  <c r="AA560" i="34"/>
  <c r="AD560" i="34"/>
  <c r="AE560" i="34"/>
  <c r="AF560" i="34"/>
  <c r="AG560" i="34"/>
  <c r="P561" i="34"/>
  <c r="W561" i="34"/>
  <c r="AA561" i="34"/>
  <c r="AD561" i="34"/>
  <c r="AE561" i="34"/>
  <c r="AF561" i="34"/>
  <c r="AG561" i="34"/>
  <c r="P562" i="34"/>
  <c r="W562" i="34"/>
  <c r="AA562" i="34"/>
  <c r="AD562" i="34"/>
  <c r="AE562" i="34"/>
  <c r="AF562" i="34"/>
  <c r="AG562" i="34"/>
  <c r="P563" i="34"/>
  <c r="W563" i="34"/>
  <c r="AA563" i="34"/>
  <c r="AD563" i="34"/>
  <c r="AE563" i="34"/>
  <c r="AF563" i="34"/>
  <c r="AG563" i="34"/>
  <c r="P564" i="34"/>
  <c r="W564" i="34"/>
  <c r="AA564" i="34"/>
  <c r="AD564" i="34"/>
  <c r="AE564" i="34"/>
  <c r="AF564" i="34"/>
  <c r="AG564" i="34"/>
  <c r="P565" i="34"/>
  <c r="W565" i="34"/>
  <c r="AA565" i="34"/>
  <c r="AD565" i="34"/>
  <c r="AE565" i="34"/>
  <c r="AF565" i="34"/>
  <c r="AG565" i="34"/>
  <c r="P566" i="34"/>
  <c r="W566" i="34"/>
  <c r="AA566" i="34"/>
  <c r="AD566" i="34"/>
  <c r="AE566" i="34"/>
  <c r="AF566" i="34"/>
  <c r="AG566" i="34"/>
  <c r="P567" i="34"/>
  <c r="W567" i="34"/>
  <c r="AA567" i="34"/>
  <c r="AD567" i="34"/>
  <c r="AE567" i="34"/>
  <c r="AF567" i="34"/>
  <c r="AG567" i="34"/>
  <c r="P568" i="34"/>
  <c r="W568" i="34"/>
  <c r="AA568" i="34"/>
  <c r="AD568" i="34"/>
  <c r="AE568" i="34"/>
  <c r="AF568" i="34"/>
  <c r="AG568" i="34"/>
  <c r="P569" i="34"/>
  <c r="W569" i="34"/>
  <c r="AA569" i="34"/>
  <c r="AD569" i="34"/>
  <c r="AE569" i="34"/>
  <c r="AF569" i="34"/>
  <c r="AG569" i="34"/>
  <c r="P570" i="34"/>
  <c r="W570" i="34"/>
  <c r="AA570" i="34"/>
  <c r="AD570" i="34"/>
  <c r="AE570" i="34"/>
  <c r="AF570" i="34"/>
  <c r="AG570" i="34"/>
  <c r="P571" i="34"/>
  <c r="W571" i="34"/>
  <c r="AA571" i="34"/>
  <c r="AD571" i="34"/>
  <c r="AE571" i="34"/>
  <c r="AF571" i="34"/>
  <c r="AG571" i="34"/>
  <c r="P572" i="34"/>
  <c r="W572" i="34"/>
  <c r="AA572" i="34"/>
  <c r="AD572" i="34"/>
  <c r="AE572" i="34"/>
  <c r="AF572" i="34"/>
  <c r="AG572" i="34"/>
  <c r="P573" i="34"/>
  <c r="W573" i="34"/>
  <c r="AA573" i="34"/>
  <c r="AD573" i="34"/>
  <c r="AE573" i="34"/>
  <c r="AF573" i="34"/>
  <c r="AG573" i="34"/>
  <c r="P574" i="34"/>
  <c r="W574" i="34"/>
  <c r="AA574" i="34"/>
  <c r="AD574" i="34"/>
  <c r="AE574" i="34"/>
  <c r="AF574" i="34"/>
  <c r="AG574" i="34"/>
  <c r="P575" i="34"/>
  <c r="W575" i="34"/>
  <c r="AA575" i="34"/>
  <c r="AD575" i="34"/>
  <c r="AE575" i="34"/>
  <c r="AF575" i="34"/>
  <c r="AG575" i="34"/>
  <c r="P576" i="34"/>
  <c r="W576" i="34"/>
  <c r="AA576" i="34"/>
  <c r="AD576" i="34"/>
  <c r="AE576" i="34"/>
  <c r="AF576" i="34"/>
  <c r="AG576" i="34"/>
  <c r="P577" i="34"/>
  <c r="W577" i="34"/>
  <c r="AA577" i="34"/>
  <c r="AD577" i="34"/>
  <c r="AE577" i="34"/>
  <c r="AF577" i="34"/>
  <c r="AG577" i="34"/>
  <c r="P578" i="34"/>
  <c r="W578" i="34"/>
  <c r="AA578" i="34"/>
  <c r="AD578" i="34"/>
  <c r="AE578" i="34"/>
  <c r="AF578" i="34"/>
  <c r="AG578" i="34"/>
  <c r="P579" i="34"/>
  <c r="W579" i="34"/>
  <c r="AA579" i="34"/>
  <c r="AD579" i="34"/>
  <c r="AE579" i="34"/>
  <c r="AF579" i="34"/>
  <c r="AG579" i="34"/>
  <c r="P580" i="34"/>
  <c r="W580" i="34"/>
  <c r="AA580" i="34"/>
  <c r="AD580" i="34"/>
  <c r="AE580" i="34"/>
  <c r="AF580" i="34"/>
  <c r="AG580" i="34"/>
  <c r="P581" i="34"/>
  <c r="W581" i="34"/>
  <c r="AA581" i="34"/>
  <c r="AD581" i="34"/>
  <c r="AE581" i="34"/>
  <c r="AF581" i="34"/>
  <c r="AG581" i="34"/>
  <c r="P582" i="34"/>
  <c r="W582" i="34"/>
  <c r="AA582" i="34"/>
  <c r="AD582" i="34"/>
  <c r="AE582" i="34"/>
  <c r="AF582" i="34"/>
  <c r="AG582" i="34"/>
  <c r="P583" i="34"/>
  <c r="W583" i="34"/>
  <c r="AA583" i="34"/>
  <c r="AD583" i="34"/>
  <c r="AE583" i="34"/>
  <c r="AF583" i="34"/>
  <c r="AG583" i="34"/>
  <c r="P584" i="34"/>
  <c r="W584" i="34"/>
  <c r="AA584" i="34"/>
  <c r="AD584" i="34"/>
  <c r="AE584" i="34"/>
  <c r="AF584" i="34"/>
  <c r="AG584" i="34"/>
  <c r="P585" i="34"/>
  <c r="W585" i="34"/>
  <c r="AA585" i="34"/>
  <c r="AD585" i="34"/>
  <c r="AE585" i="34"/>
  <c r="AF585" i="34"/>
  <c r="AG585" i="34"/>
  <c r="P586" i="34"/>
  <c r="W586" i="34"/>
  <c r="AA586" i="34"/>
  <c r="AD586" i="34"/>
  <c r="AE586" i="34"/>
  <c r="AF586" i="34"/>
  <c r="AG586" i="34"/>
  <c r="P587" i="34"/>
  <c r="W587" i="34"/>
  <c r="AA587" i="34"/>
  <c r="AD587" i="34"/>
  <c r="AE587" i="34"/>
  <c r="AF587" i="34"/>
  <c r="AG587" i="34"/>
  <c r="P588" i="34"/>
  <c r="W588" i="34"/>
  <c r="AA588" i="34"/>
  <c r="AD588" i="34"/>
  <c r="AE588" i="34"/>
  <c r="AF588" i="34"/>
  <c r="AG588" i="34"/>
  <c r="P589" i="34"/>
  <c r="W589" i="34"/>
  <c r="AA589" i="34"/>
  <c r="AD589" i="34"/>
  <c r="AE589" i="34"/>
  <c r="AF589" i="34"/>
  <c r="AG589" i="34"/>
  <c r="P590" i="34"/>
  <c r="W590" i="34"/>
  <c r="AA590" i="34"/>
  <c r="AD590" i="34"/>
  <c r="AE590" i="34"/>
  <c r="AF590" i="34"/>
  <c r="AG590" i="34"/>
  <c r="P591" i="34"/>
  <c r="W591" i="34"/>
  <c r="AA591" i="34"/>
  <c r="AD591" i="34"/>
  <c r="AE591" i="34"/>
  <c r="AF591" i="34"/>
  <c r="AG591" i="34"/>
  <c r="P592" i="34"/>
  <c r="W592" i="34"/>
  <c r="AA592" i="34"/>
  <c r="AD592" i="34"/>
  <c r="AE592" i="34"/>
  <c r="AF592" i="34"/>
  <c r="AG592" i="34"/>
  <c r="P593" i="34"/>
  <c r="W593" i="34"/>
  <c r="AA593" i="34"/>
  <c r="AD593" i="34"/>
  <c r="AE593" i="34"/>
  <c r="AF593" i="34"/>
  <c r="AG593" i="34"/>
  <c r="P594" i="34"/>
  <c r="W594" i="34"/>
  <c r="AA594" i="34"/>
  <c r="AD594" i="34"/>
  <c r="AE594" i="34"/>
  <c r="AF594" i="34"/>
  <c r="AG594" i="34"/>
  <c r="P595" i="34"/>
  <c r="W595" i="34"/>
  <c r="AA595" i="34"/>
  <c r="AD595" i="34"/>
  <c r="AE595" i="34"/>
  <c r="AF595" i="34"/>
  <c r="AG595" i="34"/>
  <c r="P596" i="34"/>
  <c r="W596" i="34"/>
  <c r="AA596" i="34"/>
  <c r="AD596" i="34"/>
  <c r="AE596" i="34"/>
  <c r="AF596" i="34"/>
  <c r="AG596" i="34"/>
  <c r="P597" i="34"/>
  <c r="W597" i="34"/>
  <c r="AA597" i="34"/>
  <c r="AD597" i="34"/>
  <c r="AE597" i="34"/>
  <c r="AF597" i="34"/>
  <c r="AG597" i="34"/>
  <c r="P598" i="34"/>
  <c r="W598" i="34"/>
  <c r="AA598" i="34"/>
  <c r="AD598" i="34"/>
  <c r="AE598" i="34"/>
  <c r="AF598" i="34"/>
  <c r="AG598" i="34"/>
  <c r="P599" i="34"/>
  <c r="W599" i="34"/>
  <c r="AA599" i="34"/>
  <c r="AD599" i="34"/>
  <c r="AE599" i="34"/>
  <c r="AF599" i="34"/>
  <c r="AG599" i="34"/>
  <c r="P600" i="34"/>
  <c r="W600" i="34"/>
  <c r="AA600" i="34"/>
  <c r="AD600" i="34"/>
  <c r="AE600" i="34"/>
  <c r="AF600" i="34"/>
  <c r="AG600" i="34"/>
  <c r="P601" i="34"/>
  <c r="W601" i="34"/>
  <c r="AA601" i="34"/>
  <c r="AD601" i="34"/>
  <c r="AE601" i="34"/>
  <c r="AF601" i="34"/>
  <c r="AG601" i="34"/>
  <c r="P602" i="34"/>
  <c r="W602" i="34"/>
  <c r="AA602" i="34"/>
  <c r="AD602" i="34"/>
  <c r="AE602" i="34"/>
  <c r="AF602" i="34"/>
  <c r="AG602" i="34"/>
  <c r="P603" i="34"/>
  <c r="W603" i="34"/>
  <c r="AA603" i="34"/>
  <c r="AD603" i="34"/>
  <c r="AE603" i="34"/>
  <c r="AF603" i="34"/>
  <c r="AG603" i="34"/>
  <c r="P604" i="34"/>
  <c r="W604" i="34"/>
  <c r="AA604" i="34"/>
  <c r="AD604" i="34"/>
  <c r="AE604" i="34"/>
  <c r="AF604" i="34"/>
  <c r="AG604" i="34"/>
  <c r="P605" i="34"/>
  <c r="W605" i="34"/>
  <c r="AA605" i="34"/>
  <c r="AD605" i="34"/>
  <c r="AE605" i="34"/>
  <c r="AF605" i="34"/>
  <c r="AG605" i="34"/>
  <c r="P606" i="34"/>
  <c r="W606" i="34"/>
  <c r="AA606" i="34"/>
  <c r="AD606" i="34"/>
  <c r="AE606" i="34"/>
  <c r="AF606" i="34"/>
  <c r="AG606" i="34"/>
  <c r="P607" i="34"/>
  <c r="W607" i="34"/>
  <c r="AA607" i="34"/>
  <c r="AD607" i="34"/>
  <c r="AE607" i="34"/>
  <c r="AF607" i="34"/>
  <c r="AG607" i="34"/>
  <c r="P608" i="34"/>
  <c r="W608" i="34"/>
  <c r="AA608" i="34"/>
  <c r="AD608" i="34"/>
  <c r="AE608" i="34"/>
  <c r="AF608" i="34"/>
  <c r="AG608" i="34"/>
  <c r="P609" i="34"/>
  <c r="W609" i="34"/>
  <c r="AA609" i="34"/>
  <c r="AD609" i="34"/>
  <c r="AE609" i="34"/>
  <c r="AF609" i="34"/>
  <c r="AG609" i="34"/>
  <c r="P610" i="34"/>
  <c r="W610" i="34"/>
  <c r="AA610" i="34"/>
  <c r="AD610" i="34"/>
  <c r="AE610" i="34"/>
  <c r="AF610" i="34"/>
  <c r="AG610" i="34"/>
  <c r="P611" i="34"/>
  <c r="W611" i="34"/>
  <c r="AA611" i="34"/>
  <c r="AD611" i="34"/>
  <c r="AE611" i="34"/>
  <c r="AF611" i="34"/>
  <c r="AG611" i="34"/>
  <c r="P612" i="34"/>
  <c r="W612" i="34"/>
  <c r="AA612" i="34"/>
  <c r="AD612" i="34"/>
  <c r="AE612" i="34"/>
  <c r="AF612" i="34"/>
  <c r="AG612" i="34"/>
  <c r="P613" i="34"/>
  <c r="W613" i="34"/>
  <c r="AA613" i="34"/>
  <c r="AD613" i="34"/>
  <c r="AE613" i="34"/>
  <c r="AF613" i="34"/>
  <c r="AG613" i="34"/>
  <c r="P614" i="34"/>
  <c r="W614" i="34"/>
  <c r="AA614" i="34"/>
  <c r="AD614" i="34"/>
  <c r="AE614" i="34"/>
  <c r="AF614" i="34"/>
  <c r="AG614" i="34"/>
  <c r="P615" i="34"/>
  <c r="W615" i="34"/>
  <c r="AA615" i="34"/>
  <c r="AD615" i="34"/>
  <c r="AE615" i="34"/>
  <c r="AF615" i="34"/>
  <c r="AG615" i="34"/>
  <c r="P616" i="34"/>
  <c r="W616" i="34"/>
  <c r="AA616" i="34"/>
  <c r="AD616" i="34"/>
  <c r="AE616" i="34"/>
  <c r="AF616" i="34"/>
  <c r="AG616" i="34"/>
  <c r="P617" i="34"/>
  <c r="W617" i="34"/>
  <c r="AA617" i="34"/>
  <c r="AD617" i="34"/>
  <c r="AE617" i="34"/>
  <c r="AF617" i="34"/>
  <c r="AG617" i="34"/>
  <c r="C316" i="34"/>
  <c r="AG316" i="34" s="1"/>
  <c r="C352" i="34"/>
  <c r="AG352" i="34" s="1"/>
  <c r="C353" i="34"/>
  <c r="AG353" i="34" s="1"/>
  <c r="C350" i="34"/>
  <c r="AG350" i="34" s="1"/>
  <c r="C351" i="34"/>
  <c r="AG351" i="34" s="1"/>
  <c r="C346" i="34"/>
  <c r="AG346" i="34" s="1"/>
  <c r="C325" i="34"/>
  <c r="AG325" i="34" s="1"/>
  <c r="C326" i="34"/>
  <c r="AG326" i="34" s="1"/>
  <c r="C344" i="34"/>
  <c r="AG344" i="34" s="1"/>
  <c r="C345" i="34"/>
  <c r="AG345" i="34" s="1"/>
  <c r="C315" i="34"/>
  <c r="AG315" i="34" s="1"/>
  <c r="C314" i="34"/>
  <c r="AG314" i="34" s="1"/>
  <c r="M319" i="34"/>
  <c r="M318" i="34"/>
  <c r="C319" i="34"/>
  <c r="AG319" i="34" s="1"/>
  <c r="C299" i="34"/>
  <c r="AG299" i="34" s="1"/>
  <c r="C300" i="34"/>
  <c r="AG300" i="34" s="1"/>
  <c r="C317" i="34"/>
  <c r="AG317" i="34" s="1"/>
  <c r="C320" i="34"/>
  <c r="AG320" i="34" s="1"/>
  <c r="C321" i="34"/>
  <c r="AG321" i="34" s="1"/>
  <c r="C313" i="34"/>
  <c r="AG313" i="34" s="1"/>
  <c r="C275" i="34"/>
  <c r="AG275" i="34" s="1"/>
  <c r="C298" i="34"/>
  <c r="AG298" i="34" s="1"/>
  <c r="C301" i="34"/>
  <c r="AG301" i="34" s="1"/>
  <c r="C302" i="34"/>
  <c r="AG302" i="34" s="1"/>
  <c r="C318" i="34"/>
  <c r="AG318" i="34" s="1"/>
  <c r="C274" i="34"/>
  <c r="AG274" i="34" s="1"/>
  <c r="M273" i="34"/>
  <c r="M272" i="34"/>
  <c r="C273" i="34"/>
  <c r="AG273" i="34" s="1"/>
  <c r="C272" i="34"/>
  <c r="AG272" i="34" s="1"/>
  <c r="B273" i="34" l="1"/>
  <c r="B272" i="34"/>
  <c r="M268" i="34"/>
  <c r="M267" i="34"/>
  <c r="E264" i="34"/>
  <c r="AD264" i="34" s="1"/>
  <c r="E265" i="34"/>
  <c r="AD265" i="34" s="1"/>
  <c r="E270" i="34"/>
  <c r="AD270" i="34" s="1"/>
  <c r="E266" i="34"/>
  <c r="AD266" i="34" s="1"/>
  <c r="E271" i="34"/>
  <c r="AD271" i="34" s="1"/>
  <c r="E267" i="34"/>
  <c r="AD267" i="34" s="1"/>
  <c r="E268" i="34"/>
  <c r="AD268" i="34" s="1"/>
  <c r="E269" i="34"/>
  <c r="AD269" i="34" s="1"/>
  <c r="Z272" i="34" l="1"/>
  <c r="Y272" i="34"/>
  <c r="AC272" i="34"/>
  <c r="X272" i="34"/>
  <c r="Z273" i="34"/>
  <c r="X273" i="34"/>
  <c r="Y273" i="34"/>
  <c r="AC273" i="34"/>
  <c r="D60" i="15"/>
  <c r="C60" i="15"/>
  <c r="E405" i="34"/>
  <c r="AD405" i="34" s="1"/>
  <c r="B405" i="34"/>
  <c r="X405" i="34" l="1"/>
  <c r="Y405" i="34"/>
  <c r="AC405" i="34"/>
  <c r="Z405" i="34"/>
  <c r="M407" i="34"/>
  <c r="M259" i="34"/>
  <c r="E260" i="34"/>
  <c r="AD260" i="34" s="1"/>
  <c r="E259" i="34"/>
  <c r="AD259" i="34" s="1"/>
  <c r="B262" i="34"/>
  <c r="E262" i="34"/>
  <c r="AD262" i="34" s="1"/>
  <c r="B263" i="34"/>
  <c r="E263" i="34"/>
  <c r="AD263" i="34" s="1"/>
  <c r="B261" i="34"/>
  <c r="E261" i="34"/>
  <c r="AD261" i="34" s="1"/>
  <c r="B242" i="34"/>
  <c r="B243" i="34"/>
  <c r="X263" i="34" l="1"/>
  <c r="Y263" i="34"/>
  <c r="AC263" i="34"/>
  <c r="Z263" i="34"/>
  <c r="X261" i="34"/>
  <c r="Y261" i="34"/>
  <c r="AC261" i="34"/>
  <c r="Z261" i="34"/>
  <c r="Z262" i="34"/>
  <c r="X262" i="34"/>
  <c r="Y262" i="34"/>
  <c r="AC262" i="34"/>
  <c r="Z243" i="34"/>
  <c r="Y243" i="34"/>
  <c r="AC243" i="34"/>
  <c r="X243" i="34"/>
  <c r="X242" i="34"/>
  <c r="Z242" i="34"/>
  <c r="Y242" i="34"/>
  <c r="AC242" i="34"/>
  <c r="B258" i="34"/>
  <c r="E258" i="34"/>
  <c r="AD258" i="34" s="1"/>
  <c r="B241" i="34"/>
  <c r="E241" i="34"/>
  <c r="AD241" i="34" s="1"/>
  <c r="E240" i="34"/>
  <c r="AD240" i="34" s="1"/>
  <c r="Z258" i="34" l="1"/>
  <c r="X258" i="34"/>
  <c r="Y258" i="34"/>
  <c r="AC258" i="34"/>
  <c r="Z241" i="34"/>
  <c r="X241" i="34"/>
  <c r="Y241" i="34"/>
  <c r="AC241" i="34"/>
  <c r="A241" i="34"/>
  <c r="E6" i="43"/>
  <c r="E238" i="34" l="1"/>
  <c r="AD238" i="34" s="1"/>
  <c r="E239" i="34"/>
  <c r="AD239" i="34" s="1"/>
  <c r="E235" i="34" l="1"/>
  <c r="AD235" i="34" s="1"/>
  <c r="E236" i="34"/>
  <c r="AD236" i="34" s="1"/>
  <c r="E237" i="34"/>
  <c r="AD237" i="34" s="1"/>
  <c r="E234" i="34"/>
  <c r="AD234" i="34" s="1"/>
  <c r="E225" i="34"/>
  <c r="AD225" i="34" s="1"/>
  <c r="B225" i="34"/>
  <c r="E233" i="34"/>
  <c r="AD233" i="34" s="1"/>
  <c r="E228" i="34"/>
  <c r="AD228" i="34" s="1"/>
  <c r="B228" i="34"/>
  <c r="E232" i="34"/>
  <c r="AD232" i="34" s="1"/>
  <c r="E222" i="34"/>
  <c r="AD222" i="34" s="1"/>
  <c r="E223" i="34"/>
  <c r="AD223" i="34" s="1"/>
  <c r="E224" i="34"/>
  <c r="AD224" i="34" s="1"/>
  <c r="E226" i="34"/>
  <c r="AD226" i="34" s="1"/>
  <c r="E227" i="34"/>
  <c r="AD227" i="34" s="1"/>
  <c r="E229" i="34"/>
  <c r="AD229" i="34" s="1"/>
  <c r="E230" i="34"/>
  <c r="AD230" i="34" s="1"/>
  <c r="E231" i="34"/>
  <c r="AD231" i="34" s="1"/>
  <c r="E221" i="34"/>
  <c r="AD221" i="34" s="1"/>
  <c r="B216" i="34"/>
  <c r="E216" i="34"/>
  <c r="AD216" i="34" s="1"/>
  <c r="E215" i="34"/>
  <c r="AD215" i="34" s="1"/>
  <c r="B214" i="34"/>
  <c r="E214" i="34"/>
  <c r="AD214" i="34" s="1"/>
  <c r="E213" i="34"/>
  <c r="AD213" i="34" s="1"/>
  <c r="B212" i="34"/>
  <c r="E212" i="34"/>
  <c r="AD212" i="34" s="1"/>
  <c r="B211" i="34"/>
  <c r="E211" i="34"/>
  <c r="AD211" i="34" s="1"/>
  <c r="B210" i="34"/>
  <c r="E210" i="34"/>
  <c r="AD210" i="34" s="1"/>
  <c r="E209" i="34"/>
  <c r="AD209" i="34" s="1"/>
  <c r="X228" i="34" l="1"/>
  <c r="Y228" i="34"/>
  <c r="AC228" i="34"/>
  <c r="Z228" i="34"/>
  <c r="A228" i="34"/>
  <c r="A211" i="34"/>
  <c r="Z211" i="34"/>
  <c r="X211" i="34"/>
  <c r="Y211" i="34"/>
  <c r="AC211" i="34"/>
  <c r="A216" i="34"/>
  <c r="X216" i="34"/>
  <c r="Z216" i="34"/>
  <c r="AC216" i="34"/>
  <c r="Y216" i="34"/>
  <c r="A210" i="34"/>
  <c r="X210" i="34"/>
  <c r="Y210" i="34"/>
  <c r="AC210" i="34"/>
  <c r="Z210" i="34"/>
  <c r="A212" i="34"/>
  <c r="X212" i="34"/>
  <c r="Y212" i="34"/>
  <c r="AC212" i="34"/>
  <c r="Z212" i="34"/>
  <c r="Z225" i="34"/>
  <c r="X225" i="34"/>
  <c r="Y225" i="34"/>
  <c r="AC225" i="34"/>
  <c r="A214" i="34"/>
  <c r="X214" i="34"/>
  <c r="Z214" i="34"/>
  <c r="AC214" i="34"/>
  <c r="Y214" i="34"/>
  <c r="A225" i="34"/>
  <c r="E194" i="34"/>
  <c r="AD194" i="34" s="1"/>
  <c r="E195" i="34"/>
  <c r="AD195" i="34" s="1"/>
  <c r="E196" i="34"/>
  <c r="AD196" i="34" s="1"/>
  <c r="E197" i="34"/>
  <c r="AD197" i="34" s="1"/>
  <c r="E198" i="34"/>
  <c r="AD198" i="34" s="1"/>
  <c r="E199" i="34"/>
  <c r="AD199" i="34" s="1"/>
  <c r="E200" i="34"/>
  <c r="AD200" i="34" s="1"/>
  <c r="E201" i="34"/>
  <c r="AD201" i="34" s="1"/>
  <c r="E202" i="34"/>
  <c r="AD202" i="34" s="1"/>
  <c r="E203" i="34"/>
  <c r="AD203" i="34" s="1"/>
  <c r="E204" i="34"/>
  <c r="AD204" i="34" s="1"/>
  <c r="E205" i="34"/>
  <c r="AD205" i="34" s="1"/>
  <c r="E206" i="34"/>
  <c r="AD206" i="34" s="1"/>
  <c r="E207" i="34"/>
  <c r="AD207" i="34" s="1"/>
  <c r="E208" i="34"/>
  <c r="AD208" i="34" s="1"/>
  <c r="E193" i="34"/>
  <c r="AD193" i="34" s="1"/>
  <c r="P3" i="56" l="1"/>
  <c r="A6" i="62"/>
  <c r="A7" i="62"/>
  <c r="A8" i="62"/>
  <c r="A9" i="62"/>
  <c r="A10" i="62"/>
  <c r="A11" i="62"/>
  <c r="A12" i="62"/>
  <c r="A13" i="62"/>
  <c r="A14" i="62"/>
  <c r="A15" i="62"/>
  <c r="A5" i="62"/>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E190" i="34"/>
  <c r="AD190" i="34" s="1"/>
  <c r="E191" i="34"/>
  <c r="AD191" i="34" s="1"/>
  <c r="E192" i="34"/>
  <c r="AD192" i="34" s="1"/>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W793" i="34"/>
  <c r="W794" i="34"/>
  <c r="W795" i="34"/>
  <c r="W796" i="34"/>
  <c r="W797" i="34"/>
  <c r="W798" i="34"/>
  <c r="W799" i="34"/>
  <c r="W800" i="34"/>
  <c r="W801" i="34"/>
  <c r="W802" i="34"/>
  <c r="W803" i="34"/>
  <c r="W804" i="34"/>
  <c r="W805" i="34"/>
  <c r="W806" i="34"/>
  <c r="W807" i="34"/>
  <c r="W808" i="34"/>
  <c r="W10" i="34"/>
  <c r="P10" i="34"/>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K21" i="63" l="1"/>
  <c r="H24" i="63"/>
  <c r="E18" i="63"/>
  <c r="C20" i="63"/>
  <c r="A20" i="63" s="1"/>
  <c r="F17" i="63"/>
  <c r="D19" i="63"/>
  <c r="B21" i="63"/>
  <c r="C28" i="63"/>
  <c r="A28" i="63" s="1"/>
  <c r="E26" i="63"/>
  <c r="B17" i="63"/>
  <c r="K17" i="63"/>
  <c r="J18" i="63"/>
  <c r="I19" i="63"/>
  <c r="H20" i="63"/>
  <c r="F21" i="63"/>
  <c r="J22" i="63"/>
  <c r="D27" i="63"/>
  <c r="N27" i="63" s="1"/>
  <c r="I23" i="63"/>
  <c r="F25" i="63"/>
  <c r="J29" i="63"/>
  <c r="D17" i="63"/>
  <c r="I17" i="63"/>
  <c r="C18" i="63"/>
  <c r="A18" i="63" s="1"/>
  <c r="H18" i="63"/>
  <c r="B19" i="63"/>
  <c r="F19" i="63"/>
  <c r="K19" i="63"/>
  <c r="E20" i="63"/>
  <c r="J20" i="63"/>
  <c r="D21" i="63"/>
  <c r="I21" i="63"/>
  <c r="E22" i="63"/>
  <c r="D23" i="63"/>
  <c r="N23" i="63" s="1"/>
  <c r="C24" i="63"/>
  <c r="A24" i="63" s="1"/>
  <c r="B25" i="63"/>
  <c r="K25" i="63"/>
  <c r="J26" i="63"/>
  <c r="I27" i="63"/>
  <c r="D29" i="63"/>
  <c r="N29" i="63" s="1"/>
  <c r="C22" i="63"/>
  <c r="A22" i="63" s="1"/>
  <c r="H22" i="63"/>
  <c r="B23" i="63"/>
  <c r="F23" i="63"/>
  <c r="K23" i="63"/>
  <c r="E24" i="63"/>
  <c r="J24" i="63"/>
  <c r="D25" i="63"/>
  <c r="N25" i="63" s="1"/>
  <c r="I25" i="63"/>
  <c r="C26" i="63"/>
  <c r="A26" i="63" s="1"/>
  <c r="H26" i="63"/>
  <c r="B27" i="63"/>
  <c r="F27" i="63"/>
  <c r="K27" i="63"/>
  <c r="E28" i="63"/>
  <c r="I28" i="63"/>
  <c r="C29" i="63"/>
  <c r="A29" i="63" s="1"/>
  <c r="C17" i="63"/>
  <c r="A17" i="63" s="1"/>
  <c r="E17" i="63"/>
  <c r="H17" i="63"/>
  <c r="J17" i="63"/>
  <c r="B18" i="63"/>
  <c r="D18" i="63"/>
  <c r="F18" i="63"/>
  <c r="I18" i="63"/>
  <c r="K18" i="63"/>
  <c r="C19" i="63"/>
  <c r="A19" i="63" s="1"/>
  <c r="E19" i="63"/>
  <c r="H19" i="63"/>
  <c r="J19" i="63"/>
  <c r="B20" i="63"/>
  <c r="D20" i="63"/>
  <c r="F20" i="63"/>
  <c r="I20" i="63"/>
  <c r="K20" i="63"/>
  <c r="C21" i="63"/>
  <c r="A21" i="63" s="1"/>
  <c r="E21" i="63"/>
  <c r="H21" i="63"/>
  <c r="J21" i="63"/>
  <c r="B22" i="63"/>
  <c r="D22" i="63"/>
  <c r="L22" i="63" s="1"/>
  <c r="F22" i="63"/>
  <c r="I22" i="63"/>
  <c r="K22" i="63"/>
  <c r="C23" i="63"/>
  <c r="A23" i="63" s="1"/>
  <c r="E23" i="63"/>
  <c r="H23" i="63"/>
  <c r="J23" i="63"/>
  <c r="B24" i="63"/>
  <c r="D24" i="63"/>
  <c r="L24" i="63" s="1"/>
  <c r="F24" i="63"/>
  <c r="I24" i="63"/>
  <c r="K24" i="63"/>
  <c r="C25" i="63"/>
  <c r="A25" i="63" s="1"/>
  <c r="E25" i="63"/>
  <c r="H25" i="63"/>
  <c r="J25" i="63"/>
  <c r="B26" i="63"/>
  <c r="D26" i="63"/>
  <c r="L26" i="63" s="1"/>
  <c r="F26" i="63"/>
  <c r="I26" i="63"/>
  <c r="K26" i="63"/>
  <c r="C27" i="63"/>
  <c r="A27" i="63" s="1"/>
  <c r="E27" i="63"/>
  <c r="H27" i="63"/>
  <c r="J27" i="63"/>
  <c r="B28" i="63"/>
  <c r="D28" i="63"/>
  <c r="L28" i="63" s="1"/>
  <c r="F28" i="63"/>
  <c r="J28" i="63"/>
  <c r="I29" i="63"/>
  <c r="F30" i="63"/>
  <c r="J30" i="63"/>
  <c r="K28" i="63"/>
  <c r="E29" i="63"/>
  <c r="D30" i="63"/>
  <c r="L30" i="63" s="1"/>
  <c r="B30" i="63"/>
  <c r="H28" i="63"/>
  <c r="B29" i="63"/>
  <c r="H29" i="63"/>
  <c r="I30" i="63"/>
  <c r="C30" i="63"/>
  <c r="A30" i="63" s="1"/>
  <c r="H30" i="63"/>
  <c r="K29" i="63"/>
  <c r="E30" i="63"/>
  <c r="F29" i="63"/>
  <c r="K30" i="63"/>
  <c r="K6" i="62"/>
  <c r="M12" i="62"/>
  <c r="K10" i="62"/>
  <c r="K8" i="62"/>
  <c r="M11" i="62"/>
  <c r="M9" i="62"/>
  <c r="M15" i="62"/>
  <c r="M7" i="62"/>
  <c r="M13" i="62"/>
  <c r="K12" i="62"/>
  <c r="M6" i="62"/>
  <c r="M8" i="62"/>
  <c r="M10" i="62"/>
  <c r="K15" i="62"/>
  <c r="K14" i="62"/>
  <c r="N17" i="63"/>
  <c r="K7" i="62"/>
  <c r="K9" i="62"/>
  <c r="K11" i="62"/>
  <c r="K13" i="62"/>
  <c r="M14" i="62"/>
  <c r="G17" i="62"/>
  <c r="K5" i="62"/>
  <c r="M5" i="62"/>
  <c r="I17" i="62"/>
  <c r="M22" i="63"/>
  <c r="O23" i="63"/>
  <c r="M24" i="63"/>
  <c r="O25" i="63"/>
  <c r="O27" i="63"/>
  <c r="O17" i="63"/>
  <c r="L17" i="63"/>
  <c r="L23" i="63"/>
  <c r="N24" i="63"/>
  <c r="L27" i="63"/>
  <c r="M17" i="63"/>
  <c r="M23" i="63"/>
  <c r="O24" i="63"/>
  <c r="M27" i="63"/>
  <c r="M25" i="63" l="1"/>
  <c r="L29" i="63"/>
  <c r="M29" i="63"/>
  <c r="L25" i="63"/>
  <c r="O29" i="63"/>
  <c r="O28" i="63"/>
  <c r="M18" i="63"/>
  <c r="L18" i="63"/>
  <c r="M26" i="63"/>
  <c r="I32" i="63"/>
  <c r="O26" i="63"/>
  <c r="O22" i="63"/>
  <c r="N26" i="63"/>
  <c r="N22" i="63"/>
  <c r="N28" i="63"/>
  <c r="M28" i="63"/>
  <c r="J32" i="63"/>
  <c r="O30" i="63"/>
  <c r="N30" i="63"/>
  <c r="M30" i="63"/>
  <c r="H32" i="63"/>
  <c r="K32" i="63"/>
  <c r="M17" i="62"/>
  <c r="O18" i="63"/>
  <c r="O19" i="63" s="1"/>
  <c r="N18" i="63"/>
  <c r="N19" i="63" s="1"/>
  <c r="K17" i="62"/>
  <c r="M33" i="63" l="1"/>
  <c r="L33" i="63"/>
  <c r="N33" i="63"/>
  <c r="O33" i="63"/>
  <c r="L19" i="63"/>
  <c r="L20" i="63" s="1"/>
  <c r="M19" i="63"/>
  <c r="M20" i="63" s="1"/>
  <c r="N20" i="63"/>
  <c r="N21" i="63" s="1"/>
  <c r="O20" i="63" l="1"/>
  <c r="O21" i="63" s="1"/>
  <c r="L21" i="63"/>
  <c r="M21" i="63" l="1"/>
  <c r="B165" i="34" l="1"/>
  <c r="B161" i="34"/>
  <c r="B160" i="34"/>
  <c r="B152" i="34"/>
  <c r="B153" i="34"/>
  <c r="A153" i="34" l="1"/>
  <c r="AC153" i="34"/>
  <c r="AC152" i="34"/>
  <c r="A152" i="34"/>
  <c r="AC160" i="34"/>
  <c r="A160" i="34"/>
  <c r="AC161" i="34"/>
  <c r="A161"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C270" i="60"/>
  <c r="D270" i="60" s="1"/>
  <c r="G270" i="60" s="1"/>
  <c r="A270" i="60"/>
  <c r="V269" i="60"/>
  <c r="C269" i="60"/>
  <c r="D269" i="60" s="1"/>
  <c r="G269" i="60" s="1"/>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V256" i="60"/>
  <c r="L244" i="60" s="1"/>
  <c r="V255" i="60"/>
  <c r="L243" i="60" s="1"/>
  <c r="V254" i="60"/>
  <c r="V253" i="60"/>
  <c r="L241" i="60" s="1"/>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C241" i="60"/>
  <c r="D241" i="60" s="1"/>
  <c r="G241" i="60" s="1"/>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C191" i="60"/>
  <c r="D191" i="60" s="1"/>
  <c r="G191" i="60" s="1"/>
  <c r="A191" i="60"/>
  <c r="V190" i="60"/>
  <c r="C190" i="60"/>
  <c r="D190" i="60" s="1"/>
  <c r="G190" i="60" s="1"/>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C162" i="60"/>
  <c r="D162" i="60" s="1"/>
  <c r="G162" i="60" s="1"/>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L141" i="60"/>
  <c r="V140" i="60"/>
  <c r="M140" i="60"/>
  <c r="D140" i="60"/>
  <c r="G140" i="60" s="1"/>
  <c r="A140" i="60"/>
  <c r="V139" i="60"/>
  <c r="C139" i="60"/>
  <c r="D139" i="60" s="1"/>
  <c r="G139" i="60" s="1"/>
  <c r="A139" i="60"/>
  <c r="V138" i="60"/>
  <c r="C138" i="60"/>
  <c r="D138" i="60" s="1"/>
  <c r="G138" i="60" s="1"/>
  <c r="A138" i="60"/>
  <c r="V137" i="60"/>
  <c r="M137" i="60"/>
  <c r="M141" i="60" s="1"/>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s="1"/>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N9" i="43"/>
  <c r="G126" i="43" s="1"/>
  <c r="M9" i="43"/>
  <c r="I6" i="43"/>
  <c r="O11" i="42"/>
  <c r="I107" i="42" s="1"/>
  <c r="N11" i="42"/>
  <c r="A6" i="42"/>
  <c r="M24" i="39"/>
  <c r="H24" i="39"/>
  <c r="M17" i="39"/>
  <c r="H17" i="39"/>
  <c r="C11"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808" i="34"/>
  <c r="AF808" i="34"/>
  <c r="AE808" i="34"/>
  <c r="AA808" i="34"/>
  <c r="P808" i="34"/>
  <c r="B808" i="34"/>
  <c r="AC808" i="34" s="1"/>
  <c r="AG807" i="34"/>
  <c r="AF807" i="34"/>
  <c r="AE807" i="34"/>
  <c r="AA807" i="34"/>
  <c r="P807" i="34"/>
  <c r="B807" i="34"/>
  <c r="AC807" i="34" s="1"/>
  <c r="AG806" i="34"/>
  <c r="AF806" i="34"/>
  <c r="AE806" i="34"/>
  <c r="AA806" i="34"/>
  <c r="P806" i="34"/>
  <c r="B806" i="34"/>
  <c r="AC806" i="34" s="1"/>
  <c r="AG805" i="34"/>
  <c r="AF805" i="34"/>
  <c r="AE805" i="34"/>
  <c r="AA805" i="34"/>
  <c r="P805" i="34"/>
  <c r="B805" i="34"/>
  <c r="AC805" i="34" s="1"/>
  <c r="AG804" i="34"/>
  <c r="AF804" i="34"/>
  <c r="AE804" i="34"/>
  <c r="AA804" i="34"/>
  <c r="P804" i="34"/>
  <c r="B804" i="34"/>
  <c r="AC804" i="34" s="1"/>
  <c r="AG803" i="34"/>
  <c r="AF803" i="34"/>
  <c r="AE803" i="34"/>
  <c r="AA803" i="34"/>
  <c r="P803" i="34"/>
  <c r="B803" i="34"/>
  <c r="AC803" i="34" s="1"/>
  <c r="AG802" i="34"/>
  <c r="AF802" i="34"/>
  <c r="AE802" i="34"/>
  <c r="AA802" i="34"/>
  <c r="P802" i="34"/>
  <c r="B802" i="34"/>
  <c r="AC802" i="34" s="1"/>
  <c r="AG801" i="34"/>
  <c r="AF801" i="34"/>
  <c r="AE801" i="34"/>
  <c r="AA801" i="34"/>
  <c r="P801" i="34"/>
  <c r="B801" i="34"/>
  <c r="AC801" i="34" s="1"/>
  <c r="AG800" i="34"/>
  <c r="AF800" i="34"/>
  <c r="AE800" i="34"/>
  <c r="AA800" i="34"/>
  <c r="P800" i="34"/>
  <c r="B800" i="34"/>
  <c r="AC800" i="34" s="1"/>
  <c r="AG799" i="34"/>
  <c r="AF799" i="34"/>
  <c r="AE799" i="34"/>
  <c r="AA799" i="34"/>
  <c r="P799" i="34"/>
  <c r="B799" i="34"/>
  <c r="AC799" i="34" s="1"/>
  <c r="AG798" i="34"/>
  <c r="AF798" i="34"/>
  <c r="AE798" i="34"/>
  <c r="AA798" i="34"/>
  <c r="P798" i="34"/>
  <c r="B798" i="34"/>
  <c r="AC798" i="34" s="1"/>
  <c r="AG797" i="34"/>
  <c r="AF797" i="34"/>
  <c r="AE797" i="34"/>
  <c r="AA797" i="34"/>
  <c r="P797" i="34"/>
  <c r="B797" i="34"/>
  <c r="AC797" i="34" s="1"/>
  <c r="AG796" i="34"/>
  <c r="AF796" i="34"/>
  <c r="AE796" i="34"/>
  <c r="AA796" i="34"/>
  <c r="P796" i="34"/>
  <c r="B796" i="34"/>
  <c r="AC796" i="34" s="1"/>
  <c r="AG795" i="34"/>
  <c r="AF795" i="34"/>
  <c r="AE795" i="34"/>
  <c r="AA795" i="34"/>
  <c r="P795" i="34"/>
  <c r="B795" i="34"/>
  <c r="AC795" i="34"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G765" i="34"/>
  <c r="AF765" i="34"/>
  <c r="AE765" i="34"/>
  <c r="AA765" i="34"/>
  <c r="P765" i="34"/>
  <c r="B765" i="34"/>
  <c r="AG764" i="34"/>
  <c r="AF764" i="34"/>
  <c r="AE764" i="34"/>
  <c r="AA764" i="34"/>
  <c r="P764" i="34"/>
  <c r="B764" i="34"/>
  <c r="AG763" i="34"/>
  <c r="AF763" i="34"/>
  <c r="AE763" i="34"/>
  <c r="AA763" i="34"/>
  <c r="P763" i="34"/>
  <c r="B763" i="34"/>
  <c r="AG762" i="34"/>
  <c r="AF762" i="34"/>
  <c r="AE762" i="34"/>
  <c r="AA762" i="34"/>
  <c r="P762" i="34"/>
  <c r="B762" i="34"/>
  <c r="AG761" i="34"/>
  <c r="AF761" i="34"/>
  <c r="AE761" i="34"/>
  <c r="AA761" i="34"/>
  <c r="P761" i="34"/>
  <c r="B761" i="34"/>
  <c r="AG760" i="34"/>
  <c r="AF760" i="34"/>
  <c r="AE760" i="34"/>
  <c r="AA760" i="34"/>
  <c r="P760" i="34"/>
  <c r="B760" i="34"/>
  <c r="AG759" i="34"/>
  <c r="AF759" i="34"/>
  <c r="AE759" i="34"/>
  <c r="AA759" i="34"/>
  <c r="P759" i="34"/>
  <c r="B759" i="34"/>
  <c r="AG758" i="34"/>
  <c r="AF758" i="34"/>
  <c r="AE758" i="34"/>
  <c r="AA758" i="34"/>
  <c r="P758" i="34"/>
  <c r="B758" i="34"/>
  <c r="AG757" i="34"/>
  <c r="AF757" i="34"/>
  <c r="AE757" i="34"/>
  <c r="AA757" i="34"/>
  <c r="P757" i="34"/>
  <c r="B757" i="34"/>
  <c r="AG756" i="34"/>
  <c r="AF756" i="34"/>
  <c r="AE756" i="34"/>
  <c r="AA756" i="34"/>
  <c r="P756" i="34"/>
  <c r="B756" i="34"/>
  <c r="AG755" i="34"/>
  <c r="AF755" i="34"/>
  <c r="AE755" i="34"/>
  <c r="AA755" i="34"/>
  <c r="P755" i="34"/>
  <c r="B755" i="34"/>
  <c r="AG754" i="34"/>
  <c r="AF754" i="34"/>
  <c r="AE754" i="34"/>
  <c r="AA754" i="34"/>
  <c r="P754" i="34"/>
  <c r="B754" i="34"/>
  <c r="AG753" i="34"/>
  <c r="AF753" i="34"/>
  <c r="AE753" i="34"/>
  <c r="AA753" i="34"/>
  <c r="P753" i="34"/>
  <c r="B753" i="34"/>
  <c r="AG752" i="34"/>
  <c r="AF752" i="34"/>
  <c r="AE752" i="34"/>
  <c r="AA752" i="34"/>
  <c r="P752" i="34"/>
  <c r="B752" i="34"/>
  <c r="AG751" i="34"/>
  <c r="AF751" i="34"/>
  <c r="AE751" i="34"/>
  <c r="AA751" i="34"/>
  <c r="P751" i="34"/>
  <c r="B751" i="34"/>
  <c r="AG750" i="34"/>
  <c r="AF750" i="34"/>
  <c r="AE750" i="34"/>
  <c r="AA750" i="34"/>
  <c r="P750" i="34"/>
  <c r="B750" i="34"/>
  <c r="AG749" i="34"/>
  <c r="AF749" i="34"/>
  <c r="AE749" i="34"/>
  <c r="AA749" i="34"/>
  <c r="P749" i="34"/>
  <c r="B749" i="34"/>
  <c r="AG748" i="34"/>
  <c r="AF748" i="34"/>
  <c r="AE748" i="34"/>
  <c r="AA748" i="34"/>
  <c r="P748" i="34"/>
  <c r="B748" i="34"/>
  <c r="AG747" i="34"/>
  <c r="AF747" i="34"/>
  <c r="AE747" i="34"/>
  <c r="AA747" i="34"/>
  <c r="P747" i="34"/>
  <c r="B747" i="34"/>
  <c r="AG746" i="34"/>
  <c r="AF746" i="34"/>
  <c r="AE746" i="34"/>
  <c r="AA746" i="34"/>
  <c r="P746" i="34"/>
  <c r="B746" i="34"/>
  <c r="AG745" i="34"/>
  <c r="AF745" i="34"/>
  <c r="AE745" i="34"/>
  <c r="AA745" i="34"/>
  <c r="P745" i="34"/>
  <c r="B745" i="34"/>
  <c r="AG744" i="34"/>
  <c r="AF744" i="34"/>
  <c r="AE744" i="34"/>
  <c r="AA744" i="34"/>
  <c r="P744" i="34"/>
  <c r="B744" i="34"/>
  <c r="AG743" i="34"/>
  <c r="AF743" i="34"/>
  <c r="AE743" i="34"/>
  <c r="AA743" i="34"/>
  <c r="P743" i="34"/>
  <c r="B743" i="34"/>
  <c r="AG742" i="34"/>
  <c r="AF742" i="34"/>
  <c r="AE742" i="34"/>
  <c r="AA742" i="34"/>
  <c r="P742" i="34"/>
  <c r="B742" i="34"/>
  <c r="AG741" i="34"/>
  <c r="AF741" i="34"/>
  <c r="AE741" i="34"/>
  <c r="AA741" i="34"/>
  <c r="P741" i="34"/>
  <c r="B741" i="34"/>
  <c r="AG740" i="34"/>
  <c r="AF740" i="34"/>
  <c r="AE740" i="34"/>
  <c r="AA740" i="34"/>
  <c r="P740" i="34"/>
  <c r="B740" i="34"/>
  <c r="AG739" i="34"/>
  <c r="AF739" i="34"/>
  <c r="AE739" i="34"/>
  <c r="AA739" i="34"/>
  <c r="P739" i="34"/>
  <c r="B739" i="34"/>
  <c r="AG738" i="34"/>
  <c r="AF738" i="34"/>
  <c r="AE738" i="34"/>
  <c r="AA738" i="34"/>
  <c r="P738" i="34"/>
  <c r="B738" i="34"/>
  <c r="AG737" i="34"/>
  <c r="AF737" i="34"/>
  <c r="AE737" i="34"/>
  <c r="AA737" i="34"/>
  <c r="P737" i="34"/>
  <c r="B737" i="34"/>
  <c r="AG736" i="34"/>
  <c r="AF736" i="34"/>
  <c r="AE736" i="34"/>
  <c r="AA736" i="34"/>
  <c r="P736" i="34"/>
  <c r="B736" i="34"/>
  <c r="AG735" i="34"/>
  <c r="AF735" i="34"/>
  <c r="AE735" i="34"/>
  <c r="AA735" i="34"/>
  <c r="P735" i="34"/>
  <c r="B735" i="34"/>
  <c r="AG734" i="34"/>
  <c r="AF734" i="34"/>
  <c r="AE734" i="34"/>
  <c r="AA734" i="34"/>
  <c r="P734" i="34"/>
  <c r="B734" i="34"/>
  <c r="AG733" i="34"/>
  <c r="AF733" i="34"/>
  <c r="AE733" i="34"/>
  <c r="AA733" i="34"/>
  <c r="P733" i="34"/>
  <c r="B733" i="34"/>
  <c r="AG732" i="34"/>
  <c r="AF732" i="34"/>
  <c r="AE732" i="34"/>
  <c r="AA732" i="34"/>
  <c r="P732" i="34"/>
  <c r="B732" i="34"/>
  <c r="AG731" i="34"/>
  <c r="AF731" i="34"/>
  <c r="AE731" i="34"/>
  <c r="AA731" i="34"/>
  <c r="P731" i="34"/>
  <c r="B731" i="34"/>
  <c r="AG730" i="34"/>
  <c r="AF730" i="34"/>
  <c r="AE730" i="34"/>
  <c r="AA730" i="34"/>
  <c r="P730" i="34"/>
  <c r="B730" i="34"/>
  <c r="AG729" i="34"/>
  <c r="AF729" i="34"/>
  <c r="AE729" i="34"/>
  <c r="AA729" i="34"/>
  <c r="P729" i="34"/>
  <c r="B729" i="34"/>
  <c r="AG728" i="34"/>
  <c r="AF728" i="34"/>
  <c r="AE728" i="34"/>
  <c r="AA728" i="34"/>
  <c r="P728" i="34"/>
  <c r="B728" i="34"/>
  <c r="AG727" i="34"/>
  <c r="AF727" i="34"/>
  <c r="AE727" i="34"/>
  <c r="AA727" i="34"/>
  <c r="P727" i="34"/>
  <c r="B727" i="34"/>
  <c r="AG726" i="34"/>
  <c r="AF726" i="34"/>
  <c r="AE726" i="34"/>
  <c r="AA726" i="34"/>
  <c r="P726" i="34"/>
  <c r="B726" i="34"/>
  <c r="AG725" i="34"/>
  <c r="AF725" i="34"/>
  <c r="AE725" i="34"/>
  <c r="AA725" i="34"/>
  <c r="P725" i="34"/>
  <c r="B725" i="34"/>
  <c r="AG724" i="34"/>
  <c r="AF724" i="34"/>
  <c r="AE724" i="34"/>
  <c r="AA724" i="34"/>
  <c r="P724" i="34"/>
  <c r="B724" i="34"/>
  <c r="AG723" i="34"/>
  <c r="AF723" i="34"/>
  <c r="AE723" i="34"/>
  <c r="AA723" i="34"/>
  <c r="P723" i="34"/>
  <c r="B723" i="34"/>
  <c r="AG722" i="34"/>
  <c r="AF722" i="34"/>
  <c r="AE722" i="34"/>
  <c r="AA722" i="34"/>
  <c r="P722" i="34"/>
  <c r="B722" i="34"/>
  <c r="AG721" i="34"/>
  <c r="AF721" i="34"/>
  <c r="AE721" i="34"/>
  <c r="AA721" i="34"/>
  <c r="P721" i="34"/>
  <c r="B721" i="34"/>
  <c r="AG720" i="34"/>
  <c r="AF720" i="34"/>
  <c r="AE720" i="34"/>
  <c r="AA720" i="34"/>
  <c r="P720" i="34"/>
  <c r="B720" i="34"/>
  <c r="AG719" i="34"/>
  <c r="AF719" i="34"/>
  <c r="AE719" i="34"/>
  <c r="AA719" i="34"/>
  <c r="P719" i="34"/>
  <c r="B719" i="34"/>
  <c r="AG718" i="34"/>
  <c r="AF718" i="34"/>
  <c r="AE718" i="34"/>
  <c r="AA718" i="34"/>
  <c r="P718" i="34"/>
  <c r="B718" i="34"/>
  <c r="AG717" i="34"/>
  <c r="AF717" i="34"/>
  <c r="AE717" i="34"/>
  <c r="AA717" i="34"/>
  <c r="P717" i="34"/>
  <c r="B717" i="34"/>
  <c r="AG716" i="34"/>
  <c r="AF716" i="34"/>
  <c r="AE716" i="34"/>
  <c r="AA716" i="34"/>
  <c r="P716" i="34"/>
  <c r="B716" i="34"/>
  <c r="AG715" i="34"/>
  <c r="AF715" i="34"/>
  <c r="AE715" i="34"/>
  <c r="AA715" i="34"/>
  <c r="P715" i="34"/>
  <c r="B715" i="34"/>
  <c r="AG714" i="34"/>
  <c r="AF714" i="34"/>
  <c r="AE714" i="34"/>
  <c r="AA714" i="34"/>
  <c r="P714" i="34"/>
  <c r="B714" i="34"/>
  <c r="AG713" i="34"/>
  <c r="AF713" i="34"/>
  <c r="AE713" i="34"/>
  <c r="AA713" i="34"/>
  <c r="P713" i="34"/>
  <c r="B713" i="34"/>
  <c r="AG712" i="34"/>
  <c r="AF712" i="34"/>
  <c r="AE712" i="34"/>
  <c r="AA712" i="34"/>
  <c r="P712" i="34"/>
  <c r="B712" i="34"/>
  <c r="AG711" i="34"/>
  <c r="AF711" i="34"/>
  <c r="AE711" i="34"/>
  <c r="AA711" i="34"/>
  <c r="P711" i="34"/>
  <c r="B711" i="34"/>
  <c r="AG710" i="34"/>
  <c r="AF710" i="34"/>
  <c r="AE710" i="34"/>
  <c r="AA710" i="34"/>
  <c r="P710" i="34"/>
  <c r="B710" i="34"/>
  <c r="AG709" i="34"/>
  <c r="AF709" i="34"/>
  <c r="AE709" i="34"/>
  <c r="AA709" i="34"/>
  <c r="P709" i="34"/>
  <c r="B709" i="34"/>
  <c r="AG708" i="34"/>
  <c r="AF708" i="34"/>
  <c r="AE708" i="34"/>
  <c r="AA708" i="34"/>
  <c r="P708" i="34"/>
  <c r="B708" i="34"/>
  <c r="AC708" i="34" s="1"/>
  <c r="AG707" i="34"/>
  <c r="AF707" i="34"/>
  <c r="AE707" i="34"/>
  <c r="AA707" i="34"/>
  <c r="P707" i="34"/>
  <c r="B707" i="34"/>
  <c r="AC707" i="34" s="1"/>
  <c r="AG706" i="34"/>
  <c r="AF706" i="34"/>
  <c r="AE706" i="34"/>
  <c r="AA706" i="34"/>
  <c r="P706" i="34"/>
  <c r="B706" i="34"/>
  <c r="AC706" i="34" s="1"/>
  <c r="AG705" i="34"/>
  <c r="AF705" i="34"/>
  <c r="AE705" i="34"/>
  <c r="AA705" i="34"/>
  <c r="P705" i="34"/>
  <c r="B705" i="34"/>
  <c r="AC705" i="34" s="1"/>
  <c r="AG704" i="34"/>
  <c r="AF704" i="34"/>
  <c r="AE704" i="34"/>
  <c r="AA704" i="34"/>
  <c r="P704" i="34"/>
  <c r="B704" i="34"/>
  <c r="AC704" i="34" s="1"/>
  <c r="AG703" i="34"/>
  <c r="AF703" i="34"/>
  <c r="AE703" i="34"/>
  <c r="AA703" i="34"/>
  <c r="P703" i="34"/>
  <c r="B703" i="34"/>
  <c r="AC703" i="34" s="1"/>
  <c r="AG702" i="34"/>
  <c r="AF702" i="34"/>
  <c r="AE702" i="34"/>
  <c r="AA702" i="34"/>
  <c r="P702" i="34"/>
  <c r="B702" i="34"/>
  <c r="AC702" i="34" s="1"/>
  <c r="AG701" i="34"/>
  <c r="AF701" i="34"/>
  <c r="AE701" i="34"/>
  <c r="AA701" i="34"/>
  <c r="P701" i="34"/>
  <c r="B701" i="34"/>
  <c r="AC701" i="34" s="1"/>
  <c r="AG700" i="34"/>
  <c r="AF700" i="34"/>
  <c r="AE700" i="34"/>
  <c r="AA700" i="34"/>
  <c r="P700" i="34"/>
  <c r="B700" i="34"/>
  <c r="AC700" i="34" s="1"/>
  <c r="AG699" i="34"/>
  <c r="AF699" i="34"/>
  <c r="AE699" i="34"/>
  <c r="AA699" i="34"/>
  <c r="P699" i="34"/>
  <c r="B699" i="34"/>
  <c r="AC699" i="34" s="1"/>
  <c r="AG698" i="34"/>
  <c r="AF698" i="34"/>
  <c r="AE698" i="34"/>
  <c r="AA698" i="34"/>
  <c r="P698" i="34"/>
  <c r="B698" i="34"/>
  <c r="AC698" i="34" s="1"/>
  <c r="AG697" i="34"/>
  <c r="AF697" i="34"/>
  <c r="AE697" i="34"/>
  <c r="AA697" i="34"/>
  <c r="P697" i="34"/>
  <c r="B697" i="34"/>
  <c r="AC697" i="34" s="1"/>
  <c r="AG696" i="34"/>
  <c r="AF696" i="34"/>
  <c r="AE696" i="34"/>
  <c r="AA696" i="34"/>
  <c r="P696" i="34"/>
  <c r="B696" i="34"/>
  <c r="AC696" i="34" s="1"/>
  <c r="AG695" i="34"/>
  <c r="AF695" i="34"/>
  <c r="AE695" i="34"/>
  <c r="AA695" i="34"/>
  <c r="P695" i="34"/>
  <c r="B695" i="34"/>
  <c r="AC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C672" i="34" s="1"/>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AC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B617" i="34"/>
  <c r="B616" i="34"/>
  <c r="B615" i="34"/>
  <c r="B614" i="34"/>
  <c r="B613" i="34"/>
  <c r="B612" i="34"/>
  <c r="B611" i="34"/>
  <c r="B610" i="34"/>
  <c r="B609" i="34"/>
  <c r="B608" i="34"/>
  <c r="B607" i="34"/>
  <c r="B606" i="34"/>
  <c r="B605" i="34"/>
  <c r="B604" i="34"/>
  <c r="B603" i="34"/>
  <c r="B602" i="34"/>
  <c r="B601" i="34"/>
  <c r="B600" i="34"/>
  <c r="B599" i="34"/>
  <c r="B598" i="34"/>
  <c r="B597" i="34"/>
  <c r="B596" i="34"/>
  <c r="B595" i="34"/>
  <c r="B594" i="34"/>
  <c r="B593" i="34"/>
  <c r="B592" i="34"/>
  <c r="B591" i="34"/>
  <c r="B590" i="34"/>
  <c r="B589" i="34"/>
  <c r="B588" i="34"/>
  <c r="B587" i="34"/>
  <c r="B586" i="34"/>
  <c r="B585" i="34"/>
  <c r="B584" i="34"/>
  <c r="B583" i="34"/>
  <c r="B582" i="34"/>
  <c r="B581" i="34"/>
  <c r="B580" i="34"/>
  <c r="B579" i="34"/>
  <c r="B578" i="34"/>
  <c r="B577" i="34"/>
  <c r="B576" i="34"/>
  <c r="B575" i="34"/>
  <c r="B574" i="34"/>
  <c r="B573" i="34"/>
  <c r="B572" i="34"/>
  <c r="B571" i="34"/>
  <c r="B570" i="34"/>
  <c r="B569" i="34"/>
  <c r="B568" i="34"/>
  <c r="B567" i="34"/>
  <c r="B566" i="34"/>
  <c r="B565" i="34"/>
  <c r="B564" i="34"/>
  <c r="B563" i="34"/>
  <c r="B562" i="34"/>
  <c r="B561" i="34"/>
  <c r="B560" i="34"/>
  <c r="B559" i="34"/>
  <c r="B558" i="34"/>
  <c r="B557" i="34"/>
  <c r="B556" i="34"/>
  <c r="B555" i="34"/>
  <c r="B554" i="34"/>
  <c r="B553" i="34"/>
  <c r="B552" i="34"/>
  <c r="B551" i="34"/>
  <c r="B550" i="34"/>
  <c r="B549" i="34"/>
  <c r="B548" i="34"/>
  <c r="B547" i="34"/>
  <c r="B546" i="34"/>
  <c r="B545" i="34"/>
  <c r="B544" i="34"/>
  <c r="B543" i="34"/>
  <c r="B542" i="34"/>
  <c r="B541" i="34"/>
  <c r="B540" i="34"/>
  <c r="B539" i="34"/>
  <c r="B538" i="34"/>
  <c r="B537" i="34"/>
  <c r="B536" i="34"/>
  <c r="B535" i="34"/>
  <c r="B534" i="34"/>
  <c r="B533" i="34"/>
  <c r="B532" i="34"/>
  <c r="B531" i="34"/>
  <c r="B530" i="34"/>
  <c r="B529" i="34"/>
  <c r="B528" i="34"/>
  <c r="B527" i="34"/>
  <c r="B526" i="34"/>
  <c r="B525" i="34"/>
  <c r="B524" i="34"/>
  <c r="B523" i="34"/>
  <c r="B522" i="34"/>
  <c r="B521" i="34"/>
  <c r="B520" i="34"/>
  <c r="B519" i="34"/>
  <c r="B518" i="34"/>
  <c r="B517" i="34"/>
  <c r="B516" i="34"/>
  <c r="B515" i="34"/>
  <c r="B514" i="34"/>
  <c r="B513" i="34"/>
  <c r="B512" i="34"/>
  <c r="B511" i="34"/>
  <c r="B510" i="34"/>
  <c r="B509" i="34"/>
  <c r="B508" i="34"/>
  <c r="B507" i="34"/>
  <c r="B506" i="34"/>
  <c r="B505" i="34"/>
  <c r="B504" i="34"/>
  <c r="B503" i="34"/>
  <c r="B502" i="34"/>
  <c r="B501" i="34"/>
  <c r="B500" i="34"/>
  <c r="B499" i="34"/>
  <c r="B498" i="34"/>
  <c r="B497" i="34"/>
  <c r="B496" i="34"/>
  <c r="B495" i="34"/>
  <c r="B494" i="34"/>
  <c r="B493" i="34"/>
  <c r="B492" i="34"/>
  <c r="B491" i="34"/>
  <c r="B490" i="34"/>
  <c r="B489" i="34"/>
  <c r="B488" i="34"/>
  <c r="B487" i="34"/>
  <c r="B486" i="34"/>
  <c r="B485" i="34"/>
  <c r="B484" i="34"/>
  <c r="B483" i="34"/>
  <c r="B482" i="34"/>
  <c r="B481" i="34"/>
  <c r="B480" i="34"/>
  <c r="B479" i="34"/>
  <c r="B478" i="34"/>
  <c r="B477" i="34"/>
  <c r="B476" i="34"/>
  <c r="B475" i="34"/>
  <c r="B474" i="34"/>
  <c r="B473" i="34"/>
  <c r="B472" i="34"/>
  <c r="B471" i="34"/>
  <c r="B470" i="34"/>
  <c r="B469" i="34"/>
  <c r="B468" i="34"/>
  <c r="B467" i="34"/>
  <c r="B466" i="34"/>
  <c r="B465" i="34"/>
  <c r="B464" i="34"/>
  <c r="B463" i="34"/>
  <c r="B462" i="34"/>
  <c r="B461" i="34"/>
  <c r="B460" i="34"/>
  <c r="B459" i="34"/>
  <c r="B458" i="34"/>
  <c r="B457" i="34"/>
  <c r="B456" i="34"/>
  <c r="B455" i="34"/>
  <c r="B454" i="34"/>
  <c r="B453" i="34"/>
  <c r="B452" i="34"/>
  <c r="B451" i="34"/>
  <c r="B450" i="34"/>
  <c r="B449" i="34"/>
  <c r="B448" i="34"/>
  <c r="B447" i="34"/>
  <c r="B446" i="34"/>
  <c r="B445" i="34"/>
  <c r="B444" i="34"/>
  <c r="B443" i="34"/>
  <c r="B442" i="34"/>
  <c r="B441" i="34"/>
  <c r="B440" i="34"/>
  <c r="B439" i="34"/>
  <c r="B438" i="34"/>
  <c r="B437" i="34"/>
  <c r="B436" i="34"/>
  <c r="B435" i="34"/>
  <c r="B434" i="34"/>
  <c r="B433" i="34"/>
  <c r="B432" i="34"/>
  <c r="B431" i="34"/>
  <c r="B430" i="34"/>
  <c r="B429" i="34"/>
  <c r="B428" i="34"/>
  <c r="B427" i="34"/>
  <c r="B426" i="34"/>
  <c r="B425" i="34"/>
  <c r="B424" i="34"/>
  <c r="B423" i="34"/>
  <c r="B422" i="34"/>
  <c r="B421" i="34"/>
  <c r="B420" i="34"/>
  <c r="B419" i="34"/>
  <c r="B418" i="34"/>
  <c r="B417" i="34"/>
  <c r="B416" i="34"/>
  <c r="B415" i="34"/>
  <c r="B414" i="34"/>
  <c r="B413" i="34"/>
  <c r="B412" i="34"/>
  <c r="B411" i="34"/>
  <c r="B410" i="34"/>
  <c r="B409" i="34"/>
  <c r="B408" i="34"/>
  <c r="B360" i="34"/>
  <c r="B359" i="34"/>
  <c r="B358" i="34"/>
  <c r="B362" i="34"/>
  <c r="B361" i="34"/>
  <c r="B343" i="34"/>
  <c r="B342" i="34"/>
  <c r="B390" i="34"/>
  <c r="B389" i="34"/>
  <c r="B388" i="34"/>
  <c r="B387" i="34"/>
  <c r="B386" i="34"/>
  <c r="B385" i="34"/>
  <c r="B384" i="34"/>
  <c r="B382" i="34"/>
  <c r="B381" i="34"/>
  <c r="B380" i="34"/>
  <c r="B379" i="34"/>
  <c r="B378" i="34"/>
  <c r="B377" i="34"/>
  <c r="B376" i="34"/>
  <c r="B375" i="34"/>
  <c r="B374" i="34"/>
  <c r="B373" i="34"/>
  <c r="B372" i="34"/>
  <c r="B371" i="34"/>
  <c r="B370" i="34"/>
  <c r="B367" i="34"/>
  <c r="B383" i="34"/>
  <c r="B369" i="34"/>
  <c r="B368" i="34"/>
  <c r="B307" i="34"/>
  <c r="B366" i="34"/>
  <c r="B365" i="34"/>
  <c r="B364" i="34"/>
  <c r="B363" i="34"/>
  <c r="B357" i="34"/>
  <c r="B356" i="34"/>
  <c r="B355" i="34"/>
  <c r="B349" i="34"/>
  <c r="B348" i="34"/>
  <c r="B341" i="34"/>
  <c r="B340" i="34"/>
  <c r="B339" i="34"/>
  <c r="B338" i="34"/>
  <c r="B337" i="34"/>
  <c r="B336" i="34"/>
  <c r="B335" i="34"/>
  <c r="B334" i="34"/>
  <c r="B333" i="34"/>
  <c r="B332" i="34"/>
  <c r="B331" i="34"/>
  <c r="B330" i="34"/>
  <c r="B324" i="34"/>
  <c r="B312" i="34"/>
  <c r="B311" i="34"/>
  <c r="B310" i="34"/>
  <c r="B306" i="34"/>
  <c r="B305" i="34"/>
  <c r="B304" i="34"/>
  <c r="B297" i="34"/>
  <c r="B296" i="34"/>
  <c r="B295" i="34"/>
  <c r="B294" i="34"/>
  <c r="B293" i="34"/>
  <c r="B292" i="34"/>
  <c r="B291" i="34"/>
  <c r="B290" i="34"/>
  <c r="B289" i="34"/>
  <c r="B288" i="34"/>
  <c r="B287" i="34"/>
  <c r="B286" i="34"/>
  <c r="B285" i="34"/>
  <c r="B284" i="34"/>
  <c r="B283" i="34"/>
  <c r="B282" i="34"/>
  <c r="B281" i="34"/>
  <c r="B280" i="34"/>
  <c r="B354" i="34"/>
  <c r="B347" i="34"/>
  <c r="B329" i="34"/>
  <c r="B328" i="34"/>
  <c r="B327" i="34"/>
  <c r="B323" i="34"/>
  <c r="B322" i="34"/>
  <c r="B309" i="34"/>
  <c r="B308" i="34"/>
  <c r="B303" i="34"/>
  <c r="B279" i="34"/>
  <c r="B278" i="34"/>
  <c r="B276" i="34"/>
  <c r="B404" i="34"/>
  <c r="B403" i="34"/>
  <c r="B402" i="34"/>
  <c r="B401" i="34"/>
  <c r="B400" i="34"/>
  <c r="B399" i="34"/>
  <c r="B398" i="34"/>
  <c r="B397" i="34"/>
  <c r="B394" i="34"/>
  <c r="B393" i="34"/>
  <c r="B392" i="34"/>
  <c r="B391" i="34"/>
  <c r="B316" i="34"/>
  <c r="B315" i="34"/>
  <c r="B345" i="34"/>
  <c r="B344" i="34"/>
  <c r="B326" i="34"/>
  <c r="B325" i="34"/>
  <c r="B346" i="34"/>
  <c r="B351" i="34"/>
  <c r="B350" i="34"/>
  <c r="B353" i="34"/>
  <c r="B352" i="34"/>
  <c r="B314" i="34"/>
  <c r="B313" i="34"/>
  <c r="B321" i="34"/>
  <c r="B320" i="34"/>
  <c r="B317" i="34"/>
  <c r="B300" i="34"/>
  <c r="B299" i="34"/>
  <c r="B319" i="34"/>
  <c r="B318" i="34"/>
  <c r="B302" i="34"/>
  <c r="B301" i="34"/>
  <c r="B298" i="34"/>
  <c r="B275" i="34"/>
  <c r="B274" i="34"/>
  <c r="B271" i="34"/>
  <c r="B270" i="34"/>
  <c r="B269" i="34"/>
  <c r="B268" i="34"/>
  <c r="B267" i="34"/>
  <c r="B266" i="34"/>
  <c r="B257" i="34"/>
  <c r="B256" i="34"/>
  <c r="B255" i="34"/>
  <c r="B254" i="34"/>
  <c r="B253" i="34"/>
  <c r="B252" i="34"/>
  <c r="B251" i="34"/>
  <c r="B250" i="34"/>
  <c r="B245" i="34"/>
  <c r="B244" i="34"/>
  <c r="B265" i="34"/>
  <c r="B264" i="34"/>
  <c r="B260" i="34"/>
  <c r="B259" i="34"/>
  <c r="B240" i="34"/>
  <c r="B239" i="34"/>
  <c r="B238" i="34"/>
  <c r="B237" i="34"/>
  <c r="B236" i="34"/>
  <c r="B235" i="34"/>
  <c r="B234" i="34"/>
  <c r="B233" i="34"/>
  <c r="B232" i="34"/>
  <c r="B231" i="34"/>
  <c r="B230" i="34"/>
  <c r="B229" i="34"/>
  <c r="B227" i="34"/>
  <c r="B226" i="34"/>
  <c r="B224" i="34"/>
  <c r="B223" i="34"/>
  <c r="B222" i="34"/>
  <c r="B221" i="34"/>
  <c r="B220" i="34"/>
  <c r="B219" i="34"/>
  <c r="B218" i="34"/>
  <c r="B217" i="34"/>
  <c r="B215" i="34"/>
  <c r="B213" i="34"/>
  <c r="B209" i="34"/>
  <c r="B208" i="34"/>
  <c r="B207" i="34"/>
  <c r="B206"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A175" i="34" s="1"/>
  <c r="B174" i="34"/>
  <c r="A174" i="34" s="1"/>
  <c r="B173" i="34"/>
  <c r="A173" i="34" s="1"/>
  <c r="B172" i="34"/>
  <c r="A172" i="34" s="1"/>
  <c r="B171" i="34"/>
  <c r="A171" i="34" s="1"/>
  <c r="B170" i="34"/>
  <c r="A170" i="34" s="1"/>
  <c r="B159" i="34"/>
  <c r="B158" i="34"/>
  <c r="B169" i="34"/>
  <c r="A169" i="34" s="1"/>
  <c r="B168" i="34"/>
  <c r="A168" i="34" s="1"/>
  <c r="B167" i="34"/>
  <c r="A167" i="34" s="1"/>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H12" i="61"/>
  <c r="C12" i="61"/>
  <c r="R277" i="34" l="1"/>
  <c r="Q277" i="34"/>
  <c r="S277" i="34"/>
  <c r="R246" i="34"/>
  <c r="Q246" i="34"/>
  <c r="Q247" i="34"/>
  <c r="S396" i="34"/>
  <c r="Q249" i="34"/>
  <c r="S247" i="34"/>
  <c r="R395" i="34"/>
  <c r="R248" i="34"/>
  <c r="Q248" i="34"/>
  <c r="R396" i="34"/>
  <c r="S249" i="34"/>
  <c r="S246" i="34"/>
  <c r="Q395" i="34"/>
  <c r="Q396" i="34"/>
  <c r="R247" i="34"/>
  <c r="S395" i="34"/>
  <c r="S248" i="34"/>
  <c r="R249" i="34"/>
  <c r="R272" i="34"/>
  <c r="Q272" i="34"/>
  <c r="R273" i="34"/>
  <c r="S273" i="34"/>
  <c r="Q273" i="34"/>
  <c r="S272" i="34"/>
  <c r="Q405" i="34"/>
  <c r="R405" i="34"/>
  <c r="S405" i="34"/>
  <c r="R263" i="34"/>
  <c r="R261" i="34"/>
  <c r="R262" i="34"/>
  <c r="Q262" i="34"/>
  <c r="R243" i="34"/>
  <c r="Q261" i="34"/>
  <c r="R242" i="34"/>
  <c r="Q242" i="34"/>
  <c r="S261" i="34"/>
  <c r="Q243" i="34"/>
  <c r="Q263" i="34"/>
  <c r="S243" i="34"/>
  <c r="S263" i="34"/>
  <c r="S242" i="34"/>
  <c r="S262" i="34"/>
  <c r="S258" i="34"/>
  <c r="R258" i="34"/>
  <c r="Q258" i="34"/>
  <c r="R241" i="34"/>
  <c r="Q241" i="34"/>
  <c r="S241" i="34"/>
  <c r="R228" i="34"/>
  <c r="Q211" i="34"/>
  <c r="Q210" i="34"/>
  <c r="S225" i="34"/>
  <c r="Q228" i="34"/>
  <c r="R212" i="34"/>
  <c r="S214" i="34"/>
  <c r="S228" i="34"/>
  <c r="S211" i="34"/>
  <c r="S216" i="34"/>
  <c r="S210" i="34"/>
  <c r="S212" i="34"/>
  <c r="R225" i="34"/>
  <c r="Q225" i="34"/>
  <c r="Q214" i="34"/>
  <c r="R211" i="34"/>
  <c r="Q216" i="34"/>
  <c r="R210" i="34"/>
  <c r="R214" i="34"/>
  <c r="R216" i="34"/>
  <c r="Q212" i="34"/>
  <c r="T277" i="34"/>
  <c r="U277" i="34"/>
  <c r="V277" i="34"/>
  <c r="T246" i="34"/>
  <c r="T395" i="34"/>
  <c r="U396" i="34"/>
  <c r="V396" i="34"/>
  <c r="V246" i="34"/>
  <c r="U247" i="34"/>
  <c r="V247" i="34"/>
  <c r="U395" i="34"/>
  <c r="V395" i="34"/>
  <c r="U248" i="34"/>
  <c r="T396" i="34"/>
  <c r="U249" i="34"/>
  <c r="V249" i="34"/>
  <c r="T247" i="34"/>
  <c r="T248" i="34"/>
  <c r="T249" i="34"/>
  <c r="U246" i="34"/>
  <c r="V248" i="34"/>
  <c r="V272" i="34"/>
  <c r="T272" i="34"/>
  <c r="U272" i="34"/>
  <c r="T273" i="34"/>
  <c r="V273" i="34"/>
  <c r="U273" i="34"/>
  <c r="U405" i="34"/>
  <c r="V405" i="34"/>
  <c r="T405" i="34"/>
  <c r="V243" i="34"/>
  <c r="U263" i="34"/>
  <c r="V263" i="34"/>
  <c r="T261" i="34"/>
  <c r="V262" i="34"/>
  <c r="V242" i="34"/>
  <c r="T263" i="34"/>
  <c r="T242" i="34"/>
  <c r="U242" i="34"/>
  <c r="U262" i="34"/>
  <c r="U243" i="34"/>
  <c r="U261" i="34"/>
  <c r="V261" i="34"/>
  <c r="T262" i="34"/>
  <c r="T243" i="34"/>
  <c r="U258" i="34"/>
  <c r="T241" i="34"/>
  <c r="T258" i="34"/>
  <c r="V241" i="34"/>
  <c r="V258" i="34"/>
  <c r="U241" i="34"/>
  <c r="T228" i="34"/>
  <c r="T211" i="34"/>
  <c r="U216" i="34"/>
  <c r="V212" i="34"/>
  <c r="V210" i="34"/>
  <c r="V214" i="34"/>
  <c r="V211" i="34"/>
  <c r="V216" i="34"/>
  <c r="T210" i="34"/>
  <c r="U225" i="34"/>
  <c r="T214" i="34"/>
  <c r="U228" i="34"/>
  <c r="V228" i="34"/>
  <c r="U211" i="34"/>
  <c r="T216" i="34"/>
  <c r="T225" i="34"/>
  <c r="U214" i="34"/>
  <c r="U212" i="34"/>
  <c r="V225" i="34"/>
  <c r="U210" i="34"/>
  <c r="T212" i="34"/>
  <c r="AB277" i="34"/>
  <c r="AB192" i="34"/>
  <c r="AB196" i="34"/>
  <c r="AB200" i="34"/>
  <c r="AB204" i="34"/>
  <c r="AB208" i="34"/>
  <c r="AB212" i="34"/>
  <c r="AB216" i="34"/>
  <c r="AB224" i="34"/>
  <c r="AB228" i="34"/>
  <c r="AB232" i="34"/>
  <c r="AB236" i="34"/>
  <c r="AB240" i="34"/>
  <c r="AB260" i="34"/>
  <c r="AB264" i="34"/>
  <c r="AB268" i="34"/>
  <c r="AB272" i="34"/>
  <c r="AB298" i="34"/>
  <c r="AB302" i="34"/>
  <c r="AB316" i="34"/>
  <c r="AB320" i="34"/>
  <c r="AB344" i="34"/>
  <c r="AB351" i="34"/>
  <c r="AB406" i="34"/>
  <c r="AB191" i="34"/>
  <c r="AB195" i="34"/>
  <c r="AB199" i="34"/>
  <c r="AB203" i="34"/>
  <c r="AB207" i="34"/>
  <c r="AB211" i="34"/>
  <c r="AB215" i="34"/>
  <c r="AB223" i="34"/>
  <c r="AB227" i="34"/>
  <c r="AB231" i="34"/>
  <c r="AB235" i="34"/>
  <c r="AB239" i="34"/>
  <c r="AB259" i="34"/>
  <c r="AB263" i="34"/>
  <c r="AB267" i="34"/>
  <c r="AB271" i="34"/>
  <c r="AB275" i="34"/>
  <c r="AB301" i="34"/>
  <c r="AB315" i="34"/>
  <c r="AB319" i="34"/>
  <c r="AB326" i="34"/>
  <c r="AB350" i="34"/>
  <c r="AB391" i="34"/>
  <c r="AB392" i="34"/>
  <c r="AB393" i="34"/>
  <c r="AB394" i="34"/>
  <c r="AB395" i="34"/>
  <c r="AB396" i="34"/>
  <c r="AB397" i="34"/>
  <c r="AB398" i="34"/>
  <c r="AB399" i="34"/>
  <c r="AB400" i="34"/>
  <c r="AB401" i="34"/>
  <c r="AB402" i="34"/>
  <c r="AB403" i="34"/>
  <c r="AB404" i="34"/>
  <c r="AB405" i="34"/>
  <c r="AB190" i="34"/>
  <c r="AB194" i="34"/>
  <c r="AB198" i="34"/>
  <c r="AB202" i="34"/>
  <c r="AB206" i="34"/>
  <c r="AB210" i="34"/>
  <c r="AB214" i="34"/>
  <c r="AB222" i="34"/>
  <c r="AB226" i="34"/>
  <c r="AB230" i="34"/>
  <c r="AB234" i="34"/>
  <c r="AB238" i="34"/>
  <c r="AB242" i="34"/>
  <c r="AB243" i="34"/>
  <c r="AB244" i="34"/>
  <c r="AB245" i="34"/>
  <c r="AB246" i="34"/>
  <c r="AB247" i="34"/>
  <c r="AB248" i="34"/>
  <c r="AB249" i="34"/>
  <c r="AB250" i="34"/>
  <c r="AB251" i="34"/>
  <c r="AB252" i="34"/>
  <c r="AB253" i="34"/>
  <c r="AB254" i="34"/>
  <c r="AB255" i="34"/>
  <c r="AB256" i="34"/>
  <c r="AB257" i="34"/>
  <c r="AB258" i="34"/>
  <c r="AB262" i="34"/>
  <c r="AB266" i="34"/>
  <c r="AB270" i="34"/>
  <c r="AB274" i="34"/>
  <c r="AB300" i="34"/>
  <c r="AB314" i="34"/>
  <c r="AB318" i="34"/>
  <c r="AB325" i="34"/>
  <c r="AB346" i="34"/>
  <c r="AB353" i="34"/>
  <c r="AB276" i="34"/>
  <c r="AB278" i="34"/>
  <c r="AB279" i="34"/>
  <c r="AB303" i="34"/>
  <c r="AB308" i="34"/>
  <c r="AB309" i="34"/>
  <c r="AB322" i="34"/>
  <c r="AB323" i="34"/>
  <c r="AB327" i="34"/>
  <c r="AB328" i="34"/>
  <c r="AB329" i="34"/>
  <c r="AB347" i="34"/>
  <c r="AB354" i="34"/>
  <c r="AB280" i="34"/>
  <c r="AB281" i="34"/>
  <c r="AB282" i="34"/>
  <c r="AB283" i="34"/>
  <c r="AB284" i="34"/>
  <c r="AB285" i="34"/>
  <c r="AB286" i="34"/>
  <c r="AB287" i="34"/>
  <c r="AB288" i="34"/>
  <c r="AB289" i="34"/>
  <c r="AB290" i="34"/>
  <c r="AB291" i="34"/>
  <c r="AB292" i="34"/>
  <c r="AB293" i="34"/>
  <c r="AB294" i="34"/>
  <c r="AB295" i="34"/>
  <c r="AB296" i="34"/>
  <c r="AB297" i="34"/>
  <c r="AB304" i="34"/>
  <c r="AB305" i="34"/>
  <c r="AB306" i="34"/>
  <c r="AB310" i="34"/>
  <c r="AB311" i="34"/>
  <c r="AB312" i="34"/>
  <c r="AB324" i="34"/>
  <c r="AB330" i="34"/>
  <c r="AB331" i="34"/>
  <c r="AB332" i="34"/>
  <c r="AB333" i="34"/>
  <c r="AB334" i="34"/>
  <c r="AB335" i="34"/>
  <c r="AB336" i="34"/>
  <c r="AB337" i="34"/>
  <c r="AB193" i="34"/>
  <c r="AB197" i="34"/>
  <c r="AB201" i="34"/>
  <c r="AB205" i="34"/>
  <c r="AB209" i="34"/>
  <c r="AB213" i="34"/>
  <c r="AB217" i="34"/>
  <c r="AB218" i="34"/>
  <c r="AB219" i="34"/>
  <c r="AB220" i="34"/>
  <c r="AB221" i="34"/>
  <c r="AB225" i="34"/>
  <c r="AB229" i="34"/>
  <c r="AB233" i="34"/>
  <c r="AB237" i="34"/>
  <c r="AB241" i="34"/>
  <c r="AB261" i="34"/>
  <c r="AB265" i="34"/>
  <c r="AB269" i="34"/>
  <c r="AB273" i="34"/>
  <c r="AB299" i="34"/>
  <c r="AB313" i="34"/>
  <c r="AB317" i="34"/>
  <c r="AB321" i="34"/>
  <c r="AB345" i="34"/>
  <c r="AB352" i="34"/>
  <c r="AB407" i="34"/>
  <c r="AB338" i="34"/>
  <c r="AB339" i="34"/>
  <c r="AB340" i="34"/>
  <c r="AB341" i="34"/>
  <c r="AB348" i="34"/>
  <c r="AB349" i="34"/>
  <c r="AB355" i="34"/>
  <c r="AB356" i="34"/>
  <c r="AB357" i="34"/>
  <c r="AB363" i="34"/>
  <c r="AB364" i="34"/>
  <c r="AB365" i="34"/>
  <c r="AB366" i="34"/>
  <c r="AB307" i="34"/>
  <c r="AB368" i="34"/>
  <c r="AB369" i="34"/>
  <c r="AB383" i="34"/>
  <c r="AB367" i="34"/>
  <c r="AB370" i="34"/>
  <c r="AB371" i="34"/>
  <c r="AB372" i="34"/>
  <c r="AB373" i="34"/>
  <c r="AB374" i="34"/>
  <c r="AB375" i="34"/>
  <c r="AB376" i="34"/>
  <c r="AB377" i="34"/>
  <c r="AB378" i="34"/>
  <c r="AB379" i="34"/>
  <c r="AB380" i="34"/>
  <c r="AB381" i="34"/>
  <c r="AB382" i="34"/>
  <c r="AB384" i="34"/>
  <c r="AB385" i="34"/>
  <c r="AB386" i="34"/>
  <c r="AB387" i="34"/>
  <c r="AB388" i="34"/>
  <c r="AB389" i="34"/>
  <c r="AB390" i="34"/>
  <c r="AB342" i="34"/>
  <c r="AB343" i="34"/>
  <c r="AB361" i="34"/>
  <c r="AB362" i="34"/>
  <c r="AB358" i="34"/>
  <c r="AB359" i="34"/>
  <c r="AB360" i="34"/>
  <c r="AB408" i="34"/>
  <c r="AB409" i="34"/>
  <c r="AB410" i="34"/>
  <c r="AB411" i="34"/>
  <c r="AB412" i="34"/>
  <c r="AB413" i="34"/>
  <c r="AB414" i="34"/>
  <c r="AB415" i="34"/>
  <c r="AB416" i="34"/>
  <c r="AB417" i="34"/>
  <c r="AB418" i="34"/>
  <c r="AB419" i="34"/>
  <c r="AB420" i="34"/>
  <c r="AB421" i="34"/>
  <c r="AB422" i="34"/>
  <c r="AB423" i="34"/>
  <c r="AB424" i="34"/>
  <c r="AB425" i="34"/>
  <c r="AB426" i="34"/>
  <c r="AB427" i="34"/>
  <c r="AB428" i="34"/>
  <c r="AB429" i="34"/>
  <c r="AB430" i="34"/>
  <c r="AB431" i="34"/>
  <c r="AB432" i="34"/>
  <c r="AB433" i="34"/>
  <c r="AB434" i="34"/>
  <c r="AB435" i="34"/>
  <c r="AB436" i="34"/>
  <c r="AB437" i="34"/>
  <c r="AB438" i="34"/>
  <c r="AB439" i="34"/>
  <c r="AB440" i="34"/>
  <c r="AB441" i="34"/>
  <c r="AB442" i="34"/>
  <c r="AB443" i="34"/>
  <c r="AB444" i="34"/>
  <c r="AB445" i="34"/>
  <c r="AB446" i="34"/>
  <c r="AB447" i="34"/>
  <c r="AB448" i="34"/>
  <c r="AB449" i="34"/>
  <c r="AB450" i="34"/>
  <c r="AB451" i="34"/>
  <c r="AB452" i="34"/>
  <c r="AB453" i="34"/>
  <c r="AB454" i="34"/>
  <c r="AB455" i="34"/>
  <c r="AB456" i="34"/>
  <c r="AB457" i="34"/>
  <c r="AB458" i="34"/>
  <c r="AB459" i="34"/>
  <c r="AB460" i="34"/>
  <c r="AB461" i="34"/>
  <c r="AB462" i="34"/>
  <c r="AB463" i="34"/>
  <c r="AB464" i="34"/>
  <c r="AB465" i="34"/>
  <c r="AB466" i="34"/>
  <c r="AB467" i="34"/>
  <c r="AB468" i="34"/>
  <c r="AB469" i="34"/>
  <c r="AB470" i="34"/>
  <c r="AB471" i="34"/>
  <c r="AB472" i="34"/>
  <c r="AB473" i="34"/>
  <c r="AB474" i="34"/>
  <c r="AB475" i="34"/>
  <c r="AB476" i="34"/>
  <c r="AB477" i="34"/>
  <c r="AB478" i="34"/>
  <c r="AB479" i="34"/>
  <c r="AB480" i="34"/>
  <c r="AB481" i="34"/>
  <c r="AB482" i="34"/>
  <c r="AB483" i="34"/>
  <c r="AB484" i="34"/>
  <c r="AB485" i="34"/>
  <c r="AB486" i="34"/>
  <c r="AB487" i="34"/>
  <c r="AB488" i="34"/>
  <c r="AB489" i="34"/>
  <c r="AB490" i="34"/>
  <c r="AB491" i="34"/>
  <c r="AB492" i="34"/>
  <c r="AB493" i="34"/>
  <c r="AB494" i="34"/>
  <c r="AB495" i="34"/>
  <c r="AB496" i="34"/>
  <c r="AB497" i="34"/>
  <c r="AB498" i="34"/>
  <c r="AB499" i="34"/>
  <c r="AB500" i="34"/>
  <c r="AB501" i="34"/>
  <c r="AB502" i="34"/>
  <c r="AB503" i="34"/>
  <c r="AB504" i="34"/>
  <c r="AB505" i="34"/>
  <c r="AB506" i="34"/>
  <c r="AB507" i="34"/>
  <c r="AB508" i="34"/>
  <c r="AB509" i="34"/>
  <c r="AB510" i="34"/>
  <c r="AB511" i="34"/>
  <c r="AB512" i="34"/>
  <c r="AB513" i="34"/>
  <c r="AB514" i="34"/>
  <c r="AB515" i="34"/>
  <c r="AB516" i="34"/>
  <c r="AB517" i="34"/>
  <c r="AB518" i="34"/>
  <c r="AB519" i="34"/>
  <c r="AB520" i="34"/>
  <c r="AB521" i="34"/>
  <c r="AB522" i="34"/>
  <c r="AB523" i="34"/>
  <c r="R191" i="34"/>
  <c r="V191" i="34"/>
  <c r="Z191" i="34"/>
  <c r="S191" i="34"/>
  <c r="T191" i="34"/>
  <c r="X191" i="34"/>
  <c r="Q191" i="34"/>
  <c r="U191" i="34"/>
  <c r="Y191" i="34"/>
  <c r="AC191" i="34"/>
  <c r="R203" i="34"/>
  <c r="V203" i="34"/>
  <c r="Z203" i="34"/>
  <c r="S203" i="34"/>
  <c r="T203" i="34"/>
  <c r="X203" i="34"/>
  <c r="Q203" i="34"/>
  <c r="U203" i="34"/>
  <c r="Y203" i="34"/>
  <c r="AC203" i="34"/>
  <c r="T220" i="34"/>
  <c r="X220" i="34"/>
  <c r="Q220" i="34"/>
  <c r="U220" i="34"/>
  <c r="Y220" i="34"/>
  <c r="AC220" i="34"/>
  <c r="R220" i="34"/>
  <c r="V220" i="34"/>
  <c r="Z220" i="34"/>
  <c r="S220" i="34"/>
  <c r="T238" i="34"/>
  <c r="X238" i="34"/>
  <c r="Q238" i="34"/>
  <c r="U238" i="34"/>
  <c r="Y238" i="34"/>
  <c r="AC238" i="34"/>
  <c r="R238" i="34"/>
  <c r="V238" i="34"/>
  <c r="Z238" i="34"/>
  <c r="S238" i="34"/>
  <c r="A238" i="34"/>
  <c r="T253" i="34"/>
  <c r="X253" i="34"/>
  <c r="Q253" i="34"/>
  <c r="U253" i="34"/>
  <c r="Y253" i="34"/>
  <c r="AC253" i="34"/>
  <c r="R253" i="34"/>
  <c r="V253" i="34"/>
  <c r="Z253" i="34"/>
  <c r="S253" i="34"/>
  <c r="S275" i="34"/>
  <c r="T275" i="34"/>
  <c r="X275" i="34"/>
  <c r="U275" i="34"/>
  <c r="Y275" i="34"/>
  <c r="AC275" i="34"/>
  <c r="Q275" i="34"/>
  <c r="V275" i="34"/>
  <c r="Z275" i="34"/>
  <c r="R275" i="34"/>
  <c r="S314" i="34"/>
  <c r="T314" i="34"/>
  <c r="X314" i="34"/>
  <c r="Q314" i="34"/>
  <c r="U314" i="34"/>
  <c r="Y314" i="34"/>
  <c r="AC314" i="34"/>
  <c r="R314" i="34"/>
  <c r="V314" i="34"/>
  <c r="Z314" i="34"/>
  <c r="S344" i="34"/>
  <c r="T344" i="34"/>
  <c r="X344" i="34"/>
  <c r="Q344" i="34"/>
  <c r="U344" i="34"/>
  <c r="Y344" i="34"/>
  <c r="AC344" i="34"/>
  <c r="R344" i="34"/>
  <c r="V344" i="34"/>
  <c r="Z344" i="34"/>
  <c r="T276" i="34"/>
  <c r="X276" i="34"/>
  <c r="Q276" i="34"/>
  <c r="U276" i="34"/>
  <c r="Y276" i="34"/>
  <c r="AC276" i="34"/>
  <c r="R276" i="34"/>
  <c r="V276" i="34"/>
  <c r="Z276" i="34"/>
  <c r="S276" i="34"/>
  <c r="T283" i="34"/>
  <c r="X283" i="34"/>
  <c r="Q283" i="34"/>
  <c r="U283" i="34"/>
  <c r="Y283" i="34"/>
  <c r="AC283" i="34"/>
  <c r="R283" i="34"/>
  <c r="V283" i="34"/>
  <c r="Z283" i="34"/>
  <c r="S283" i="34"/>
  <c r="T312" i="34"/>
  <c r="X312" i="34"/>
  <c r="Q312" i="34"/>
  <c r="U312" i="34"/>
  <c r="Y312" i="34"/>
  <c r="AC312" i="34"/>
  <c r="R312" i="34"/>
  <c r="V312" i="34"/>
  <c r="Z312" i="34"/>
  <c r="S312" i="34"/>
  <c r="S368" i="34"/>
  <c r="Q368" i="34"/>
  <c r="V368" i="34"/>
  <c r="Z368" i="34"/>
  <c r="R368" i="34"/>
  <c r="T368" i="34"/>
  <c r="X368" i="34"/>
  <c r="U368" i="34"/>
  <c r="Y368" i="34"/>
  <c r="AC368" i="34"/>
  <c r="R378" i="34"/>
  <c r="V378" i="34"/>
  <c r="Z378" i="34"/>
  <c r="S378" i="34"/>
  <c r="T378" i="34"/>
  <c r="X378" i="34"/>
  <c r="Q378" i="34"/>
  <c r="U378" i="34"/>
  <c r="Y378" i="34"/>
  <c r="AC378" i="34"/>
  <c r="R358" i="34"/>
  <c r="V358" i="34"/>
  <c r="Z358" i="34"/>
  <c r="S358" i="34"/>
  <c r="T358" i="34"/>
  <c r="X358" i="34"/>
  <c r="Q358" i="34"/>
  <c r="U358" i="34"/>
  <c r="Y358" i="34"/>
  <c r="AC358" i="34"/>
  <c r="R417" i="34"/>
  <c r="V417" i="34"/>
  <c r="Z417" i="34"/>
  <c r="S417" i="34"/>
  <c r="T417" i="34"/>
  <c r="X417" i="34"/>
  <c r="Q417" i="34"/>
  <c r="U417" i="34"/>
  <c r="Y417" i="34"/>
  <c r="AC417" i="34"/>
  <c r="R433" i="34"/>
  <c r="V433" i="34"/>
  <c r="Z433" i="34"/>
  <c r="S433" i="34"/>
  <c r="T433" i="34"/>
  <c r="X433" i="34"/>
  <c r="Q433" i="34"/>
  <c r="U433" i="34"/>
  <c r="Y433" i="34"/>
  <c r="AC433" i="34"/>
  <c r="R449" i="34"/>
  <c r="V449" i="34"/>
  <c r="Z449" i="34"/>
  <c r="S449" i="34"/>
  <c r="T449" i="34"/>
  <c r="X449" i="34"/>
  <c r="Q449" i="34"/>
  <c r="U449" i="34"/>
  <c r="Y449" i="34"/>
  <c r="AC449" i="34"/>
  <c r="R457" i="34"/>
  <c r="V457" i="34"/>
  <c r="Z457" i="34"/>
  <c r="S457" i="34"/>
  <c r="T457" i="34"/>
  <c r="X457" i="34"/>
  <c r="Q457" i="34"/>
  <c r="U457" i="34"/>
  <c r="Y457" i="34"/>
  <c r="AC457" i="34"/>
  <c r="R473" i="34"/>
  <c r="V473" i="34"/>
  <c r="Z473" i="34"/>
  <c r="S473" i="34"/>
  <c r="T473" i="34"/>
  <c r="X473" i="34"/>
  <c r="Q473" i="34"/>
  <c r="U473" i="34"/>
  <c r="Y473" i="34"/>
  <c r="AC473" i="34"/>
  <c r="R485" i="34"/>
  <c r="V485" i="34"/>
  <c r="Z485" i="34"/>
  <c r="S485" i="34"/>
  <c r="T485" i="34"/>
  <c r="X485" i="34"/>
  <c r="Q485" i="34"/>
  <c r="U485" i="34"/>
  <c r="Y485" i="34"/>
  <c r="AC485" i="34"/>
  <c r="R497" i="34"/>
  <c r="V497" i="34"/>
  <c r="Z497" i="34"/>
  <c r="S497" i="34"/>
  <c r="T497" i="34"/>
  <c r="X497" i="34"/>
  <c r="Q497" i="34"/>
  <c r="U497" i="34"/>
  <c r="Y497" i="34"/>
  <c r="AC497" i="34"/>
  <c r="Q513" i="34"/>
  <c r="U513" i="34"/>
  <c r="Y513" i="34"/>
  <c r="AC513" i="34"/>
  <c r="S513" i="34"/>
  <c r="X513" i="34"/>
  <c r="T513" i="34"/>
  <c r="Z513" i="34"/>
  <c r="V513" i="34"/>
  <c r="R513" i="34"/>
  <c r="T190" i="34"/>
  <c r="X190" i="34"/>
  <c r="Q190" i="34"/>
  <c r="U190" i="34"/>
  <c r="Y190" i="34"/>
  <c r="AC190" i="34"/>
  <c r="R190" i="34"/>
  <c r="V190" i="34"/>
  <c r="Z190" i="34"/>
  <c r="S190" i="34"/>
  <c r="T194" i="34"/>
  <c r="X194" i="34"/>
  <c r="Q194" i="34"/>
  <c r="U194" i="34"/>
  <c r="Y194" i="34"/>
  <c r="AC194" i="34"/>
  <c r="R194" i="34"/>
  <c r="V194" i="34"/>
  <c r="Z194" i="34"/>
  <c r="S194" i="34"/>
  <c r="T198" i="34"/>
  <c r="X198" i="34"/>
  <c r="Q198" i="34"/>
  <c r="U198" i="34"/>
  <c r="Y198" i="34"/>
  <c r="AC198" i="34"/>
  <c r="R198" i="34"/>
  <c r="V198" i="34"/>
  <c r="Z198" i="34"/>
  <c r="S198" i="34"/>
  <c r="T202" i="34"/>
  <c r="X202" i="34"/>
  <c r="Q202" i="34"/>
  <c r="U202" i="34"/>
  <c r="Y202" i="34"/>
  <c r="AC202" i="34"/>
  <c r="R202" i="34"/>
  <c r="V202" i="34"/>
  <c r="Z202" i="34"/>
  <c r="S202" i="34"/>
  <c r="T206" i="34"/>
  <c r="X206" i="34"/>
  <c r="Q206" i="34"/>
  <c r="U206" i="34"/>
  <c r="Y206" i="34"/>
  <c r="AC206" i="34"/>
  <c r="R206" i="34"/>
  <c r="V206" i="34"/>
  <c r="Z206" i="34"/>
  <c r="S206" i="34"/>
  <c r="R213" i="34"/>
  <c r="V213" i="34"/>
  <c r="Z213" i="34"/>
  <c r="S213" i="34"/>
  <c r="T213" i="34"/>
  <c r="X213" i="34"/>
  <c r="AC213" i="34"/>
  <c r="Y213" i="34"/>
  <c r="Q213" i="34"/>
  <c r="U213" i="34"/>
  <c r="R219" i="34"/>
  <c r="V219" i="34"/>
  <c r="Z219" i="34"/>
  <c r="S219" i="34"/>
  <c r="T219" i="34"/>
  <c r="X219" i="34"/>
  <c r="Q219" i="34"/>
  <c r="U219" i="34"/>
  <c r="Y219" i="34"/>
  <c r="AC219" i="34"/>
  <c r="R223" i="34"/>
  <c r="V223" i="34"/>
  <c r="Z223" i="34"/>
  <c r="S223" i="34"/>
  <c r="T223" i="34"/>
  <c r="X223" i="34"/>
  <c r="Q223" i="34"/>
  <c r="U223" i="34"/>
  <c r="Y223" i="34"/>
  <c r="AC223" i="34"/>
  <c r="R229" i="34"/>
  <c r="V229" i="34"/>
  <c r="Z229" i="34"/>
  <c r="S229" i="34"/>
  <c r="T229" i="34"/>
  <c r="X229" i="34"/>
  <c r="Q229" i="34"/>
  <c r="U229" i="34"/>
  <c r="Y229" i="34"/>
  <c r="AC229" i="34"/>
  <c r="A229" i="34"/>
  <c r="R233" i="34"/>
  <c r="V233" i="34"/>
  <c r="Z233" i="34"/>
  <c r="S233" i="34"/>
  <c r="T233" i="34"/>
  <c r="X233" i="34"/>
  <c r="Q233" i="34"/>
  <c r="U233" i="34"/>
  <c r="Y233" i="34"/>
  <c r="AC233" i="34"/>
  <c r="A233" i="34"/>
  <c r="R237" i="34"/>
  <c r="V237" i="34"/>
  <c r="Z237" i="34"/>
  <c r="S237" i="34"/>
  <c r="T237" i="34"/>
  <c r="X237" i="34"/>
  <c r="Q237" i="34"/>
  <c r="U237" i="34"/>
  <c r="Y237" i="34"/>
  <c r="AC237" i="34"/>
  <c r="A237" i="34"/>
  <c r="T259" i="34"/>
  <c r="X259" i="34"/>
  <c r="Q259" i="34"/>
  <c r="U259" i="34"/>
  <c r="Y259" i="34"/>
  <c r="AC259" i="34"/>
  <c r="R259" i="34"/>
  <c r="V259" i="34"/>
  <c r="Z259" i="34"/>
  <c r="S259" i="34"/>
  <c r="T244" i="34"/>
  <c r="X244" i="34"/>
  <c r="S244" i="34"/>
  <c r="Q244" i="34"/>
  <c r="R244" i="34"/>
  <c r="Y244" i="34"/>
  <c r="AC244" i="34"/>
  <c r="U244" i="34"/>
  <c r="Z244" i="34"/>
  <c r="V244" i="34"/>
  <c r="R252" i="34"/>
  <c r="V252" i="34"/>
  <c r="Z252" i="34"/>
  <c r="S252" i="34"/>
  <c r="T252" i="34"/>
  <c r="X252" i="34"/>
  <c r="Q252" i="34"/>
  <c r="U252" i="34"/>
  <c r="Y252" i="34"/>
  <c r="AC252" i="34"/>
  <c r="R256" i="34"/>
  <c r="V256" i="34"/>
  <c r="Z256" i="34"/>
  <c r="S256" i="34"/>
  <c r="T256" i="34"/>
  <c r="X256" i="34"/>
  <c r="Q256" i="34"/>
  <c r="U256" i="34"/>
  <c r="Y256" i="34"/>
  <c r="AC256" i="34"/>
  <c r="R268" i="34"/>
  <c r="V268" i="34"/>
  <c r="Z268" i="34"/>
  <c r="S268" i="34"/>
  <c r="T268" i="34"/>
  <c r="X268" i="34"/>
  <c r="Q268" i="34"/>
  <c r="U268" i="34"/>
  <c r="Y268" i="34"/>
  <c r="AC268" i="34"/>
  <c r="Q274" i="34"/>
  <c r="U274" i="34"/>
  <c r="Y274" i="34"/>
  <c r="AC274" i="34"/>
  <c r="V274" i="34"/>
  <c r="R274" i="34"/>
  <c r="S274" i="34"/>
  <c r="X274" i="34"/>
  <c r="T274" i="34"/>
  <c r="Z274" i="34"/>
  <c r="S302" i="34"/>
  <c r="T302" i="34"/>
  <c r="X302" i="34"/>
  <c r="Q302" i="34"/>
  <c r="U302" i="34"/>
  <c r="Y302" i="34"/>
  <c r="AC302" i="34"/>
  <c r="R302" i="34"/>
  <c r="V302" i="34"/>
  <c r="Z302" i="34"/>
  <c r="S300" i="34"/>
  <c r="T300" i="34"/>
  <c r="X300" i="34"/>
  <c r="Q300" i="34"/>
  <c r="U300" i="34"/>
  <c r="Y300" i="34"/>
  <c r="AC300" i="34"/>
  <c r="R300" i="34"/>
  <c r="V300" i="34"/>
  <c r="Z300" i="34"/>
  <c r="Q313" i="34"/>
  <c r="U313" i="34"/>
  <c r="Y313" i="34"/>
  <c r="AC313" i="34"/>
  <c r="R313" i="34"/>
  <c r="V313" i="34"/>
  <c r="Z313" i="34"/>
  <c r="S313" i="34"/>
  <c r="T313" i="34"/>
  <c r="X313" i="34"/>
  <c r="Q350" i="34"/>
  <c r="U350" i="34"/>
  <c r="Y350" i="34"/>
  <c r="AC350" i="34"/>
  <c r="R350" i="34"/>
  <c r="V350" i="34"/>
  <c r="Z350" i="34"/>
  <c r="S350" i="34"/>
  <c r="T350" i="34"/>
  <c r="X350" i="34"/>
  <c r="Q326" i="34"/>
  <c r="U326" i="34"/>
  <c r="Y326" i="34"/>
  <c r="AC326" i="34"/>
  <c r="R326" i="34"/>
  <c r="V326" i="34"/>
  <c r="Z326" i="34"/>
  <c r="S326" i="34"/>
  <c r="T326" i="34"/>
  <c r="X326" i="34"/>
  <c r="S316" i="34"/>
  <c r="T316" i="34"/>
  <c r="X316" i="34"/>
  <c r="Q316" i="34"/>
  <c r="U316" i="34"/>
  <c r="Y316" i="34"/>
  <c r="AC316" i="34"/>
  <c r="R316" i="34"/>
  <c r="V316" i="34"/>
  <c r="Z316" i="34"/>
  <c r="S394" i="34"/>
  <c r="T394" i="34"/>
  <c r="X394" i="34"/>
  <c r="Q394" i="34"/>
  <c r="U394" i="34"/>
  <c r="Y394" i="34"/>
  <c r="AC394" i="34"/>
  <c r="R394" i="34"/>
  <c r="V394" i="34"/>
  <c r="Z394" i="34"/>
  <c r="S400" i="34"/>
  <c r="R400" i="34"/>
  <c r="V400" i="34"/>
  <c r="Z400" i="34"/>
  <c r="T400" i="34"/>
  <c r="Y400" i="34"/>
  <c r="U400" i="34"/>
  <c r="Q400" i="34"/>
  <c r="X400" i="34"/>
  <c r="AC400" i="34"/>
  <c r="R404" i="34"/>
  <c r="Q404" i="34"/>
  <c r="V404" i="34"/>
  <c r="Z404" i="34"/>
  <c r="S404" i="34"/>
  <c r="T404" i="34"/>
  <c r="X404" i="34"/>
  <c r="U404" i="34"/>
  <c r="Y404" i="34"/>
  <c r="AC404" i="34"/>
  <c r="R303" i="34"/>
  <c r="V303" i="34"/>
  <c r="Z303" i="34"/>
  <c r="S303" i="34"/>
  <c r="T303" i="34"/>
  <c r="X303" i="34"/>
  <c r="Q303" i="34"/>
  <c r="U303" i="34"/>
  <c r="Y303" i="34"/>
  <c r="AC303" i="34"/>
  <c r="R323" i="34"/>
  <c r="V323" i="34"/>
  <c r="Z323" i="34"/>
  <c r="S323" i="34"/>
  <c r="T323" i="34"/>
  <c r="X323" i="34"/>
  <c r="Q323" i="34"/>
  <c r="U323" i="34"/>
  <c r="Y323" i="34"/>
  <c r="AC323" i="34"/>
  <c r="R347" i="34"/>
  <c r="V347" i="34"/>
  <c r="Z347" i="34"/>
  <c r="S347" i="34"/>
  <c r="T347" i="34"/>
  <c r="X347" i="34"/>
  <c r="Q347" i="34"/>
  <c r="U347" i="34"/>
  <c r="Y347" i="34"/>
  <c r="AC347" i="34"/>
  <c r="R282" i="34"/>
  <c r="V282" i="34"/>
  <c r="Z282" i="34"/>
  <c r="S282" i="34"/>
  <c r="T282" i="34"/>
  <c r="X282" i="34"/>
  <c r="Q282" i="34"/>
  <c r="U282" i="34"/>
  <c r="Y282" i="34"/>
  <c r="AC282" i="34"/>
  <c r="R286" i="34"/>
  <c r="V286" i="34"/>
  <c r="Z286" i="34"/>
  <c r="S286" i="34"/>
  <c r="T286" i="34"/>
  <c r="X286" i="34"/>
  <c r="Q286" i="34"/>
  <c r="U286" i="34"/>
  <c r="Y286" i="34"/>
  <c r="AC286" i="34"/>
  <c r="R290" i="34"/>
  <c r="V290" i="34"/>
  <c r="Z290" i="34"/>
  <c r="S290" i="34"/>
  <c r="T290" i="34"/>
  <c r="X290" i="34"/>
  <c r="Q290" i="34"/>
  <c r="U290" i="34"/>
  <c r="Y290" i="34"/>
  <c r="AC290" i="34"/>
  <c r="R294" i="34"/>
  <c r="V294" i="34"/>
  <c r="Z294" i="34"/>
  <c r="S294" i="34"/>
  <c r="T294" i="34"/>
  <c r="X294" i="34"/>
  <c r="Q294" i="34"/>
  <c r="U294" i="34"/>
  <c r="Y294" i="34"/>
  <c r="AC294" i="34"/>
  <c r="R304" i="34"/>
  <c r="V304" i="34"/>
  <c r="Z304" i="34"/>
  <c r="S304" i="34"/>
  <c r="T304" i="34"/>
  <c r="X304" i="34"/>
  <c r="Q304" i="34"/>
  <c r="U304" i="34"/>
  <c r="Y304" i="34"/>
  <c r="AC304" i="34"/>
  <c r="R311" i="34"/>
  <c r="V311" i="34"/>
  <c r="Z311" i="34"/>
  <c r="S311" i="34"/>
  <c r="T311" i="34"/>
  <c r="X311" i="34"/>
  <c r="Q311" i="34"/>
  <c r="U311" i="34"/>
  <c r="Y311" i="34"/>
  <c r="AC311" i="34"/>
  <c r="R331" i="34"/>
  <c r="V331" i="34"/>
  <c r="Z331" i="34"/>
  <c r="S331" i="34"/>
  <c r="T331" i="34"/>
  <c r="X331" i="34"/>
  <c r="Q331" i="34"/>
  <c r="U331" i="34"/>
  <c r="Y331" i="34"/>
  <c r="AC331" i="34"/>
  <c r="R335" i="34"/>
  <c r="V335" i="34"/>
  <c r="Z335" i="34"/>
  <c r="S335" i="34"/>
  <c r="T335" i="34"/>
  <c r="X335" i="34"/>
  <c r="Q335" i="34"/>
  <c r="U335" i="34"/>
  <c r="Y335" i="34"/>
  <c r="AC335" i="34"/>
  <c r="R339" i="34"/>
  <c r="V339" i="34"/>
  <c r="Z339" i="34"/>
  <c r="S339" i="34"/>
  <c r="T339" i="34"/>
  <c r="X339" i="34"/>
  <c r="Q339" i="34"/>
  <c r="U339" i="34"/>
  <c r="Y339" i="34"/>
  <c r="AC339" i="34"/>
  <c r="R349" i="34"/>
  <c r="V349" i="34"/>
  <c r="Z349" i="34"/>
  <c r="S349" i="34"/>
  <c r="Q349" i="34"/>
  <c r="U349" i="34"/>
  <c r="Y349" i="34"/>
  <c r="AC349" i="34"/>
  <c r="T349" i="34"/>
  <c r="X349" i="34"/>
  <c r="S363" i="34"/>
  <c r="Q363" i="34"/>
  <c r="U363" i="34"/>
  <c r="Y363" i="34"/>
  <c r="AC363" i="34"/>
  <c r="R363" i="34"/>
  <c r="X363" i="34"/>
  <c r="T363" i="34"/>
  <c r="Z363" i="34"/>
  <c r="V363" i="34"/>
  <c r="Q307" i="34"/>
  <c r="U307" i="34"/>
  <c r="Y307" i="34"/>
  <c r="AC307" i="34"/>
  <c r="T307" i="34"/>
  <c r="Z307" i="34"/>
  <c r="V307" i="34"/>
  <c r="R307" i="34"/>
  <c r="S307" i="34"/>
  <c r="X307" i="34"/>
  <c r="T367" i="34"/>
  <c r="X367" i="34"/>
  <c r="Q367" i="34"/>
  <c r="U367" i="34"/>
  <c r="Y367" i="34"/>
  <c r="AC367" i="34"/>
  <c r="R367" i="34"/>
  <c r="V367" i="34"/>
  <c r="Z367" i="34"/>
  <c r="S367" i="34"/>
  <c r="T373" i="34"/>
  <c r="X373" i="34"/>
  <c r="Q373" i="34"/>
  <c r="U373" i="34"/>
  <c r="Y373" i="34"/>
  <c r="AC373" i="34"/>
  <c r="R373" i="34"/>
  <c r="V373" i="34"/>
  <c r="Z373" i="34"/>
  <c r="S373" i="34"/>
  <c r="T377" i="34"/>
  <c r="X377" i="34"/>
  <c r="Q377" i="34"/>
  <c r="U377" i="34"/>
  <c r="Y377" i="34"/>
  <c r="AC377" i="34"/>
  <c r="R377" i="34"/>
  <c r="V377" i="34"/>
  <c r="Z377" i="34"/>
  <c r="S377" i="34"/>
  <c r="T381" i="34"/>
  <c r="X381" i="34"/>
  <c r="Q381" i="34"/>
  <c r="U381" i="34"/>
  <c r="Y381" i="34"/>
  <c r="AC381" i="34"/>
  <c r="R381" i="34"/>
  <c r="V381" i="34"/>
  <c r="Z381" i="34"/>
  <c r="S381" i="34"/>
  <c r="T386" i="34"/>
  <c r="X386" i="34"/>
  <c r="Q386" i="34"/>
  <c r="U386" i="34"/>
  <c r="Y386" i="34"/>
  <c r="AC386" i="34"/>
  <c r="R386" i="34"/>
  <c r="V386" i="34"/>
  <c r="Z386" i="34"/>
  <c r="S386" i="34"/>
  <c r="T390" i="34"/>
  <c r="X390" i="34"/>
  <c r="Q390" i="34"/>
  <c r="U390" i="34"/>
  <c r="Y390" i="34"/>
  <c r="AC390" i="34"/>
  <c r="R390" i="34"/>
  <c r="V390" i="34"/>
  <c r="Z390" i="34"/>
  <c r="S390" i="34"/>
  <c r="T362" i="34"/>
  <c r="X362" i="34"/>
  <c r="Q362" i="34"/>
  <c r="U362" i="34"/>
  <c r="Y362" i="34"/>
  <c r="AC362" i="34"/>
  <c r="R362" i="34"/>
  <c r="V362" i="34"/>
  <c r="Z362" i="34"/>
  <c r="S362" i="34"/>
  <c r="T408" i="34"/>
  <c r="X408" i="34"/>
  <c r="Q408" i="34"/>
  <c r="U408" i="34"/>
  <c r="Y408" i="34"/>
  <c r="AC408" i="34"/>
  <c r="R408" i="34"/>
  <c r="V408" i="34"/>
  <c r="Z408" i="34"/>
  <c r="S408" i="34"/>
  <c r="T412" i="34"/>
  <c r="X412" i="34"/>
  <c r="Q412" i="34"/>
  <c r="U412" i="34"/>
  <c r="Y412" i="34"/>
  <c r="AC412" i="34"/>
  <c r="R412" i="34"/>
  <c r="V412" i="34"/>
  <c r="Z412" i="34"/>
  <c r="S412" i="34"/>
  <c r="T416" i="34"/>
  <c r="X416" i="34"/>
  <c r="Q416" i="34"/>
  <c r="U416" i="34"/>
  <c r="Y416" i="34"/>
  <c r="AC416" i="34"/>
  <c r="R416" i="34"/>
  <c r="V416" i="34"/>
  <c r="Z416" i="34"/>
  <c r="S416" i="34"/>
  <c r="T420" i="34"/>
  <c r="X420" i="34"/>
  <c r="Q420" i="34"/>
  <c r="U420" i="34"/>
  <c r="Y420" i="34"/>
  <c r="AC420" i="34"/>
  <c r="R420" i="34"/>
  <c r="V420" i="34"/>
  <c r="Z420" i="34"/>
  <c r="S420" i="34"/>
  <c r="T424" i="34"/>
  <c r="X424" i="34"/>
  <c r="Q424" i="34"/>
  <c r="U424" i="34"/>
  <c r="Y424" i="34"/>
  <c r="AC424" i="34"/>
  <c r="R424" i="34"/>
  <c r="V424" i="34"/>
  <c r="Z424" i="34"/>
  <c r="S424" i="34"/>
  <c r="T428" i="34"/>
  <c r="X428" i="34"/>
  <c r="Q428" i="34"/>
  <c r="U428" i="34"/>
  <c r="Y428" i="34"/>
  <c r="AC428" i="34"/>
  <c r="R428" i="34"/>
  <c r="V428" i="34"/>
  <c r="Z428" i="34"/>
  <c r="S428" i="34"/>
  <c r="T432" i="34"/>
  <c r="X432" i="34"/>
  <c r="Q432" i="34"/>
  <c r="U432" i="34"/>
  <c r="Y432" i="34"/>
  <c r="AC432" i="34"/>
  <c r="R432" i="34"/>
  <c r="V432" i="34"/>
  <c r="Z432" i="34"/>
  <c r="S432" i="34"/>
  <c r="T436" i="34"/>
  <c r="X436" i="34"/>
  <c r="Q436" i="34"/>
  <c r="U436" i="34"/>
  <c r="Y436" i="34"/>
  <c r="AC436" i="34"/>
  <c r="S436" i="34"/>
  <c r="Z436" i="34"/>
  <c r="R436" i="34"/>
  <c r="V436" i="34"/>
  <c r="Q440" i="34"/>
  <c r="S440" i="34"/>
  <c r="U440" i="34"/>
  <c r="Y440" i="34"/>
  <c r="AC440" i="34"/>
  <c r="V440" i="34"/>
  <c r="Z440" i="34"/>
  <c r="R440" i="34"/>
  <c r="T440" i="34"/>
  <c r="X440" i="34"/>
  <c r="S444" i="34"/>
  <c r="R444" i="34"/>
  <c r="T444" i="34"/>
  <c r="X444" i="34"/>
  <c r="U444" i="34"/>
  <c r="Y444" i="34"/>
  <c r="AC444" i="34"/>
  <c r="Q444" i="34"/>
  <c r="V444" i="34"/>
  <c r="Z444" i="34"/>
  <c r="T448" i="34"/>
  <c r="X448" i="34"/>
  <c r="Q448" i="34"/>
  <c r="U448" i="34"/>
  <c r="Y448" i="34"/>
  <c r="AC448" i="34"/>
  <c r="R448" i="34"/>
  <c r="V448" i="34"/>
  <c r="Z448" i="34"/>
  <c r="S448" i="34"/>
  <c r="T452" i="34"/>
  <c r="X452" i="34"/>
  <c r="Q452" i="34"/>
  <c r="U452" i="34"/>
  <c r="Y452" i="34"/>
  <c r="AC452" i="34"/>
  <c r="R452" i="34"/>
  <c r="V452" i="34"/>
  <c r="Z452" i="34"/>
  <c r="S452" i="34"/>
  <c r="T456" i="34"/>
  <c r="X456" i="34"/>
  <c r="Q456" i="34"/>
  <c r="U456" i="34"/>
  <c r="Y456" i="34"/>
  <c r="AC456" i="34"/>
  <c r="R456" i="34"/>
  <c r="V456" i="34"/>
  <c r="Z456" i="34"/>
  <c r="S456" i="34"/>
  <c r="T460" i="34"/>
  <c r="X460" i="34"/>
  <c r="Q460" i="34"/>
  <c r="U460" i="34"/>
  <c r="Y460" i="34"/>
  <c r="AC460" i="34"/>
  <c r="R460" i="34"/>
  <c r="V460" i="34"/>
  <c r="Z460" i="34"/>
  <c r="S460" i="34"/>
  <c r="T464" i="34"/>
  <c r="X464" i="34"/>
  <c r="Q464" i="34"/>
  <c r="U464" i="34"/>
  <c r="Y464" i="34"/>
  <c r="AC464" i="34"/>
  <c r="R464" i="34"/>
  <c r="V464" i="34"/>
  <c r="Z464" i="34"/>
  <c r="S464" i="34"/>
  <c r="T468" i="34"/>
  <c r="X468" i="34"/>
  <c r="Q468" i="34"/>
  <c r="U468" i="34"/>
  <c r="Y468" i="34"/>
  <c r="AC468" i="34"/>
  <c r="R468" i="34"/>
  <c r="V468" i="34"/>
  <c r="Z468" i="34"/>
  <c r="S468" i="34"/>
  <c r="T472" i="34"/>
  <c r="X472" i="34"/>
  <c r="Q472" i="34"/>
  <c r="U472" i="34"/>
  <c r="Y472" i="34"/>
  <c r="AC472" i="34"/>
  <c r="R472" i="34"/>
  <c r="V472" i="34"/>
  <c r="Z472" i="34"/>
  <c r="S472" i="34"/>
  <c r="T476" i="34"/>
  <c r="X476" i="34"/>
  <c r="Q476" i="34"/>
  <c r="U476" i="34"/>
  <c r="Y476" i="34"/>
  <c r="AC476" i="34"/>
  <c r="R476" i="34"/>
  <c r="V476" i="34"/>
  <c r="Z476" i="34"/>
  <c r="S476" i="34"/>
  <c r="T480" i="34"/>
  <c r="X480" i="34"/>
  <c r="Q480" i="34"/>
  <c r="U480" i="34"/>
  <c r="Y480" i="34"/>
  <c r="AC480" i="34"/>
  <c r="R480" i="34"/>
  <c r="V480" i="34"/>
  <c r="Z480" i="34"/>
  <c r="S480" i="34"/>
  <c r="T484" i="34"/>
  <c r="X484" i="34"/>
  <c r="Q484" i="34"/>
  <c r="U484" i="34"/>
  <c r="Y484" i="34"/>
  <c r="AC484" i="34"/>
  <c r="R484" i="34"/>
  <c r="V484" i="34"/>
  <c r="Z484" i="34"/>
  <c r="S484" i="34"/>
  <c r="T488" i="34"/>
  <c r="X488" i="34"/>
  <c r="Q488" i="34"/>
  <c r="U488" i="34"/>
  <c r="Y488" i="34"/>
  <c r="AC488" i="34"/>
  <c r="R488" i="34"/>
  <c r="V488" i="34"/>
  <c r="Z488" i="34"/>
  <c r="S488" i="34"/>
  <c r="T492" i="34"/>
  <c r="X492" i="34"/>
  <c r="Q492" i="34"/>
  <c r="U492" i="34"/>
  <c r="Y492" i="34"/>
  <c r="AC492" i="34"/>
  <c r="R492" i="34"/>
  <c r="V492" i="34"/>
  <c r="Z492" i="34"/>
  <c r="S492" i="34"/>
  <c r="T496" i="34"/>
  <c r="X496" i="34"/>
  <c r="Q496" i="34"/>
  <c r="U496" i="34"/>
  <c r="Y496" i="34"/>
  <c r="AC496" i="34"/>
  <c r="R496" i="34"/>
  <c r="V496" i="34"/>
  <c r="Z496" i="34"/>
  <c r="S496" i="34"/>
  <c r="T500" i="34"/>
  <c r="X500" i="34"/>
  <c r="Q500" i="34"/>
  <c r="U500" i="34"/>
  <c r="Y500" i="34"/>
  <c r="AC500" i="34"/>
  <c r="R500" i="34"/>
  <c r="V500" i="34"/>
  <c r="Z500" i="34"/>
  <c r="S500" i="34"/>
  <c r="T504" i="34"/>
  <c r="X504" i="34"/>
  <c r="Q504" i="34"/>
  <c r="U504" i="34"/>
  <c r="Y504" i="34"/>
  <c r="AC504" i="34"/>
  <c r="S504" i="34"/>
  <c r="V504" i="34"/>
  <c r="Z504" i="34"/>
  <c r="R504" i="34"/>
  <c r="T508" i="34"/>
  <c r="X508" i="34"/>
  <c r="Q508" i="34"/>
  <c r="U508" i="34"/>
  <c r="Y508" i="34"/>
  <c r="AC508" i="34"/>
  <c r="S508" i="34"/>
  <c r="Z508" i="34"/>
  <c r="R508" i="34"/>
  <c r="V508" i="34"/>
  <c r="S512" i="34"/>
  <c r="T512" i="34"/>
  <c r="X512" i="34"/>
  <c r="U512" i="34"/>
  <c r="Y512" i="34"/>
  <c r="AC512" i="34"/>
  <c r="Q512" i="34"/>
  <c r="V512" i="34"/>
  <c r="Z512" i="34"/>
  <c r="R512" i="34"/>
  <c r="S516" i="34"/>
  <c r="Q516" i="34"/>
  <c r="V516" i="34"/>
  <c r="Z516" i="34"/>
  <c r="R516" i="34"/>
  <c r="T516" i="34"/>
  <c r="X516" i="34"/>
  <c r="U516" i="34"/>
  <c r="Y516" i="34"/>
  <c r="AC516" i="34"/>
  <c r="R520" i="34"/>
  <c r="Z520" i="34"/>
  <c r="S520" i="34"/>
  <c r="T520" i="34"/>
  <c r="X520" i="34"/>
  <c r="Q520" i="34"/>
  <c r="U520" i="34"/>
  <c r="Y520" i="34"/>
  <c r="AC520" i="34"/>
  <c r="V520" i="34"/>
  <c r="R207" i="34"/>
  <c r="V207" i="34"/>
  <c r="Z207" i="34"/>
  <c r="S207" i="34"/>
  <c r="T207" i="34"/>
  <c r="X207" i="34"/>
  <c r="Q207" i="34"/>
  <c r="U207" i="34"/>
  <c r="Y207" i="34"/>
  <c r="AC207" i="34"/>
  <c r="T234" i="34"/>
  <c r="X234" i="34"/>
  <c r="Q234" i="34"/>
  <c r="U234" i="34"/>
  <c r="Y234" i="34"/>
  <c r="AC234" i="34"/>
  <c r="R234" i="34"/>
  <c r="V234" i="34"/>
  <c r="Z234" i="34"/>
  <c r="S234" i="34"/>
  <c r="A234" i="34"/>
  <c r="T257" i="34"/>
  <c r="X257" i="34"/>
  <c r="Q257" i="34"/>
  <c r="U257" i="34"/>
  <c r="Y257" i="34"/>
  <c r="AC257" i="34"/>
  <c r="R257" i="34"/>
  <c r="V257" i="34"/>
  <c r="Z257" i="34"/>
  <c r="S257" i="34"/>
  <c r="Q317" i="34"/>
  <c r="U317" i="34"/>
  <c r="Y317" i="34"/>
  <c r="AC317" i="34"/>
  <c r="R317" i="34"/>
  <c r="V317" i="34"/>
  <c r="Z317" i="34"/>
  <c r="S317" i="34"/>
  <c r="T317" i="34"/>
  <c r="X317" i="34"/>
  <c r="Q397" i="34"/>
  <c r="U397" i="34"/>
  <c r="Y397" i="34"/>
  <c r="AC397" i="34"/>
  <c r="R397" i="34"/>
  <c r="S397" i="34"/>
  <c r="T397" i="34"/>
  <c r="X397" i="34"/>
  <c r="V397" i="34"/>
  <c r="Z397" i="34"/>
  <c r="T327" i="34"/>
  <c r="X327" i="34"/>
  <c r="Q327" i="34"/>
  <c r="U327" i="34"/>
  <c r="Y327" i="34"/>
  <c r="AC327" i="34"/>
  <c r="R327" i="34"/>
  <c r="V327" i="34"/>
  <c r="Z327" i="34"/>
  <c r="S327" i="34"/>
  <c r="T291" i="34"/>
  <c r="X291" i="34"/>
  <c r="Q291" i="34"/>
  <c r="U291" i="34"/>
  <c r="Y291" i="34"/>
  <c r="AC291" i="34"/>
  <c r="R291" i="34"/>
  <c r="V291" i="34"/>
  <c r="Z291" i="34"/>
  <c r="S291" i="34"/>
  <c r="T336" i="34"/>
  <c r="X336" i="34"/>
  <c r="Q336" i="34"/>
  <c r="U336" i="34"/>
  <c r="Y336" i="34"/>
  <c r="AC336" i="34"/>
  <c r="R336" i="34"/>
  <c r="V336" i="34"/>
  <c r="Z336" i="34"/>
  <c r="S336" i="34"/>
  <c r="R370" i="34"/>
  <c r="V370" i="34"/>
  <c r="Z370" i="34"/>
  <c r="S370" i="34"/>
  <c r="T370" i="34"/>
  <c r="X370" i="34"/>
  <c r="Q370" i="34"/>
  <c r="U370" i="34"/>
  <c r="Y370" i="34"/>
  <c r="AC370" i="34"/>
  <c r="R387" i="34"/>
  <c r="V387" i="34"/>
  <c r="Z387" i="34"/>
  <c r="S387" i="34"/>
  <c r="T387" i="34"/>
  <c r="X387" i="34"/>
  <c r="Q387" i="34"/>
  <c r="U387" i="34"/>
  <c r="Y387" i="34"/>
  <c r="AC387" i="34"/>
  <c r="R413" i="34"/>
  <c r="V413" i="34"/>
  <c r="Z413" i="34"/>
  <c r="S413" i="34"/>
  <c r="T413" i="34"/>
  <c r="X413" i="34"/>
  <c r="Q413" i="34"/>
  <c r="U413" i="34"/>
  <c r="Y413" i="34"/>
  <c r="AC413" i="34"/>
  <c r="R429" i="34"/>
  <c r="V429" i="34"/>
  <c r="Z429" i="34"/>
  <c r="S429" i="34"/>
  <c r="T429" i="34"/>
  <c r="X429" i="34"/>
  <c r="Q429" i="34"/>
  <c r="U429" i="34"/>
  <c r="Y429" i="34"/>
  <c r="AC429" i="34"/>
  <c r="Q445" i="34"/>
  <c r="U445" i="34"/>
  <c r="Y445" i="34"/>
  <c r="AC445" i="34"/>
  <c r="R445" i="34"/>
  <c r="S445" i="34"/>
  <c r="X445" i="34"/>
  <c r="T445" i="34"/>
  <c r="Z445" i="34"/>
  <c r="V445" i="34"/>
  <c r="R469" i="34"/>
  <c r="V469" i="34"/>
  <c r="Z469" i="34"/>
  <c r="S469" i="34"/>
  <c r="T469" i="34"/>
  <c r="X469" i="34"/>
  <c r="Q469" i="34"/>
  <c r="U469" i="34"/>
  <c r="Y469" i="34"/>
  <c r="AC469" i="34"/>
  <c r="R489" i="34"/>
  <c r="V489" i="34"/>
  <c r="Z489" i="34"/>
  <c r="S489" i="34"/>
  <c r="T489" i="34"/>
  <c r="X489" i="34"/>
  <c r="Q489" i="34"/>
  <c r="U489" i="34"/>
  <c r="Y489" i="34"/>
  <c r="AC489" i="34"/>
  <c r="R509" i="34"/>
  <c r="S509" i="34"/>
  <c r="Q509" i="34"/>
  <c r="U509" i="34"/>
  <c r="Y509" i="34"/>
  <c r="AC509" i="34"/>
  <c r="T509" i="34"/>
  <c r="Z509" i="34"/>
  <c r="V509" i="34"/>
  <c r="X509" i="34"/>
  <c r="R195" i="34"/>
  <c r="V195" i="34"/>
  <c r="Z195" i="34"/>
  <c r="S195" i="34"/>
  <c r="T195" i="34"/>
  <c r="X195" i="34"/>
  <c r="Q195" i="34"/>
  <c r="U195" i="34"/>
  <c r="Y195" i="34"/>
  <c r="AC195" i="34"/>
  <c r="R215" i="34"/>
  <c r="V215" i="34"/>
  <c r="Z215" i="34"/>
  <c r="T215" i="34"/>
  <c r="X215" i="34"/>
  <c r="AC215" i="34"/>
  <c r="Q215" i="34"/>
  <c r="Y215" i="34"/>
  <c r="S215" i="34"/>
  <c r="U215" i="34"/>
  <c r="T230" i="34"/>
  <c r="X230" i="34"/>
  <c r="Q230" i="34"/>
  <c r="U230" i="34"/>
  <c r="Y230" i="34"/>
  <c r="AC230" i="34"/>
  <c r="R230" i="34"/>
  <c r="V230" i="34"/>
  <c r="Z230" i="34"/>
  <c r="S230" i="34"/>
  <c r="A230" i="34"/>
  <c r="R245" i="34"/>
  <c r="V245" i="34"/>
  <c r="S245" i="34"/>
  <c r="X245" i="34"/>
  <c r="T245" i="34"/>
  <c r="Y245" i="34"/>
  <c r="AC245" i="34"/>
  <c r="U245" i="34"/>
  <c r="Z245" i="34"/>
  <c r="Q245" i="34"/>
  <c r="S318" i="34"/>
  <c r="T318" i="34"/>
  <c r="X318" i="34"/>
  <c r="Q318" i="34"/>
  <c r="U318" i="34"/>
  <c r="Y318" i="34"/>
  <c r="AC318" i="34"/>
  <c r="R318" i="34"/>
  <c r="V318" i="34"/>
  <c r="Z318" i="34"/>
  <c r="Q391" i="34"/>
  <c r="U391" i="34"/>
  <c r="Y391" i="34"/>
  <c r="AC391" i="34"/>
  <c r="R391" i="34"/>
  <c r="V391" i="34"/>
  <c r="Z391" i="34"/>
  <c r="S391" i="34"/>
  <c r="T391" i="34"/>
  <c r="X391" i="34"/>
  <c r="T308" i="34"/>
  <c r="X308" i="34"/>
  <c r="Q308" i="34"/>
  <c r="U308" i="34"/>
  <c r="Y308" i="34"/>
  <c r="AC308" i="34"/>
  <c r="R308" i="34"/>
  <c r="V308" i="34"/>
  <c r="Z308" i="34"/>
  <c r="S308" i="34"/>
  <c r="T287" i="34"/>
  <c r="X287" i="34"/>
  <c r="Q287" i="34"/>
  <c r="U287" i="34"/>
  <c r="Y287" i="34"/>
  <c r="AC287" i="34"/>
  <c r="R287" i="34"/>
  <c r="V287" i="34"/>
  <c r="Z287" i="34"/>
  <c r="S287" i="34"/>
  <c r="T305" i="34"/>
  <c r="X305" i="34"/>
  <c r="Q305" i="34"/>
  <c r="U305" i="34"/>
  <c r="Y305" i="34"/>
  <c r="AC305" i="34"/>
  <c r="R305" i="34"/>
  <c r="V305" i="34"/>
  <c r="Z305" i="34"/>
  <c r="S305" i="34"/>
  <c r="T340" i="34"/>
  <c r="X340" i="34"/>
  <c r="Q340" i="34"/>
  <c r="U340" i="34"/>
  <c r="Y340" i="34"/>
  <c r="AC340" i="34"/>
  <c r="R340" i="34"/>
  <c r="V340" i="34"/>
  <c r="Z340" i="34"/>
  <c r="S340" i="34"/>
  <c r="S364" i="34"/>
  <c r="T364" i="34"/>
  <c r="X364" i="34"/>
  <c r="U364" i="34"/>
  <c r="Y364" i="34"/>
  <c r="AC364" i="34"/>
  <c r="Q364" i="34"/>
  <c r="V364" i="34"/>
  <c r="Z364" i="34"/>
  <c r="R364" i="34"/>
  <c r="R382" i="34"/>
  <c r="V382" i="34"/>
  <c r="Z382" i="34"/>
  <c r="S382" i="34"/>
  <c r="T382" i="34"/>
  <c r="X382" i="34"/>
  <c r="Q382" i="34"/>
  <c r="U382" i="34"/>
  <c r="Y382" i="34"/>
  <c r="AC382" i="34"/>
  <c r="R409" i="34"/>
  <c r="V409" i="34"/>
  <c r="Z409" i="34"/>
  <c r="S409" i="34"/>
  <c r="T409" i="34"/>
  <c r="X409" i="34"/>
  <c r="Q409" i="34"/>
  <c r="U409" i="34"/>
  <c r="Y409" i="34"/>
  <c r="AC409" i="34"/>
  <c r="R425" i="34"/>
  <c r="V425" i="34"/>
  <c r="Z425" i="34"/>
  <c r="S425" i="34"/>
  <c r="T425" i="34"/>
  <c r="X425" i="34"/>
  <c r="Q425" i="34"/>
  <c r="U425" i="34"/>
  <c r="Y425" i="34"/>
  <c r="AC425" i="34"/>
  <c r="R437" i="34"/>
  <c r="V437" i="34"/>
  <c r="Z437" i="34"/>
  <c r="S437" i="34"/>
  <c r="Q437" i="34"/>
  <c r="U437" i="34"/>
  <c r="Y437" i="34"/>
  <c r="AC437" i="34"/>
  <c r="T437" i="34"/>
  <c r="X437" i="34"/>
  <c r="R453" i="34"/>
  <c r="V453" i="34"/>
  <c r="Z453" i="34"/>
  <c r="S453" i="34"/>
  <c r="T453" i="34"/>
  <c r="X453" i="34"/>
  <c r="Q453" i="34"/>
  <c r="U453" i="34"/>
  <c r="Y453" i="34"/>
  <c r="AC453" i="34"/>
  <c r="R465" i="34"/>
  <c r="V465" i="34"/>
  <c r="Z465" i="34"/>
  <c r="S465" i="34"/>
  <c r="T465" i="34"/>
  <c r="X465" i="34"/>
  <c r="Q465" i="34"/>
  <c r="U465" i="34"/>
  <c r="Y465" i="34"/>
  <c r="AC465" i="34"/>
  <c r="R481" i="34"/>
  <c r="V481" i="34"/>
  <c r="Z481" i="34"/>
  <c r="S481" i="34"/>
  <c r="T481" i="34"/>
  <c r="X481" i="34"/>
  <c r="Q481" i="34"/>
  <c r="U481" i="34"/>
  <c r="Y481" i="34"/>
  <c r="AC481" i="34"/>
  <c r="R501" i="34"/>
  <c r="V501" i="34"/>
  <c r="Z501" i="34"/>
  <c r="S501" i="34"/>
  <c r="T501" i="34"/>
  <c r="X501" i="34"/>
  <c r="Q501" i="34"/>
  <c r="U501" i="34"/>
  <c r="Y501" i="34"/>
  <c r="AC501" i="34"/>
  <c r="T517" i="34"/>
  <c r="X517" i="34"/>
  <c r="Q517" i="34"/>
  <c r="U517" i="34"/>
  <c r="Y517" i="34"/>
  <c r="AC517" i="34"/>
  <c r="R517" i="34"/>
  <c r="V517" i="34"/>
  <c r="Z517" i="34"/>
  <c r="S517" i="34"/>
  <c r="T200" i="34"/>
  <c r="X200" i="34"/>
  <c r="Q200" i="34"/>
  <c r="U200" i="34"/>
  <c r="Y200" i="34"/>
  <c r="AC200" i="34"/>
  <c r="R200" i="34"/>
  <c r="V200" i="34"/>
  <c r="Z200" i="34"/>
  <c r="S200" i="34"/>
  <c r="R235" i="34"/>
  <c r="V235" i="34"/>
  <c r="Z235" i="34"/>
  <c r="S235" i="34"/>
  <c r="T235" i="34"/>
  <c r="X235" i="34"/>
  <c r="Q235" i="34"/>
  <c r="U235" i="34"/>
  <c r="Y235" i="34"/>
  <c r="AC235" i="34"/>
  <c r="A235" i="34"/>
  <c r="R309" i="34"/>
  <c r="V309" i="34"/>
  <c r="Z309" i="34"/>
  <c r="S309" i="34"/>
  <c r="T309" i="34"/>
  <c r="X309" i="34"/>
  <c r="Q309" i="34"/>
  <c r="U309" i="34"/>
  <c r="Y309" i="34"/>
  <c r="AC309" i="34"/>
  <c r="R280" i="34"/>
  <c r="V280" i="34"/>
  <c r="Z280" i="34"/>
  <c r="S280" i="34"/>
  <c r="T280" i="34"/>
  <c r="X280" i="34"/>
  <c r="Q280" i="34"/>
  <c r="U280" i="34"/>
  <c r="Y280" i="34"/>
  <c r="AC280" i="34"/>
  <c r="R288" i="34"/>
  <c r="V288" i="34"/>
  <c r="Z288" i="34"/>
  <c r="S288" i="34"/>
  <c r="T288" i="34"/>
  <c r="X288" i="34"/>
  <c r="Q288" i="34"/>
  <c r="U288" i="34"/>
  <c r="Y288" i="34"/>
  <c r="AC288" i="34"/>
  <c r="R296" i="34"/>
  <c r="V296" i="34"/>
  <c r="Z296" i="34"/>
  <c r="S296" i="34"/>
  <c r="T296" i="34"/>
  <c r="X296" i="34"/>
  <c r="Q296" i="34"/>
  <c r="U296" i="34"/>
  <c r="Y296" i="34"/>
  <c r="AC296" i="34"/>
  <c r="R333" i="34"/>
  <c r="V333" i="34"/>
  <c r="Z333" i="34"/>
  <c r="S333" i="34"/>
  <c r="T333" i="34"/>
  <c r="X333" i="34"/>
  <c r="Q333" i="34"/>
  <c r="U333" i="34"/>
  <c r="Y333" i="34"/>
  <c r="AC333" i="34"/>
  <c r="R341" i="34"/>
  <c r="V341" i="34"/>
  <c r="Z341" i="34"/>
  <c r="S341" i="34"/>
  <c r="T341" i="34"/>
  <c r="X341" i="34"/>
  <c r="Q341" i="34"/>
  <c r="U341" i="34"/>
  <c r="Y341" i="34"/>
  <c r="AC341" i="34"/>
  <c r="Q365" i="34"/>
  <c r="U365" i="34"/>
  <c r="Y365" i="34"/>
  <c r="AC365" i="34"/>
  <c r="S365" i="34"/>
  <c r="X365" i="34"/>
  <c r="T365" i="34"/>
  <c r="Z365" i="34"/>
  <c r="V365" i="34"/>
  <c r="R365" i="34"/>
  <c r="T371" i="34"/>
  <c r="X371" i="34"/>
  <c r="Q371" i="34"/>
  <c r="U371" i="34"/>
  <c r="Y371" i="34"/>
  <c r="AC371" i="34"/>
  <c r="R371" i="34"/>
  <c r="V371" i="34"/>
  <c r="Z371" i="34"/>
  <c r="S371" i="34"/>
  <c r="T379" i="34"/>
  <c r="X379" i="34"/>
  <c r="Q379" i="34"/>
  <c r="U379" i="34"/>
  <c r="Y379" i="34"/>
  <c r="AC379" i="34"/>
  <c r="R379" i="34"/>
  <c r="V379" i="34"/>
  <c r="Z379" i="34"/>
  <c r="S379" i="34"/>
  <c r="T388" i="34"/>
  <c r="X388" i="34"/>
  <c r="Q388" i="34"/>
  <c r="U388" i="34"/>
  <c r="Y388" i="34"/>
  <c r="AC388" i="34"/>
  <c r="R388" i="34"/>
  <c r="V388" i="34"/>
  <c r="Z388" i="34"/>
  <c r="S388" i="34"/>
  <c r="T359" i="34"/>
  <c r="X359" i="34"/>
  <c r="Q359" i="34"/>
  <c r="U359" i="34"/>
  <c r="Y359" i="34"/>
  <c r="AC359" i="34"/>
  <c r="R359" i="34"/>
  <c r="V359" i="34"/>
  <c r="Z359" i="34"/>
  <c r="S359" i="34"/>
  <c r="T414" i="34"/>
  <c r="X414" i="34"/>
  <c r="Q414" i="34"/>
  <c r="U414" i="34"/>
  <c r="Y414" i="34"/>
  <c r="AC414" i="34"/>
  <c r="R414" i="34"/>
  <c r="V414" i="34"/>
  <c r="Z414" i="34"/>
  <c r="S414" i="34"/>
  <c r="T426" i="34"/>
  <c r="X426" i="34"/>
  <c r="Q426" i="34"/>
  <c r="U426" i="34"/>
  <c r="Y426" i="34"/>
  <c r="AC426" i="34"/>
  <c r="R426" i="34"/>
  <c r="V426" i="34"/>
  <c r="Z426" i="34"/>
  <c r="S426" i="34"/>
  <c r="T434" i="34"/>
  <c r="X434" i="34"/>
  <c r="Q434" i="34"/>
  <c r="U434" i="34"/>
  <c r="Y434" i="34"/>
  <c r="AC434" i="34"/>
  <c r="R434" i="34"/>
  <c r="V434" i="34"/>
  <c r="Z434" i="34"/>
  <c r="S434" i="34"/>
  <c r="S442" i="34"/>
  <c r="Q442" i="34"/>
  <c r="V442" i="34"/>
  <c r="Z442" i="34"/>
  <c r="R442" i="34"/>
  <c r="T442" i="34"/>
  <c r="X442" i="34"/>
  <c r="U442" i="34"/>
  <c r="Y442" i="34"/>
  <c r="AC442" i="34"/>
  <c r="T454" i="34"/>
  <c r="X454" i="34"/>
  <c r="Q454" i="34"/>
  <c r="U454" i="34"/>
  <c r="Y454" i="34"/>
  <c r="AC454" i="34"/>
  <c r="R454" i="34"/>
  <c r="V454" i="34"/>
  <c r="Z454" i="34"/>
  <c r="S454" i="34"/>
  <c r="T462" i="34"/>
  <c r="X462" i="34"/>
  <c r="Q462" i="34"/>
  <c r="U462" i="34"/>
  <c r="Y462" i="34"/>
  <c r="AC462" i="34"/>
  <c r="R462" i="34"/>
  <c r="V462" i="34"/>
  <c r="Z462" i="34"/>
  <c r="S462" i="34"/>
  <c r="T470" i="34"/>
  <c r="X470" i="34"/>
  <c r="Q470" i="34"/>
  <c r="U470" i="34"/>
  <c r="Y470" i="34"/>
  <c r="AC470" i="34"/>
  <c r="R470" i="34"/>
  <c r="V470" i="34"/>
  <c r="Z470" i="34"/>
  <c r="S470" i="34"/>
  <c r="T478" i="34"/>
  <c r="X478" i="34"/>
  <c r="Q478" i="34"/>
  <c r="U478" i="34"/>
  <c r="Y478" i="34"/>
  <c r="AC478" i="34"/>
  <c r="R478" i="34"/>
  <c r="V478" i="34"/>
  <c r="Z478" i="34"/>
  <c r="S478" i="34"/>
  <c r="T490" i="34"/>
  <c r="X490" i="34"/>
  <c r="Q490" i="34"/>
  <c r="U490" i="34"/>
  <c r="Y490" i="34"/>
  <c r="AC490" i="34"/>
  <c r="R490" i="34"/>
  <c r="V490" i="34"/>
  <c r="Z490" i="34"/>
  <c r="S490" i="34"/>
  <c r="T498" i="34"/>
  <c r="X498" i="34"/>
  <c r="Q498" i="34"/>
  <c r="U498" i="34"/>
  <c r="Y498" i="34"/>
  <c r="AC498" i="34"/>
  <c r="R498" i="34"/>
  <c r="V498" i="34"/>
  <c r="Z498" i="34"/>
  <c r="S498" i="34"/>
  <c r="T506" i="34"/>
  <c r="X506" i="34"/>
  <c r="Q506" i="34"/>
  <c r="U506" i="34"/>
  <c r="Y506" i="34"/>
  <c r="AC506" i="34"/>
  <c r="S506" i="34"/>
  <c r="R506" i="34"/>
  <c r="V506" i="34"/>
  <c r="Z506" i="34"/>
  <c r="S514" i="34"/>
  <c r="U514" i="34"/>
  <c r="Y514" i="34"/>
  <c r="AC514" i="34"/>
  <c r="Q514" i="34"/>
  <c r="V514" i="34"/>
  <c r="Z514" i="34"/>
  <c r="R514" i="34"/>
  <c r="T514" i="34"/>
  <c r="X514" i="34"/>
  <c r="R522" i="34"/>
  <c r="V522" i="34"/>
  <c r="Z522" i="34"/>
  <c r="S522" i="34"/>
  <c r="T522" i="34"/>
  <c r="X522" i="34"/>
  <c r="Q522" i="34"/>
  <c r="U522" i="34"/>
  <c r="Y522" i="34"/>
  <c r="AC522" i="34"/>
  <c r="R199" i="34"/>
  <c r="V199" i="34"/>
  <c r="Z199" i="34"/>
  <c r="S199" i="34"/>
  <c r="T199" i="34"/>
  <c r="X199" i="34"/>
  <c r="Q199" i="34"/>
  <c r="U199" i="34"/>
  <c r="Y199" i="34"/>
  <c r="AC199" i="34"/>
  <c r="T224" i="34"/>
  <c r="X224" i="34"/>
  <c r="Q224" i="34"/>
  <c r="U224" i="34"/>
  <c r="Y224" i="34"/>
  <c r="AC224" i="34"/>
  <c r="R224" i="34"/>
  <c r="V224" i="34"/>
  <c r="Z224" i="34"/>
  <c r="S224" i="34"/>
  <c r="R260" i="34"/>
  <c r="V260" i="34"/>
  <c r="Z260" i="34"/>
  <c r="S260" i="34"/>
  <c r="T260" i="34"/>
  <c r="X260" i="34"/>
  <c r="Q260" i="34"/>
  <c r="U260" i="34"/>
  <c r="Y260" i="34"/>
  <c r="AC260" i="34"/>
  <c r="T269" i="34"/>
  <c r="X269" i="34"/>
  <c r="S269" i="34"/>
  <c r="U269" i="34"/>
  <c r="Z269" i="34"/>
  <c r="V269" i="34"/>
  <c r="Q269" i="34"/>
  <c r="R269" i="34"/>
  <c r="Y269" i="34"/>
  <c r="AC269" i="34"/>
  <c r="S351" i="34"/>
  <c r="T351" i="34"/>
  <c r="X351" i="34"/>
  <c r="Q351" i="34"/>
  <c r="U351" i="34"/>
  <c r="Y351" i="34"/>
  <c r="AC351" i="34"/>
  <c r="R351" i="34"/>
  <c r="V351" i="34"/>
  <c r="Z351" i="34"/>
  <c r="T401" i="34"/>
  <c r="X401" i="34"/>
  <c r="U401" i="34"/>
  <c r="Z401" i="34"/>
  <c r="Q401" i="34"/>
  <c r="V401" i="34"/>
  <c r="R401" i="34"/>
  <c r="S401" i="34"/>
  <c r="Y401" i="34"/>
  <c r="AC401" i="34"/>
  <c r="T354" i="34"/>
  <c r="X354" i="34"/>
  <c r="Q354" i="34"/>
  <c r="U354" i="34"/>
  <c r="Y354" i="34"/>
  <c r="AC354" i="34"/>
  <c r="R354" i="34"/>
  <c r="V354" i="34"/>
  <c r="Z354" i="34"/>
  <c r="S354" i="34"/>
  <c r="T295" i="34"/>
  <c r="X295" i="34"/>
  <c r="Q295" i="34"/>
  <c r="U295" i="34"/>
  <c r="Y295" i="34"/>
  <c r="AC295" i="34"/>
  <c r="R295" i="34"/>
  <c r="V295" i="34"/>
  <c r="Z295" i="34"/>
  <c r="S295" i="34"/>
  <c r="T332" i="34"/>
  <c r="X332" i="34"/>
  <c r="Q332" i="34"/>
  <c r="U332" i="34"/>
  <c r="Y332" i="34"/>
  <c r="AC332" i="34"/>
  <c r="R332" i="34"/>
  <c r="V332" i="34"/>
  <c r="Z332" i="34"/>
  <c r="S332" i="34"/>
  <c r="T355" i="34"/>
  <c r="X355" i="34"/>
  <c r="Q355" i="34"/>
  <c r="U355" i="34"/>
  <c r="Y355" i="34"/>
  <c r="AC355" i="34"/>
  <c r="S355" i="34"/>
  <c r="Z355" i="34"/>
  <c r="R355" i="34"/>
  <c r="V355" i="34"/>
  <c r="R374" i="34"/>
  <c r="V374" i="34"/>
  <c r="Z374" i="34"/>
  <c r="S374" i="34"/>
  <c r="T374" i="34"/>
  <c r="X374" i="34"/>
  <c r="Q374" i="34"/>
  <c r="U374" i="34"/>
  <c r="Y374" i="34"/>
  <c r="AC374" i="34"/>
  <c r="R342" i="34"/>
  <c r="V342" i="34"/>
  <c r="Z342" i="34"/>
  <c r="S342" i="34"/>
  <c r="T342" i="34"/>
  <c r="X342" i="34"/>
  <c r="Q342" i="34"/>
  <c r="U342" i="34"/>
  <c r="Y342" i="34"/>
  <c r="AC342" i="34"/>
  <c r="R421" i="34"/>
  <c r="V421" i="34"/>
  <c r="Z421" i="34"/>
  <c r="S421" i="34"/>
  <c r="T421" i="34"/>
  <c r="X421" i="34"/>
  <c r="Q421" i="34"/>
  <c r="U421" i="34"/>
  <c r="Y421" i="34"/>
  <c r="AC421" i="34"/>
  <c r="Q441" i="34"/>
  <c r="U441" i="34"/>
  <c r="Y441" i="34"/>
  <c r="AC441" i="34"/>
  <c r="T441" i="34"/>
  <c r="Z441" i="34"/>
  <c r="V441" i="34"/>
  <c r="R441" i="34"/>
  <c r="S441" i="34"/>
  <c r="X441" i="34"/>
  <c r="R461" i="34"/>
  <c r="V461" i="34"/>
  <c r="Z461" i="34"/>
  <c r="S461" i="34"/>
  <c r="T461" i="34"/>
  <c r="X461" i="34"/>
  <c r="Q461" i="34"/>
  <c r="U461" i="34"/>
  <c r="Y461" i="34"/>
  <c r="AC461" i="34"/>
  <c r="R477" i="34"/>
  <c r="V477" i="34"/>
  <c r="Z477" i="34"/>
  <c r="S477" i="34"/>
  <c r="T477" i="34"/>
  <c r="X477" i="34"/>
  <c r="Q477" i="34"/>
  <c r="U477" i="34"/>
  <c r="Y477" i="34"/>
  <c r="AC477" i="34"/>
  <c r="R493" i="34"/>
  <c r="V493" i="34"/>
  <c r="Z493" i="34"/>
  <c r="S493" i="34"/>
  <c r="T493" i="34"/>
  <c r="X493" i="34"/>
  <c r="Q493" i="34"/>
  <c r="U493" i="34"/>
  <c r="Y493" i="34"/>
  <c r="AC493" i="34"/>
  <c r="R505" i="34"/>
  <c r="V505" i="34"/>
  <c r="Z505" i="34"/>
  <c r="S505" i="34"/>
  <c r="Q505" i="34"/>
  <c r="U505" i="34"/>
  <c r="Y505" i="34"/>
  <c r="AC505" i="34"/>
  <c r="X505" i="34"/>
  <c r="T505" i="34"/>
  <c r="T521" i="34"/>
  <c r="Q521" i="34"/>
  <c r="U521" i="34"/>
  <c r="Y521" i="34"/>
  <c r="AC521" i="34"/>
  <c r="R521" i="34"/>
  <c r="V521" i="34"/>
  <c r="Z521" i="34"/>
  <c r="S521" i="34"/>
  <c r="X521" i="34"/>
  <c r="T192" i="34"/>
  <c r="X192" i="34"/>
  <c r="Q192" i="34"/>
  <c r="U192" i="34"/>
  <c r="Y192" i="34"/>
  <c r="AC192" i="34"/>
  <c r="R192" i="34"/>
  <c r="V192" i="34"/>
  <c r="Z192" i="34"/>
  <c r="S192" i="34"/>
  <c r="T196" i="34"/>
  <c r="X196" i="34"/>
  <c r="Q196" i="34"/>
  <c r="U196" i="34"/>
  <c r="Y196" i="34"/>
  <c r="AC196" i="34"/>
  <c r="R196" i="34"/>
  <c r="V196" i="34"/>
  <c r="Z196" i="34"/>
  <c r="S196" i="34"/>
  <c r="T204" i="34"/>
  <c r="X204" i="34"/>
  <c r="Q204" i="34"/>
  <c r="U204" i="34"/>
  <c r="Y204" i="34"/>
  <c r="AC204" i="34"/>
  <c r="R204" i="34"/>
  <c r="V204" i="34"/>
  <c r="Z204" i="34"/>
  <c r="S204" i="34"/>
  <c r="T208" i="34"/>
  <c r="X208" i="34"/>
  <c r="Q208" i="34"/>
  <c r="U208" i="34"/>
  <c r="Y208" i="34"/>
  <c r="AC208" i="34"/>
  <c r="R208" i="34"/>
  <c r="V208" i="34"/>
  <c r="Z208" i="34"/>
  <c r="S208" i="34"/>
  <c r="R217" i="34"/>
  <c r="V217" i="34"/>
  <c r="Z217" i="34"/>
  <c r="T217" i="34"/>
  <c r="X217" i="34"/>
  <c r="AC217" i="34"/>
  <c r="Q217" i="34"/>
  <c r="Y217" i="34"/>
  <c r="S217" i="34"/>
  <c r="U217" i="34"/>
  <c r="R221" i="34"/>
  <c r="V221" i="34"/>
  <c r="Z221" i="34"/>
  <c r="S221" i="34"/>
  <c r="T221" i="34"/>
  <c r="X221" i="34"/>
  <c r="Q221" i="34"/>
  <c r="U221" i="34"/>
  <c r="Y221" i="34"/>
  <c r="AC221" i="34"/>
  <c r="T226" i="34"/>
  <c r="X226" i="34"/>
  <c r="Q226" i="34"/>
  <c r="U226" i="34"/>
  <c r="Y226" i="34"/>
  <c r="AC226" i="34"/>
  <c r="R226" i="34"/>
  <c r="V226" i="34"/>
  <c r="Z226" i="34"/>
  <c r="S226" i="34"/>
  <c r="R231" i="34"/>
  <c r="V231" i="34"/>
  <c r="Z231" i="34"/>
  <c r="S231" i="34"/>
  <c r="T231" i="34"/>
  <c r="X231" i="34"/>
  <c r="Q231" i="34"/>
  <c r="U231" i="34"/>
  <c r="Y231" i="34"/>
  <c r="AC231" i="34"/>
  <c r="A231" i="34"/>
  <c r="R239" i="34"/>
  <c r="V239" i="34"/>
  <c r="Z239" i="34"/>
  <c r="S239" i="34"/>
  <c r="T239" i="34"/>
  <c r="X239" i="34"/>
  <c r="Q239" i="34"/>
  <c r="U239" i="34"/>
  <c r="Y239" i="34"/>
  <c r="AC239" i="34"/>
  <c r="A239" i="34"/>
  <c r="R264" i="34"/>
  <c r="V264" i="34"/>
  <c r="Z264" i="34"/>
  <c r="S264" i="34"/>
  <c r="T264" i="34"/>
  <c r="X264" i="34"/>
  <c r="Q264" i="34"/>
  <c r="U264" i="34"/>
  <c r="Y264" i="34"/>
  <c r="AC264" i="34"/>
  <c r="R250" i="34"/>
  <c r="V250" i="34"/>
  <c r="Z250" i="34"/>
  <c r="S250" i="34"/>
  <c r="T250" i="34"/>
  <c r="X250" i="34"/>
  <c r="Q250" i="34"/>
  <c r="U250" i="34"/>
  <c r="Y250" i="34"/>
  <c r="AC250" i="34"/>
  <c r="R254" i="34"/>
  <c r="V254" i="34"/>
  <c r="Z254" i="34"/>
  <c r="S254" i="34"/>
  <c r="T254" i="34"/>
  <c r="X254" i="34"/>
  <c r="Q254" i="34"/>
  <c r="U254" i="34"/>
  <c r="Y254" i="34"/>
  <c r="AC254" i="34"/>
  <c r="R266" i="34"/>
  <c r="V266" i="34"/>
  <c r="Z266" i="34"/>
  <c r="S266" i="34"/>
  <c r="T266" i="34"/>
  <c r="X266" i="34"/>
  <c r="Q266" i="34"/>
  <c r="U266" i="34"/>
  <c r="Y266" i="34"/>
  <c r="AC266" i="34"/>
  <c r="R270" i="34"/>
  <c r="V270" i="34"/>
  <c r="Z270" i="34"/>
  <c r="Q270" i="34"/>
  <c r="U270" i="34"/>
  <c r="Y270" i="34"/>
  <c r="AC270" i="34"/>
  <c r="X270" i="34"/>
  <c r="S270" i="34"/>
  <c r="T270" i="34"/>
  <c r="Q298" i="34"/>
  <c r="U298" i="34"/>
  <c r="Y298" i="34"/>
  <c r="AC298" i="34"/>
  <c r="S298" i="34"/>
  <c r="X298" i="34"/>
  <c r="T298" i="34"/>
  <c r="Z298" i="34"/>
  <c r="V298" i="34"/>
  <c r="R298" i="34"/>
  <c r="Q319" i="34"/>
  <c r="U319" i="34"/>
  <c r="Y319" i="34"/>
  <c r="AC319" i="34"/>
  <c r="R319" i="34"/>
  <c r="V319" i="34"/>
  <c r="Z319" i="34"/>
  <c r="S319" i="34"/>
  <c r="T319" i="34"/>
  <c r="X319" i="34"/>
  <c r="S320" i="34"/>
  <c r="T320" i="34"/>
  <c r="X320" i="34"/>
  <c r="Q320" i="34"/>
  <c r="U320" i="34"/>
  <c r="Y320" i="34"/>
  <c r="AC320" i="34"/>
  <c r="R320" i="34"/>
  <c r="V320" i="34"/>
  <c r="Z320" i="34"/>
  <c r="Q352" i="34"/>
  <c r="U352" i="34"/>
  <c r="Y352" i="34"/>
  <c r="AC352" i="34"/>
  <c r="R352" i="34"/>
  <c r="V352" i="34"/>
  <c r="Z352" i="34"/>
  <c r="S352" i="34"/>
  <c r="T352" i="34"/>
  <c r="X352" i="34"/>
  <c r="S346" i="34"/>
  <c r="T346" i="34"/>
  <c r="X346" i="34"/>
  <c r="Q346" i="34"/>
  <c r="U346" i="34"/>
  <c r="Y346" i="34"/>
  <c r="AC346" i="34"/>
  <c r="R346" i="34"/>
  <c r="V346" i="34"/>
  <c r="Z346" i="34"/>
  <c r="Q345" i="34"/>
  <c r="U345" i="34"/>
  <c r="Y345" i="34"/>
  <c r="AC345" i="34"/>
  <c r="R345" i="34"/>
  <c r="V345" i="34"/>
  <c r="Z345" i="34"/>
  <c r="S345" i="34"/>
  <c r="T345" i="34"/>
  <c r="X345" i="34"/>
  <c r="S392" i="34"/>
  <c r="T392" i="34"/>
  <c r="X392" i="34"/>
  <c r="Q392" i="34"/>
  <c r="U392" i="34"/>
  <c r="Y392" i="34"/>
  <c r="AC392" i="34"/>
  <c r="R392" i="34"/>
  <c r="V392" i="34"/>
  <c r="Z392" i="34"/>
  <c r="S398" i="34"/>
  <c r="Q398" i="34"/>
  <c r="U398" i="34"/>
  <c r="Y398" i="34"/>
  <c r="AC398" i="34"/>
  <c r="R398" i="34"/>
  <c r="V398" i="34"/>
  <c r="Z398" i="34"/>
  <c r="X398" i="34"/>
  <c r="T398" i="34"/>
  <c r="R402" i="34"/>
  <c r="V402" i="34"/>
  <c r="Z402" i="34"/>
  <c r="U402" i="34"/>
  <c r="Q402" i="34"/>
  <c r="S402" i="34"/>
  <c r="X402" i="34"/>
  <c r="AC402" i="34"/>
  <c r="T402" i="34"/>
  <c r="Y402" i="34"/>
  <c r="R278" i="34"/>
  <c r="V278" i="34"/>
  <c r="Z278" i="34"/>
  <c r="S278" i="34"/>
  <c r="T278" i="34"/>
  <c r="X278" i="34"/>
  <c r="Q278" i="34"/>
  <c r="U278" i="34"/>
  <c r="Y278" i="34"/>
  <c r="AC278" i="34"/>
  <c r="R328" i="34"/>
  <c r="V328" i="34"/>
  <c r="Z328" i="34"/>
  <c r="S328" i="34"/>
  <c r="T328" i="34"/>
  <c r="X328" i="34"/>
  <c r="Q328" i="34"/>
  <c r="U328" i="34"/>
  <c r="Y328" i="34"/>
  <c r="AC328" i="34"/>
  <c r="R284" i="34"/>
  <c r="V284" i="34"/>
  <c r="Z284" i="34"/>
  <c r="S284" i="34"/>
  <c r="T284" i="34"/>
  <c r="X284" i="34"/>
  <c r="Q284" i="34"/>
  <c r="U284" i="34"/>
  <c r="Y284" i="34"/>
  <c r="AC284" i="34"/>
  <c r="R292" i="34"/>
  <c r="V292" i="34"/>
  <c r="Z292" i="34"/>
  <c r="S292" i="34"/>
  <c r="T292" i="34"/>
  <c r="X292" i="34"/>
  <c r="Q292" i="34"/>
  <c r="U292" i="34"/>
  <c r="Y292" i="34"/>
  <c r="AC292" i="34"/>
  <c r="R306" i="34"/>
  <c r="V306" i="34"/>
  <c r="Z306" i="34"/>
  <c r="S306" i="34"/>
  <c r="T306" i="34"/>
  <c r="X306" i="34"/>
  <c r="Q306" i="34"/>
  <c r="U306" i="34"/>
  <c r="Y306" i="34"/>
  <c r="AC306" i="34"/>
  <c r="R324" i="34"/>
  <c r="V324" i="34"/>
  <c r="Z324" i="34"/>
  <c r="S324" i="34"/>
  <c r="T324" i="34"/>
  <c r="X324" i="34"/>
  <c r="Q324" i="34"/>
  <c r="U324" i="34"/>
  <c r="Y324" i="34"/>
  <c r="AC324" i="34"/>
  <c r="R337" i="34"/>
  <c r="V337" i="34"/>
  <c r="Z337" i="34"/>
  <c r="S337" i="34"/>
  <c r="T337" i="34"/>
  <c r="X337" i="34"/>
  <c r="Q337" i="34"/>
  <c r="U337" i="34"/>
  <c r="Y337" i="34"/>
  <c r="AC337" i="34"/>
  <c r="R356" i="34"/>
  <c r="V356" i="34"/>
  <c r="S356" i="34"/>
  <c r="Q356" i="34"/>
  <c r="U356" i="34"/>
  <c r="Y356" i="34"/>
  <c r="AC356" i="34"/>
  <c r="Z356" i="34"/>
  <c r="T356" i="34"/>
  <c r="X356" i="34"/>
  <c r="Q369" i="34"/>
  <c r="U369" i="34"/>
  <c r="Y369" i="34"/>
  <c r="AC369" i="34"/>
  <c r="V369" i="34"/>
  <c r="R369" i="34"/>
  <c r="S369" i="34"/>
  <c r="X369" i="34"/>
  <c r="T369" i="34"/>
  <c r="Z369" i="34"/>
  <c r="T375" i="34"/>
  <c r="X375" i="34"/>
  <c r="Q375" i="34"/>
  <c r="U375" i="34"/>
  <c r="Y375" i="34"/>
  <c r="AC375" i="34"/>
  <c r="R375" i="34"/>
  <c r="V375" i="34"/>
  <c r="Z375" i="34"/>
  <c r="S375" i="34"/>
  <c r="T384" i="34"/>
  <c r="X384" i="34"/>
  <c r="Q384" i="34"/>
  <c r="U384" i="34"/>
  <c r="Y384" i="34"/>
  <c r="AC384" i="34"/>
  <c r="R384" i="34"/>
  <c r="V384" i="34"/>
  <c r="Z384" i="34"/>
  <c r="S384" i="34"/>
  <c r="T343" i="34"/>
  <c r="X343" i="34"/>
  <c r="Q343" i="34"/>
  <c r="U343" i="34"/>
  <c r="Y343" i="34"/>
  <c r="AC343" i="34"/>
  <c r="R343" i="34"/>
  <c r="V343" i="34"/>
  <c r="Z343" i="34"/>
  <c r="S343" i="34"/>
  <c r="T410" i="34"/>
  <c r="X410" i="34"/>
  <c r="Q410" i="34"/>
  <c r="U410" i="34"/>
  <c r="Y410" i="34"/>
  <c r="AC410" i="34"/>
  <c r="R410" i="34"/>
  <c r="V410" i="34"/>
  <c r="Z410" i="34"/>
  <c r="S410" i="34"/>
  <c r="T418" i="34"/>
  <c r="X418" i="34"/>
  <c r="Q418" i="34"/>
  <c r="U418" i="34"/>
  <c r="Y418" i="34"/>
  <c r="AC418" i="34"/>
  <c r="R418" i="34"/>
  <c r="V418" i="34"/>
  <c r="Z418" i="34"/>
  <c r="S418" i="34"/>
  <c r="T422" i="34"/>
  <c r="X422" i="34"/>
  <c r="Q422" i="34"/>
  <c r="U422" i="34"/>
  <c r="Y422" i="34"/>
  <c r="AC422" i="34"/>
  <c r="R422" i="34"/>
  <c r="V422" i="34"/>
  <c r="Z422" i="34"/>
  <c r="S422" i="34"/>
  <c r="T430" i="34"/>
  <c r="X430" i="34"/>
  <c r="Q430" i="34"/>
  <c r="U430" i="34"/>
  <c r="Y430" i="34"/>
  <c r="AC430" i="34"/>
  <c r="R430" i="34"/>
  <c r="V430" i="34"/>
  <c r="Z430" i="34"/>
  <c r="S430" i="34"/>
  <c r="T438" i="34"/>
  <c r="X438" i="34"/>
  <c r="Q438" i="34"/>
  <c r="U438" i="34"/>
  <c r="Y438" i="34"/>
  <c r="AC438" i="34"/>
  <c r="S438" i="34"/>
  <c r="Z438" i="34"/>
  <c r="R438" i="34"/>
  <c r="V438" i="34"/>
  <c r="S446" i="34"/>
  <c r="T446" i="34"/>
  <c r="X446" i="34"/>
  <c r="U446" i="34"/>
  <c r="Y446" i="34"/>
  <c r="AC446" i="34"/>
  <c r="Q446" i="34"/>
  <c r="V446" i="34"/>
  <c r="Z446" i="34"/>
  <c r="R446" i="34"/>
  <c r="T450" i="34"/>
  <c r="X450" i="34"/>
  <c r="Q450" i="34"/>
  <c r="U450" i="34"/>
  <c r="Y450" i="34"/>
  <c r="AC450" i="34"/>
  <c r="R450" i="34"/>
  <c r="V450" i="34"/>
  <c r="Z450" i="34"/>
  <c r="S450" i="34"/>
  <c r="T458" i="34"/>
  <c r="X458" i="34"/>
  <c r="Q458" i="34"/>
  <c r="U458" i="34"/>
  <c r="Y458" i="34"/>
  <c r="AC458" i="34"/>
  <c r="R458" i="34"/>
  <c r="V458" i="34"/>
  <c r="Z458" i="34"/>
  <c r="S458" i="34"/>
  <c r="T466" i="34"/>
  <c r="X466" i="34"/>
  <c r="Q466" i="34"/>
  <c r="U466" i="34"/>
  <c r="Y466" i="34"/>
  <c r="AC466" i="34"/>
  <c r="R466" i="34"/>
  <c r="V466" i="34"/>
  <c r="Z466" i="34"/>
  <c r="S466" i="34"/>
  <c r="T474" i="34"/>
  <c r="X474" i="34"/>
  <c r="Q474" i="34"/>
  <c r="U474" i="34"/>
  <c r="Y474" i="34"/>
  <c r="AC474" i="34"/>
  <c r="R474" i="34"/>
  <c r="V474" i="34"/>
  <c r="Z474" i="34"/>
  <c r="S474" i="34"/>
  <c r="T482" i="34"/>
  <c r="X482" i="34"/>
  <c r="Q482" i="34"/>
  <c r="U482" i="34"/>
  <c r="Y482" i="34"/>
  <c r="AC482" i="34"/>
  <c r="R482" i="34"/>
  <c r="V482" i="34"/>
  <c r="Z482" i="34"/>
  <c r="S482" i="34"/>
  <c r="T486" i="34"/>
  <c r="X486" i="34"/>
  <c r="Q486" i="34"/>
  <c r="U486" i="34"/>
  <c r="Y486" i="34"/>
  <c r="AC486" i="34"/>
  <c r="R486" i="34"/>
  <c r="V486" i="34"/>
  <c r="Z486" i="34"/>
  <c r="S486" i="34"/>
  <c r="T494" i="34"/>
  <c r="X494" i="34"/>
  <c r="Q494" i="34"/>
  <c r="U494" i="34"/>
  <c r="Y494" i="34"/>
  <c r="AC494" i="34"/>
  <c r="R494" i="34"/>
  <c r="V494" i="34"/>
  <c r="Z494" i="34"/>
  <c r="S494" i="34"/>
  <c r="T502" i="34"/>
  <c r="X502" i="34"/>
  <c r="Q502" i="34"/>
  <c r="U502" i="34"/>
  <c r="Y502" i="34"/>
  <c r="AC502" i="34"/>
  <c r="R502" i="34"/>
  <c r="V502" i="34"/>
  <c r="Z502" i="34"/>
  <c r="S502" i="34"/>
  <c r="Q510" i="34"/>
  <c r="U510" i="34"/>
  <c r="Y510" i="34"/>
  <c r="AC510" i="34"/>
  <c r="S510" i="34"/>
  <c r="R510" i="34"/>
  <c r="X510" i="34"/>
  <c r="T510" i="34"/>
  <c r="Z510" i="34"/>
  <c r="V510" i="34"/>
  <c r="R518" i="34"/>
  <c r="V518" i="34"/>
  <c r="Z518" i="34"/>
  <c r="S518" i="34"/>
  <c r="T518" i="34"/>
  <c r="X518" i="34"/>
  <c r="Q518" i="34"/>
  <c r="U518" i="34"/>
  <c r="Y518" i="34"/>
  <c r="AC518" i="34"/>
  <c r="R193" i="34"/>
  <c r="V193" i="34"/>
  <c r="Z193" i="34"/>
  <c r="S193" i="34"/>
  <c r="T193" i="34"/>
  <c r="X193" i="34"/>
  <c r="Q193" i="34"/>
  <c r="U193" i="34"/>
  <c r="Y193" i="34"/>
  <c r="AC193" i="34"/>
  <c r="R197" i="34"/>
  <c r="V197" i="34"/>
  <c r="Z197" i="34"/>
  <c r="S197" i="34"/>
  <c r="T197" i="34"/>
  <c r="X197" i="34"/>
  <c r="Q197" i="34"/>
  <c r="U197" i="34"/>
  <c r="Y197" i="34"/>
  <c r="AC197" i="34"/>
  <c r="R201" i="34"/>
  <c r="V201" i="34"/>
  <c r="Z201" i="34"/>
  <c r="S201" i="34"/>
  <c r="T201" i="34"/>
  <c r="X201" i="34"/>
  <c r="Q201" i="34"/>
  <c r="U201" i="34"/>
  <c r="Y201" i="34"/>
  <c r="AC201" i="34"/>
  <c r="R205" i="34"/>
  <c r="V205" i="34"/>
  <c r="Z205" i="34"/>
  <c r="S205" i="34"/>
  <c r="T205" i="34"/>
  <c r="X205" i="34"/>
  <c r="Q205" i="34"/>
  <c r="U205" i="34"/>
  <c r="Y205" i="34"/>
  <c r="AC205" i="34"/>
  <c r="R209" i="34"/>
  <c r="V209" i="34"/>
  <c r="Z209" i="34"/>
  <c r="S209" i="34"/>
  <c r="T209" i="34"/>
  <c r="X209" i="34"/>
  <c r="Q209" i="34"/>
  <c r="U209" i="34"/>
  <c r="Y209" i="34"/>
  <c r="AC209" i="34"/>
  <c r="R218" i="34"/>
  <c r="T218" i="34"/>
  <c r="X218" i="34"/>
  <c r="U218" i="34"/>
  <c r="Y218" i="34"/>
  <c r="AC218" i="34"/>
  <c r="Q218" i="34"/>
  <c r="V218" i="34"/>
  <c r="Z218" i="34"/>
  <c r="S218" i="34"/>
  <c r="T222" i="34"/>
  <c r="X222" i="34"/>
  <c r="Q222" i="34"/>
  <c r="U222" i="34"/>
  <c r="Y222" i="34"/>
  <c r="AC222" i="34"/>
  <c r="R222" i="34"/>
  <c r="V222" i="34"/>
  <c r="Z222" i="34"/>
  <c r="S222" i="34"/>
  <c r="R227" i="34"/>
  <c r="V227" i="34"/>
  <c r="Z227" i="34"/>
  <c r="S227" i="34"/>
  <c r="T227" i="34"/>
  <c r="X227" i="34"/>
  <c r="Q227" i="34"/>
  <c r="U227" i="34"/>
  <c r="Y227" i="34"/>
  <c r="AC227" i="34"/>
  <c r="A227" i="34"/>
  <c r="T232" i="34"/>
  <c r="X232" i="34"/>
  <c r="Q232" i="34"/>
  <c r="U232" i="34"/>
  <c r="Y232" i="34"/>
  <c r="AC232" i="34"/>
  <c r="R232" i="34"/>
  <c r="V232" i="34"/>
  <c r="Z232" i="34"/>
  <c r="S232" i="34"/>
  <c r="A232" i="34"/>
  <c r="T236" i="34"/>
  <c r="X236" i="34"/>
  <c r="Q236" i="34"/>
  <c r="U236" i="34"/>
  <c r="Y236" i="34"/>
  <c r="AC236" i="34"/>
  <c r="R236" i="34"/>
  <c r="V236" i="34"/>
  <c r="Z236" i="34"/>
  <c r="S236" i="34"/>
  <c r="A236" i="34"/>
  <c r="T240" i="34"/>
  <c r="X240" i="34"/>
  <c r="Q240" i="34"/>
  <c r="U240" i="34"/>
  <c r="Y240" i="34"/>
  <c r="AC240" i="34"/>
  <c r="R240" i="34"/>
  <c r="V240" i="34"/>
  <c r="Z240" i="34"/>
  <c r="S240" i="34"/>
  <c r="A240" i="34"/>
  <c r="T265" i="34"/>
  <c r="X265" i="34"/>
  <c r="Q265" i="34"/>
  <c r="U265" i="34"/>
  <c r="Y265" i="34"/>
  <c r="AC265" i="34"/>
  <c r="R265" i="34"/>
  <c r="V265" i="34"/>
  <c r="Z265" i="34"/>
  <c r="S265" i="34"/>
  <c r="T251" i="34"/>
  <c r="X251" i="34"/>
  <c r="Q251" i="34"/>
  <c r="U251" i="34"/>
  <c r="Y251" i="34"/>
  <c r="AC251" i="34"/>
  <c r="R251" i="34"/>
  <c r="V251" i="34"/>
  <c r="Z251" i="34"/>
  <c r="S251" i="34"/>
  <c r="T255" i="34"/>
  <c r="X255" i="34"/>
  <c r="Q255" i="34"/>
  <c r="U255" i="34"/>
  <c r="Y255" i="34"/>
  <c r="AC255" i="34"/>
  <c r="R255" i="34"/>
  <c r="V255" i="34"/>
  <c r="Z255" i="34"/>
  <c r="S255" i="34"/>
  <c r="T267" i="34"/>
  <c r="X267" i="34"/>
  <c r="Q267" i="34"/>
  <c r="U267" i="34"/>
  <c r="Y267" i="34"/>
  <c r="AC267" i="34"/>
  <c r="R267" i="34"/>
  <c r="V267" i="34"/>
  <c r="Z267" i="34"/>
  <c r="S267" i="34"/>
  <c r="T271" i="34"/>
  <c r="X271" i="34"/>
  <c r="S271" i="34"/>
  <c r="R271" i="34"/>
  <c r="Y271" i="34"/>
  <c r="AC271" i="34"/>
  <c r="U271" i="34"/>
  <c r="Z271" i="34"/>
  <c r="V271" i="34"/>
  <c r="Q271" i="34"/>
  <c r="Q301" i="34"/>
  <c r="U301" i="34"/>
  <c r="Y301" i="34"/>
  <c r="AC301" i="34"/>
  <c r="R301" i="34"/>
  <c r="V301" i="34"/>
  <c r="Z301" i="34"/>
  <c r="S301" i="34"/>
  <c r="T301" i="34"/>
  <c r="X301" i="34"/>
  <c r="Q299" i="34"/>
  <c r="U299" i="34"/>
  <c r="Y299" i="34"/>
  <c r="AC299" i="34"/>
  <c r="R299" i="34"/>
  <c r="V299" i="34"/>
  <c r="Z299" i="34"/>
  <c r="S299" i="34"/>
  <c r="T299" i="34"/>
  <c r="X299" i="34"/>
  <c r="Q321" i="34"/>
  <c r="U321" i="34"/>
  <c r="Y321" i="34"/>
  <c r="AC321" i="34"/>
  <c r="R321" i="34"/>
  <c r="V321" i="34"/>
  <c r="Z321" i="34"/>
  <c r="S321" i="34"/>
  <c r="T321" i="34"/>
  <c r="X321" i="34"/>
  <c r="S353" i="34"/>
  <c r="T353" i="34"/>
  <c r="X353" i="34"/>
  <c r="Q353" i="34"/>
  <c r="U353" i="34"/>
  <c r="Y353" i="34"/>
  <c r="AC353" i="34"/>
  <c r="R353" i="34"/>
  <c r="V353" i="34"/>
  <c r="Z353" i="34"/>
  <c r="S325" i="34"/>
  <c r="T325" i="34"/>
  <c r="X325" i="34"/>
  <c r="Q325" i="34"/>
  <c r="U325" i="34"/>
  <c r="Y325" i="34"/>
  <c r="AC325" i="34"/>
  <c r="R325" i="34"/>
  <c r="V325" i="34"/>
  <c r="Z325" i="34"/>
  <c r="Q315" i="34"/>
  <c r="U315" i="34"/>
  <c r="Y315" i="34"/>
  <c r="AC315" i="34"/>
  <c r="R315" i="34"/>
  <c r="V315" i="34"/>
  <c r="Z315" i="34"/>
  <c r="S315" i="34"/>
  <c r="T315" i="34"/>
  <c r="X315" i="34"/>
  <c r="Q393" i="34"/>
  <c r="U393" i="34"/>
  <c r="Y393" i="34"/>
  <c r="AC393" i="34"/>
  <c r="R393" i="34"/>
  <c r="V393" i="34"/>
  <c r="Z393" i="34"/>
  <c r="S393" i="34"/>
  <c r="T393" i="34"/>
  <c r="X393" i="34"/>
  <c r="Q399" i="34"/>
  <c r="U399" i="34"/>
  <c r="Y399" i="34"/>
  <c r="AC399" i="34"/>
  <c r="S399" i="34"/>
  <c r="T399" i="34"/>
  <c r="X399" i="34"/>
  <c r="R399" i="34"/>
  <c r="V399" i="34"/>
  <c r="Z399" i="34"/>
  <c r="T403" i="34"/>
  <c r="X403" i="34"/>
  <c r="Q403" i="34"/>
  <c r="V403" i="34"/>
  <c r="R403" i="34"/>
  <c r="S403" i="34"/>
  <c r="Y403" i="34"/>
  <c r="AC403" i="34"/>
  <c r="U403" i="34"/>
  <c r="Z403" i="34"/>
  <c r="T279" i="34"/>
  <c r="X279" i="34"/>
  <c r="Q279" i="34"/>
  <c r="U279" i="34"/>
  <c r="Y279" i="34"/>
  <c r="AC279" i="34"/>
  <c r="R279" i="34"/>
  <c r="V279" i="34"/>
  <c r="Z279" i="34"/>
  <c r="S279" i="34"/>
  <c r="T322" i="34"/>
  <c r="X322" i="34"/>
  <c r="Q322" i="34"/>
  <c r="U322" i="34"/>
  <c r="Y322" i="34"/>
  <c r="AC322" i="34"/>
  <c r="R322" i="34"/>
  <c r="V322" i="34"/>
  <c r="Z322" i="34"/>
  <c r="S322" i="34"/>
  <c r="T329" i="34"/>
  <c r="X329" i="34"/>
  <c r="Q329" i="34"/>
  <c r="U329" i="34"/>
  <c r="Y329" i="34"/>
  <c r="AC329" i="34"/>
  <c r="R329" i="34"/>
  <c r="V329" i="34"/>
  <c r="Z329" i="34"/>
  <c r="S329" i="34"/>
  <c r="T281" i="34"/>
  <c r="X281" i="34"/>
  <c r="Q281" i="34"/>
  <c r="U281" i="34"/>
  <c r="Y281" i="34"/>
  <c r="AC281" i="34"/>
  <c r="R281" i="34"/>
  <c r="V281" i="34"/>
  <c r="Z281" i="34"/>
  <c r="S281" i="34"/>
  <c r="T285" i="34"/>
  <c r="X285" i="34"/>
  <c r="Q285" i="34"/>
  <c r="U285" i="34"/>
  <c r="Y285" i="34"/>
  <c r="AC285" i="34"/>
  <c r="R285" i="34"/>
  <c r="V285" i="34"/>
  <c r="Z285" i="34"/>
  <c r="S285" i="34"/>
  <c r="T289" i="34"/>
  <c r="X289" i="34"/>
  <c r="Q289" i="34"/>
  <c r="U289" i="34"/>
  <c r="Y289" i="34"/>
  <c r="AC289" i="34"/>
  <c r="R289" i="34"/>
  <c r="V289" i="34"/>
  <c r="Z289" i="34"/>
  <c r="S289" i="34"/>
  <c r="T293" i="34"/>
  <c r="X293" i="34"/>
  <c r="Q293" i="34"/>
  <c r="U293" i="34"/>
  <c r="Y293" i="34"/>
  <c r="AC293" i="34"/>
  <c r="R293" i="34"/>
  <c r="V293" i="34"/>
  <c r="Z293" i="34"/>
  <c r="S293" i="34"/>
  <c r="T297" i="34"/>
  <c r="X297" i="34"/>
  <c r="Q297" i="34"/>
  <c r="U297" i="34"/>
  <c r="Y297" i="34"/>
  <c r="AC297" i="34"/>
  <c r="R297" i="34"/>
  <c r="V297" i="34"/>
  <c r="Z297" i="34"/>
  <c r="S297" i="34"/>
  <c r="T310" i="34"/>
  <c r="X310" i="34"/>
  <c r="Q310" i="34"/>
  <c r="U310" i="34"/>
  <c r="Y310" i="34"/>
  <c r="AC310" i="34"/>
  <c r="R310" i="34"/>
  <c r="V310" i="34"/>
  <c r="Z310" i="34"/>
  <c r="S310" i="34"/>
  <c r="T330" i="34"/>
  <c r="X330" i="34"/>
  <c r="Q330" i="34"/>
  <c r="U330" i="34"/>
  <c r="Y330" i="34"/>
  <c r="AC330" i="34"/>
  <c r="R330" i="34"/>
  <c r="V330" i="34"/>
  <c r="Z330" i="34"/>
  <c r="S330" i="34"/>
  <c r="T334" i="34"/>
  <c r="X334" i="34"/>
  <c r="Q334" i="34"/>
  <c r="U334" i="34"/>
  <c r="Y334" i="34"/>
  <c r="AC334" i="34"/>
  <c r="R334" i="34"/>
  <c r="V334" i="34"/>
  <c r="Z334" i="34"/>
  <c r="S334" i="34"/>
  <c r="T338" i="34"/>
  <c r="X338" i="34"/>
  <c r="Q338" i="34"/>
  <c r="U338" i="34"/>
  <c r="Y338" i="34"/>
  <c r="AC338" i="34"/>
  <c r="R338" i="34"/>
  <c r="V338" i="34"/>
  <c r="Z338" i="34"/>
  <c r="S338" i="34"/>
  <c r="T348" i="34"/>
  <c r="X348" i="34"/>
  <c r="Q348" i="34"/>
  <c r="U348" i="34"/>
  <c r="Y348" i="34"/>
  <c r="AC348" i="34"/>
  <c r="S348" i="34"/>
  <c r="Z348" i="34"/>
  <c r="R348" i="34"/>
  <c r="V348" i="34"/>
  <c r="Q357" i="34"/>
  <c r="U357" i="34"/>
  <c r="Y357" i="34"/>
  <c r="AC357" i="34"/>
  <c r="S357" i="34"/>
  <c r="R357" i="34"/>
  <c r="X357" i="34"/>
  <c r="T357" i="34"/>
  <c r="Z357" i="34"/>
  <c r="V357" i="34"/>
  <c r="S366" i="34"/>
  <c r="U366" i="34"/>
  <c r="Y366" i="34"/>
  <c r="AC366" i="34"/>
  <c r="Q366" i="34"/>
  <c r="V366" i="34"/>
  <c r="Z366" i="34"/>
  <c r="R366" i="34"/>
  <c r="T366" i="34"/>
  <c r="X366" i="34"/>
  <c r="R383" i="34"/>
  <c r="V383" i="34"/>
  <c r="Z383" i="34"/>
  <c r="S383" i="34"/>
  <c r="T383" i="34"/>
  <c r="X383" i="34"/>
  <c r="Q383" i="34"/>
  <c r="U383" i="34"/>
  <c r="Y383" i="34"/>
  <c r="AC383" i="34"/>
  <c r="R372" i="34"/>
  <c r="V372" i="34"/>
  <c r="Z372" i="34"/>
  <c r="S372" i="34"/>
  <c r="T372" i="34"/>
  <c r="X372" i="34"/>
  <c r="Q372" i="34"/>
  <c r="U372" i="34"/>
  <c r="Y372" i="34"/>
  <c r="AC372" i="34"/>
  <c r="R376" i="34"/>
  <c r="V376" i="34"/>
  <c r="Z376" i="34"/>
  <c r="S376" i="34"/>
  <c r="T376" i="34"/>
  <c r="X376" i="34"/>
  <c r="Q376" i="34"/>
  <c r="U376" i="34"/>
  <c r="Y376" i="34"/>
  <c r="AC376" i="34"/>
  <c r="R380" i="34"/>
  <c r="V380" i="34"/>
  <c r="Z380" i="34"/>
  <c r="S380" i="34"/>
  <c r="T380" i="34"/>
  <c r="X380" i="34"/>
  <c r="Q380" i="34"/>
  <c r="U380" i="34"/>
  <c r="Y380" i="34"/>
  <c r="AC380" i="34"/>
  <c r="R385" i="34"/>
  <c r="V385" i="34"/>
  <c r="Z385" i="34"/>
  <c r="S385" i="34"/>
  <c r="T385" i="34"/>
  <c r="X385" i="34"/>
  <c r="Q385" i="34"/>
  <c r="U385" i="34"/>
  <c r="Y385" i="34"/>
  <c r="AC385" i="34"/>
  <c r="R389" i="34"/>
  <c r="V389" i="34"/>
  <c r="Z389" i="34"/>
  <c r="S389" i="34"/>
  <c r="T389" i="34"/>
  <c r="X389" i="34"/>
  <c r="Q389" i="34"/>
  <c r="U389" i="34"/>
  <c r="Y389" i="34"/>
  <c r="AC389" i="34"/>
  <c r="R361" i="34"/>
  <c r="V361" i="34"/>
  <c r="Z361" i="34"/>
  <c r="S361" i="34"/>
  <c r="T361" i="34"/>
  <c r="X361" i="34"/>
  <c r="Q361" i="34"/>
  <c r="U361" i="34"/>
  <c r="Y361" i="34"/>
  <c r="AC361" i="34"/>
  <c r="R360" i="34"/>
  <c r="V360" i="34"/>
  <c r="Z360" i="34"/>
  <c r="S360" i="34"/>
  <c r="T360" i="34"/>
  <c r="X360" i="34"/>
  <c r="Q360" i="34"/>
  <c r="U360" i="34"/>
  <c r="Y360" i="34"/>
  <c r="AC360" i="34"/>
  <c r="R411" i="34"/>
  <c r="V411" i="34"/>
  <c r="Z411" i="34"/>
  <c r="S411" i="34"/>
  <c r="T411" i="34"/>
  <c r="X411" i="34"/>
  <c r="Q411" i="34"/>
  <c r="U411" i="34"/>
  <c r="Y411" i="34"/>
  <c r="AC411" i="34"/>
  <c r="R415" i="34"/>
  <c r="V415" i="34"/>
  <c r="Z415" i="34"/>
  <c r="S415" i="34"/>
  <c r="T415" i="34"/>
  <c r="X415" i="34"/>
  <c r="Q415" i="34"/>
  <c r="U415" i="34"/>
  <c r="Y415" i="34"/>
  <c r="AC415" i="34"/>
  <c r="R419" i="34"/>
  <c r="V419" i="34"/>
  <c r="Z419" i="34"/>
  <c r="S419" i="34"/>
  <c r="T419" i="34"/>
  <c r="X419" i="34"/>
  <c r="Q419" i="34"/>
  <c r="U419" i="34"/>
  <c r="Y419" i="34"/>
  <c r="AC419" i="34"/>
  <c r="R423" i="34"/>
  <c r="V423" i="34"/>
  <c r="Z423" i="34"/>
  <c r="S423" i="34"/>
  <c r="T423" i="34"/>
  <c r="X423" i="34"/>
  <c r="Q423" i="34"/>
  <c r="U423" i="34"/>
  <c r="Y423" i="34"/>
  <c r="AC423" i="34"/>
  <c r="R427" i="34"/>
  <c r="V427" i="34"/>
  <c r="Z427" i="34"/>
  <c r="S427" i="34"/>
  <c r="T427" i="34"/>
  <c r="X427" i="34"/>
  <c r="Q427" i="34"/>
  <c r="U427" i="34"/>
  <c r="Y427" i="34"/>
  <c r="AC427" i="34"/>
  <c r="R431" i="34"/>
  <c r="V431" i="34"/>
  <c r="Z431" i="34"/>
  <c r="S431" i="34"/>
  <c r="T431" i="34"/>
  <c r="X431" i="34"/>
  <c r="Q431" i="34"/>
  <c r="U431" i="34"/>
  <c r="Y431" i="34"/>
  <c r="AC431" i="34"/>
  <c r="R435" i="34"/>
  <c r="V435" i="34"/>
  <c r="Z435" i="34"/>
  <c r="S435" i="34"/>
  <c r="T435" i="34"/>
  <c r="X435" i="34"/>
  <c r="Q435" i="34"/>
  <c r="U435" i="34"/>
  <c r="Y435" i="34"/>
  <c r="AC435" i="34"/>
  <c r="S439" i="34"/>
  <c r="Q439" i="34"/>
  <c r="U439" i="34"/>
  <c r="Y439" i="34"/>
  <c r="AC439" i="34"/>
  <c r="R439" i="34"/>
  <c r="X439" i="34"/>
  <c r="T439" i="34"/>
  <c r="Z439" i="34"/>
  <c r="V439" i="34"/>
  <c r="Q443" i="34"/>
  <c r="U443" i="34"/>
  <c r="Y443" i="34"/>
  <c r="AC443" i="34"/>
  <c r="V443" i="34"/>
  <c r="R443" i="34"/>
  <c r="S443" i="34"/>
  <c r="X443" i="34"/>
  <c r="T443" i="34"/>
  <c r="Z443" i="34"/>
  <c r="Q447" i="34"/>
  <c r="U447" i="34"/>
  <c r="Y447" i="34"/>
  <c r="AC447" i="34"/>
  <c r="S447" i="34"/>
  <c r="X447" i="34"/>
  <c r="T447" i="34"/>
  <c r="Z447" i="34"/>
  <c r="V447" i="34"/>
  <c r="R447" i="34"/>
  <c r="R451" i="34"/>
  <c r="V451" i="34"/>
  <c r="Z451" i="34"/>
  <c r="S451" i="34"/>
  <c r="T451" i="34"/>
  <c r="X451" i="34"/>
  <c r="Q451" i="34"/>
  <c r="U451" i="34"/>
  <c r="Y451" i="34"/>
  <c r="AC451" i="34"/>
  <c r="R455" i="34"/>
  <c r="V455" i="34"/>
  <c r="Z455" i="34"/>
  <c r="S455" i="34"/>
  <c r="T455" i="34"/>
  <c r="X455" i="34"/>
  <c r="Q455" i="34"/>
  <c r="U455" i="34"/>
  <c r="Y455" i="34"/>
  <c r="AC455" i="34"/>
  <c r="R459" i="34"/>
  <c r="V459" i="34"/>
  <c r="Z459" i="34"/>
  <c r="S459" i="34"/>
  <c r="T459" i="34"/>
  <c r="X459" i="34"/>
  <c r="Q459" i="34"/>
  <c r="U459" i="34"/>
  <c r="Y459" i="34"/>
  <c r="AC459" i="34"/>
  <c r="R463" i="34"/>
  <c r="V463" i="34"/>
  <c r="Z463" i="34"/>
  <c r="S463" i="34"/>
  <c r="T463" i="34"/>
  <c r="X463" i="34"/>
  <c r="Q463" i="34"/>
  <c r="U463" i="34"/>
  <c r="Y463" i="34"/>
  <c r="AC463" i="34"/>
  <c r="R467" i="34"/>
  <c r="V467" i="34"/>
  <c r="Z467" i="34"/>
  <c r="S467" i="34"/>
  <c r="T467" i="34"/>
  <c r="X467" i="34"/>
  <c r="Q467" i="34"/>
  <c r="U467" i="34"/>
  <c r="Y467" i="34"/>
  <c r="AC467" i="34"/>
  <c r="R471" i="34"/>
  <c r="V471" i="34"/>
  <c r="Z471" i="34"/>
  <c r="S471" i="34"/>
  <c r="T471" i="34"/>
  <c r="X471" i="34"/>
  <c r="Q471" i="34"/>
  <c r="U471" i="34"/>
  <c r="Y471" i="34"/>
  <c r="AC471" i="34"/>
  <c r="R475" i="34"/>
  <c r="V475" i="34"/>
  <c r="Z475" i="34"/>
  <c r="S475" i="34"/>
  <c r="T475" i="34"/>
  <c r="X475" i="34"/>
  <c r="Q475" i="34"/>
  <c r="U475" i="34"/>
  <c r="Y475" i="34"/>
  <c r="AC475" i="34"/>
  <c r="R479" i="34"/>
  <c r="V479" i="34"/>
  <c r="Z479" i="34"/>
  <c r="S479" i="34"/>
  <c r="T479" i="34"/>
  <c r="X479" i="34"/>
  <c r="Q479" i="34"/>
  <c r="U479" i="34"/>
  <c r="Y479" i="34"/>
  <c r="AC479" i="34"/>
  <c r="R483" i="34"/>
  <c r="V483" i="34"/>
  <c r="Z483" i="34"/>
  <c r="S483" i="34"/>
  <c r="T483" i="34"/>
  <c r="X483" i="34"/>
  <c r="Q483" i="34"/>
  <c r="U483" i="34"/>
  <c r="Y483" i="34"/>
  <c r="AC483" i="34"/>
  <c r="R487" i="34"/>
  <c r="V487" i="34"/>
  <c r="Z487" i="34"/>
  <c r="S487" i="34"/>
  <c r="T487" i="34"/>
  <c r="X487" i="34"/>
  <c r="Q487" i="34"/>
  <c r="U487" i="34"/>
  <c r="Y487" i="34"/>
  <c r="AC487" i="34"/>
  <c r="R491" i="34"/>
  <c r="V491" i="34"/>
  <c r="Z491" i="34"/>
  <c r="S491" i="34"/>
  <c r="T491" i="34"/>
  <c r="X491" i="34"/>
  <c r="Q491" i="34"/>
  <c r="U491" i="34"/>
  <c r="Y491" i="34"/>
  <c r="AC491" i="34"/>
  <c r="R495" i="34"/>
  <c r="V495" i="34"/>
  <c r="Z495" i="34"/>
  <c r="S495" i="34"/>
  <c r="T495" i="34"/>
  <c r="X495" i="34"/>
  <c r="Q495" i="34"/>
  <c r="U495" i="34"/>
  <c r="Y495" i="34"/>
  <c r="AC495" i="34"/>
  <c r="R499" i="34"/>
  <c r="V499" i="34"/>
  <c r="Z499" i="34"/>
  <c r="S499" i="34"/>
  <c r="T499" i="34"/>
  <c r="X499" i="34"/>
  <c r="Q499" i="34"/>
  <c r="U499" i="34"/>
  <c r="Y499" i="34"/>
  <c r="AC499" i="34"/>
  <c r="R503" i="34"/>
  <c r="V503" i="34"/>
  <c r="Z503" i="34"/>
  <c r="S503" i="34"/>
  <c r="Q503" i="34"/>
  <c r="U503" i="34"/>
  <c r="Y503" i="34"/>
  <c r="AC503" i="34"/>
  <c r="T503" i="34"/>
  <c r="X503" i="34"/>
  <c r="R507" i="34"/>
  <c r="V507" i="34"/>
  <c r="Z507" i="34"/>
  <c r="S507" i="34"/>
  <c r="Q507" i="34"/>
  <c r="U507" i="34"/>
  <c r="Y507" i="34"/>
  <c r="AC507" i="34"/>
  <c r="X507" i="34"/>
  <c r="T507" i="34"/>
  <c r="S511" i="34"/>
  <c r="Q511" i="34"/>
  <c r="U511" i="34"/>
  <c r="Y511" i="34"/>
  <c r="AC511" i="34"/>
  <c r="R511" i="34"/>
  <c r="X511" i="34"/>
  <c r="T511" i="34"/>
  <c r="Z511" i="34"/>
  <c r="V511" i="34"/>
  <c r="Q515" i="34"/>
  <c r="U515" i="34"/>
  <c r="Y515" i="34"/>
  <c r="AC515" i="34"/>
  <c r="T515" i="34"/>
  <c r="Z515" i="34"/>
  <c r="V515" i="34"/>
  <c r="R515" i="34"/>
  <c r="S515" i="34"/>
  <c r="X515" i="34"/>
  <c r="T519" i="34"/>
  <c r="X519" i="34"/>
  <c r="Q519" i="34"/>
  <c r="U519" i="34"/>
  <c r="Y519" i="34"/>
  <c r="AC519" i="34"/>
  <c r="R519" i="34"/>
  <c r="V519" i="34"/>
  <c r="Z519" i="34"/>
  <c r="S519" i="34"/>
  <c r="T523" i="34"/>
  <c r="X523" i="34"/>
  <c r="V523" i="34"/>
  <c r="Q523" i="34"/>
  <c r="U523" i="34"/>
  <c r="Y523" i="34"/>
  <c r="AC523" i="34"/>
  <c r="R523" i="34"/>
  <c r="Z523" i="34"/>
  <c r="S523" i="34"/>
  <c r="R524" i="34"/>
  <c r="V524" i="34"/>
  <c r="Z524" i="34"/>
  <c r="S524" i="34"/>
  <c r="T524" i="34"/>
  <c r="X524" i="34"/>
  <c r="AC524" i="34"/>
  <c r="Q524" i="34"/>
  <c r="U524" i="34"/>
  <c r="Y524" i="34"/>
  <c r="R528" i="34"/>
  <c r="V528" i="34"/>
  <c r="Z528" i="34"/>
  <c r="S528" i="34"/>
  <c r="T528" i="34"/>
  <c r="X528" i="34"/>
  <c r="AC528" i="34"/>
  <c r="Q528" i="34"/>
  <c r="U528" i="34"/>
  <c r="Y528" i="34"/>
  <c r="R532" i="34"/>
  <c r="V532" i="34"/>
  <c r="Z532" i="34"/>
  <c r="S532" i="34"/>
  <c r="T532" i="34"/>
  <c r="X532" i="34"/>
  <c r="AC532" i="34"/>
  <c r="Q532" i="34"/>
  <c r="U532" i="34"/>
  <c r="Y532" i="34"/>
  <c r="R536" i="34"/>
  <c r="V536" i="34"/>
  <c r="Z536" i="34"/>
  <c r="S536" i="34"/>
  <c r="T536" i="34"/>
  <c r="X536" i="34"/>
  <c r="AC536" i="34"/>
  <c r="Q536" i="34"/>
  <c r="U536" i="34"/>
  <c r="Y536" i="34"/>
  <c r="R540" i="34"/>
  <c r="V540" i="34"/>
  <c r="Z540" i="34"/>
  <c r="S540" i="34"/>
  <c r="T540" i="34"/>
  <c r="X540" i="34"/>
  <c r="AC540" i="34"/>
  <c r="Q540" i="34"/>
  <c r="U540" i="34"/>
  <c r="Y540" i="34"/>
  <c r="R544" i="34"/>
  <c r="V544" i="34"/>
  <c r="Z544" i="34"/>
  <c r="S544" i="34"/>
  <c r="T544" i="34"/>
  <c r="X544" i="34"/>
  <c r="AC544" i="34"/>
  <c r="Q544" i="34"/>
  <c r="U544" i="34"/>
  <c r="Y544" i="34"/>
  <c r="R548" i="34"/>
  <c r="V548" i="34"/>
  <c r="Z548" i="34"/>
  <c r="S548" i="34"/>
  <c r="T548" i="34"/>
  <c r="X548" i="34"/>
  <c r="AC548" i="34"/>
  <c r="Q548" i="34"/>
  <c r="U548" i="34"/>
  <c r="Y548" i="34"/>
  <c r="R552" i="34"/>
  <c r="V552" i="34"/>
  <c r="Z552" i="34"/>
  <c r="S552" i="34"/>
  <c r="T552" i="34"/>
  <c r="X552" i="34"/>
  <c r="AC552" i="34"/>
  <c r="Q552" i="34"/>
  <c r="U552" i="34"/>
  <c r="Y552" i="34"/>
  <c r="R556" i="34"/>
  <c r="V556" i="34"/>
  <c r="Z556" i="34"/>
  <c r="S556" i="34"/>
  <c r="T556" i="34"/>
  <c r="X556" i="34"/>
  <c r="AC556" i="34"/>
  <c r="Q556" i="34"/>
  <c r="U556" i="34"/>
  <c r="Y556" i="34"/>
  <c r="R560" i="34"/>
  <c r="V560" i="34"/>
  <c r="Z560" i="34"/>
  <c r="S560" i="34"/>
  <c r="T560" i="34"/>
  <c r="X560" i="34"/>
  <c r="AC560" i="34"/>
  <c r="Q560" i="34"/>
  <c r="U560" i="34"/>
  <c r="Y560" i="34"/>
  <c r="R564" i="34"/>
  <c r="V564" i="34"/>
  <c r="Z564" i="34"/>
  <c r="S564" i="34"/>
  <c r="T564" i="34"/>
  <c r="X564" i="34"/>
  <c r="AC564" i="34"/>
  <c r="Q564" i="34"/>
  <c r="U564" i="34"/>
  <c r="Y564" i="34"/>
  <c r="R568" i="34"/>
  <c r="V568" i="34"/>
  <c r="Z568" i="34"/>
  <c r="Q568" i="34"/>
  <c r="U568" i="34"/>
  <c r="Y568" i="34"/>
  <c r="T568" i="34"/>
  <c r="AC568" i="34"/>
  <c r="X568" i="34"/>
  <c r="S568" i="34"/>
  <c r="R572" i="34"/>
  <c r="V572" i="34"/>
  <c r="Z572" i="34"/>
  <c r="Q572" i="34"/>
  <c r="U572" i="34"/>
  <c r="Y572" i="34"/>
  <c r="T572" i="34"/>
  <c r="AC572" i="34"/>
  <c r="X572" i="34"/>
  <c r="S572" i="34"/>
  <c r="R576" i="34"/>
  <c r="V576" i="34"/>
  <c r="Z576" i="34"/>
  <c r="Q576" i="34"/>
  <c r="U576" i="34"/>
  <c r="Y576" i="34"/>
  <c r="T576" i="34"/>
  <c r="AC576" i="34"/>
  <c r="X576" i="34"/>
  <c r="S576" i="34"/>
  <c r="R580" i="34"/>
  <c r="V580" i="34"/>
  <c r="T580" i="34"/>
  <c r="Y580" i="34"/>
  <c r="U580" i="34"/>
  <c r="Z580" i="34"/>
  <c r="Q580" i="34"/>
  <c r="S580" i="34"/>
  <c r="X580" i="34"/>
  <c r="AC580" i="34"/>
  <c r="Q584" i="34"/>
  <c r="U584" i="34"/>
  <c r="Y584" i="34"/>
  <c r="R584" i="34"/>
  <c r="V584" i="34"/>
  <c r="Z584" i="34"/>
  <c r="S584" i="34"/>
  <c r="T584" i="34"/>
  <c r="X584" i="34"/>
  <c r="AC584" i="34"/>
  <c r="Q588" i="34"/>
  <c r="U588" i="34"/>
  <c r="Y588" i="34"/>
  <c r="R588" i="34"/>
  <c r="V588" i="34"/>
  <c r="Z588" i="34"/>
  <c r="S588" i="34"/>
  <c r="T588" i="34"/>
  <c r="X588" i="34"/>
  <c r="AC588" i="34"/>
  <c r="Q592" i="34"/>
  <c r="U592" i="34"/>
  <c r="Y592" i="34"/>
  <c r="R592" i="34"/>
  <c r="V592" i="34"/>
  <c r="Z592" i="34"/>
  <c r="S592" i="34"/>
  <c r="T592" i="34"/>
  <c r="X592" i="34"/>
  <c r="AC592" i="34"/>
  <c r="Q596" i="34"/>
  <c r="U596" i="34"/>
  <c r="Y596" i="34"/>
  <c r="R596" i="34"/>
  <c r="V596" i="34"/>
  <c r="Z596" i="34"/>
  <c r="S596" i="34"/>
  <c r="T596" i="34"/>
  <c r="X596" i="34"/>
  <c r="AC596" i="34"/>
  <c r="Q600" i="34"/>
  <c r="U600" i="34"/>
  <c r="Y600" i="34"/>
  <c r="R600" i="34"/>
  <c r="V600" i="34"/>
  <c r="Z600" i="34"/>
  <c r="S600" i="34"/>
  <c r="T600" i="34"/>
  <c r="X600" i="34"/>
  <c r="AC600" i="34"/>
  <c r="Q604" i="34"/>
  <c r="U604" i="34"/>
  <c r="Y604" i="34"/>
  <c r="R604" i="34"/>
  <c r="V604" i="34"/>
  <c r="Z604" i="34"/>
  <c r="S604" i="34"/>
  <c r="T604" i="34"/>
  <c r="X604" i="34"/>
  <c r="AC604" i="34"/>
  <c r="Q608" i="34"/>
  <c r="U608" i="34"/>
  <c r="Y608" i="34"/>
  <c r="R608" i="34"/>
  <c r="V608" i="34"/>
  <c r="Z608" i="34"/>
  <c r="S608" i="34"/>
  <c r="T608" i="34"/>
  <c r="X608" i="34"/>
  <c r="AC608" i="34"/>
  <c r="Q612" i="34"/>
  <c r="U612" i="34"/>
  <c r="Y612" i="34"/>
  <c r="R612" i="34"/>
  <c r="V612" i="34"/>
  <c r="Z612" i="34"/>
  <c r="S612" i="34"/>
  <c r="T612" i="34"/>
  <c r="X612" i="34"/>
  <c r="AC612" i="34"/>
  <c r="Q616" i="34"/>
  <c r="U616" i="34"/>
  <c r="Y616" i="34"/>
  <c r="V616" i="34"/>
  <c r="R616" i="34"/>
  <c r="Z616" i="34"/>
  <c r="S616" i="34"/>
  <c r="T616" i="34"/>
  <c r="X616" i="34"/>
  <c r="AC616" i="34"/>
  <c r="Q533" i="34"/>
  <c r="U533" i="34"/>
  <c r="Y533" i="34"/>
  <c r="R533" i="34"/>
  <c r="V533" i="34"/>
  <c r="Z533" i="34"/>
  <c r="S533" i="34"/>
  <c r="T533" i="34"/>
  <c r="X533" i="34"/>
  <c r="AC533" i="34"/>
  <c r="Q545" i="34"/>
  <c r="U545" i="34"/>
  <c r="Y545" i="34"/>
  <c r="R545" i="34"/>
  <c r="V545" i="34"/>
  <c r="Z545" i="34"/>
  <c r="S545" i="34"/>
  <c r="T545" i="34"/>
  <c r="X545" i="34"/>
  <c r="AC545" i="34"/>
  <c r="Q557" i="34"/>
  <c r="U557" i="34"/>
  <c r="Y557" i="34"/>
  <c r="R557" i="34"/>
  <c r="V557" i="34"/>
  <c r="Z557" i="34"/>
  <c r="S557" i="34"/>
  <c r="T557" i="34"/>
  <c r="X557" i="34"/>
  <c r="AC557" i="34"/>
  <c r="Q569" i="34"/>
  <c r="U569" i="34"/>
  <c r="Y569" i="34"/>
  <c r="T569" i="34"/>
  <c r="X569" i="34"/>
  <c r="AC569" i="34"/>
  <c r="V569" i="34"/>
  <c r="R569" i="34"/>
  <c r="Z569" i="34"/>
  <c r="S569" i="34"/>
  <c r="Q577" i="34"/>
  <c r="U577" i="34"/>
  <c r="Y577" i="34"/>
  <c r="T577" i="34"/>
  <c r="X577" i="34"/>
  <c r="AC577" i="34"/>
  <c r="V577" i="34"/>
  <c r="R577" i="34"/>
  <c r="Z577" i="34"/>
  <c r="S577" i="34"/>
  <c r="T589" i="34"/>
  <c r="X589" i="34"/>
  <c r="AC589" i="34"/>
  <c r="Q589" i="34"/>
  <c r="U589" i="34"/>
  <c r="Y589" i="34"/>
  <c r="R589" i="34"/>
  <c r="V589" i="34"/>
  <c r="Z589" i="34"/>
  <c r="S589" i="34"/>
  <c r="T597" i="34"/>
  <c r="X597" i="34"/>
  <c r="AC597" i="34"/>
  <c r="Q597" i="34"/>
  <c r="U597" i="34"/>
  <c r="Y597" i="34"/>
  <c r="R597" i="34"/>
  <c r="V597" i="34"/>
  <c r="Z597" i="34"/>
  <c r="S597" i="34"/>
  <c r="T609" i="34"/>
  <c r="X609" i="34"/>
  <c r="AC609" i="34"/>
  <c r="Q609" i="34"/>
  <c r="U609" i="34"/>
  <c r="Y609" i="34"/>
  <c r="R609" i="34"/>
  <c r="V609" i="34"/>
  <c r="Z609" i="34"/>
  <c r="S609" i="34"/>
  <c r="T617" i="34"/>
  <c r="X617" i="34"/>
  <c r="AC617" i="34"/>
  <c r="Q617" i="34"/>
  <c r="U617" i="34"/>
  <c r="Y617" i="34"/>
  <c r="R617" i="34"/>
  <c r="V617" i="34"/>
  <c r="Z617" i="34"/>
  <c r="S617" i="34"/>
  <c r="Q525" i="34"/>
  <c r="U525" i="34"/>
  <c r="Y525" i="34"/>
  <c r="R525" i="34"/>
  <c r="V525" i="34"/>
  <c r="Z525" i="34"/>
  <c r="S525" i="34"/>
  <c r="T525" i="34"/>
  <c r="X525" i="34"/>
  <c r="AC525" i="34"/>
  <c r="Q537" i="34"/>
  <c r="U537" i="34"/>
  <c r="Y537" i="34"/>
  <c r="R537" i="34"/>
  <c r="V537" i="34"/>
  <c r="Z537" i="34"/>
  <c r="S537" i="34"/>
  <c r="T537" i="34"/>
  <c r="X537" i="34"/>
  <c r="AC537" i="34"/>
  <c r="Q553" i="34"/>
  <c r="U553" i="34"/>
  <c r="Y553" i="34"/>
  <c r="R553" i="34"/>
  <c r="V553" i="34"/>
  <c r="Z553" i="34"/>
  <c r="S553" i="34"/>
  <c r="T553" i="34"/>
  <c r="X553" i="34"/>
  <c r="AC553" i="34"/>
  <c r="Q565" i="34"/>
  <c r="U565" i="34"/>
  <c r="Y565" i="34"/>
  <c r="S565" i="34"/>
  <c r="T565" i="34"/>
  <c r="X565" i="34"/>
  <c r="AC565" i="34"/>
  <c r="V565" i="34"/>
  <c r="Z565" i="34"/>
  <c r="R565" i="34"/>
  <c r="T581" i="34"/>
  <c r="X581" i="34"/>
  <c r="AC581" i="34"/>
  <c r="Q581" i="34"/>
  <c r="U581" i="34"/>
  <c r="Y581" i="34"/>
  <c r="R581" i="34"/>
  <c r="V581" i="34"/>
  <c r="Z581" i="34"/>
  <c r="S581" i="34"/>
  <c r="T593" i="34"/>
  <c r="X593" i="34"/>
  <c r="AC593" i="34"/>
  <c r="Q593" i="34"/>
  <c r="U593" i="34"/>
  <c r="Y593" i="34"/>
  <c r="R593" i="34"/>
  <c r="V593" i="34"/>
  <c r="Z593" i="34"/>
  <c r="S593" i="34"/>
  <c r="T601" i="34"/>
  <c r="X601" i="34"/>
  <c r="AC601" i="34"/>
  <c r="Q601" i="34"/>
  <c r="U601" i="34"/>
  <c r="Y601" i="34"/>
  <c r="R601" i="34"/>
  <c r="V601" i="34"/>
  <c r="Z601" i="34"/>
  <c r="S601" i="34"/>
  <c r="T613" i="34"/>
  <c r="X613" i="34"/>
  <c r="AC613" i="34"/>
  <c r="Q613" i="34"/>
  <c r="U613" i="34"/>
  <c r="Y613" i="34"/>
  <c r="R613" i="34"/>
  <c r="V613" i="34"/>
  <c r="Z613" i="34"/>
  <c r="S613" i="34"/>
  <c r="T534" i="34"/>
  <c r="X534" i="34"/>
  <c r="AC534" i="34"/>
  <c r="Q534" i="34"/>
  <c r="U534" i="34"/>
  <c r="Y534" i="34"/>
  <c r="R534" i="34"/>
  <c r="V534" i="34"/>
  <c r="Z534" i="34"/>
  <c r="S534" i="34"/>
  <c r="T546" i="34"/>
  <c r="X546" i="34"/>
  <c r="AC546" i="34"/>
  <c r="Q546" i="34"/>
  <c r="U546" i="34"/>
  <c r="Y546" i="34"/>
  <c r="R546" i="34"/>
  <c r="V546" i="34"/>
  <c r="Z546" i="34"/>
  <c r="S546" i="34"/>
  <c r="T554" i="34"/>
  <c r="X554" i="34"/>
  <c r="AC554" i="34"/>
  <c r="Q554" i="34"/>
  <c r="U554" i="34"/>
  <c r="Y554" i="34"/>
  <c r="R554" i="34"/>
  <c r="V554" i="34"/>
  <c r="Z554" i="34"/>
  <c r="S554" i="34"/>
  <c r="T562" i="34"/>
  <c r="X562" i="34"/>
  <c r="AC562" i="34"/>
  <c r="Q562" i="34"/>
  <c r="U562" i="34"/>
  <c r="Y562" i="34"/>
  <c r="R562" i="34"/>
  <c r="V562" i="34"/>
  <c r="Z562" i="34"/>
  <c r="S562" i="34"/>
  <c r="T570" i="34"/>
  <c r="X570" i="34"/>
  <c r="AC570" i="34"/>
  <c r="S570" i="34"/>
  <c r="V570" i="34"/>
  <c r="Q570" i="34"/>
  <c r="R570" i="34"/>
  <c r="Y570" i="34"/>
  <c r="U570" i="34"/>
  <c r="Z570" i="34"/>
  <c r="T578" i="34"/>
  <c r="X578" i="34"/>
  <c r="AC578" i="34"/>
  <c r="S578" i="34"/>
  <c r="V578" i="34"/>
  <c r="Q578" i="34"/>
  <c r="R578" i="34"/>
  <c r="Y578" i="34"/>
  <c r="U578" i="34"/>
  <c r="Z578" i="34"/>
  <c r="S586" i="34"/>
  <c r="T586" i="34"/>
  <c r="X586" i="34"/>
  <c r="AC586" i="34"/>
  <c r="Q586" i="34"/>
  <c r="U586" i="34"/>
  <c r="Y586" i="34"/>
  <c r="R586" i="34"/>
  <c r="V586" i="34"/>
  <c r="Z586" i="34"/>
  <c r="S594" i="34"/>
  <c r="T594" i="34"/>
  <c r="X594" i="34"/>
  <c r="AC594" i="34"/>
  <c r="Q594" i="34"/>
  <c r="U594" i="34"/>
  <c r="Y594" i="34"/>
  <c r="R594" i="34"/>
  <c r="V594" i="34"/>
  <c r="Z594" i="34"/>
  <c r="S606" i="34"/>
  <c r="T606" i="34"/>
  <c r="X606" i="34"/>
  <c r="AC606" i="34"/>
  <c r="Q606" i="34"/>
  <c r="U606" i="34"/>
  <c r="Y606" i="34"/>
  <c r="R606" i="34"/>
  <c r="V606" i="34"/>
  <c r="Z606" i="34"/>
  <c r="Q529" i="34"/>
  <c r="U529" i="34"/>
  <c r="Y529" i="34"/>
  <c r="R529" i="34"/>
  <c r="V529" i="34"/>
  <c r="Z529" i="34"/>
  <c r="S529" i="34"/>
  <c r="T529" i="34"/>
  <c r="X529" i="34"/>
  <c r="AC529" i="34"/>
  <c r="Q541" i="34"/>
  <c r="U541" i="34"/>
  <c r="Y541" i="34"/>
  <c r="R541" i="34"/>
  <c r="V541" i="34"/>
  <c r="Z541" i="34"/>
  <c r="S541" i="34"/>
  <c r="T541" i="34"/>
  <c r="X541" i="34"/>
  <c r="AC541" i="34"/>
  <c r="Q549" i="34"/>
  <c r="U549" i="34"/>
  <c r="Y549" i="34"/>
  <c r="R549" i="34"/>
  <c r="V549" i="34"/>
  <c r="Z549" i="34"/>
  <c r="S549" i="34"/>
  <c r="T549" i="34"/>
  <c r="X549" i="34"/>
  <c r="AC549" i="34"/>
  <c r="Q561" i="34"/>
  <c r="U561" i="34"/>
  <c r="Y561" i="34"/>
  <c r="R561" i="34"/>
  <c r="V561" i="34"/>
  <c r="Z561" i="34"/>
  <c r="S561" i="34"/>
  <c r="T561" i="34"/>
  <c r="X561" i="34"/>
  <c r="AC561" i="34"/>
  <c r="Q573" i="34"/>
  <c r="U573" i="34"/>
  <c r="Y573" i="34"/>
  <c r="T573" i="34"/>
  <c r="X573" i="34"/>
  <c r="AC573" i="34"/>
  <c r="V573" i="34"/>
  <c r="R573" i="34"/>
  <c r="Z573" i="34"/>
  <c r="S573" i="34"/>
  <c r="T585" i="34"/>
  <c r="X585" i="34"/>
  <c r="AC585" i="34"/>
  <c r="Q585" i="34"/>
  <c r="U585" i="34"/>
  <c r="Y585" i="34"/>
  <c r="R585" i="34"/>
  <c r="V585" i="34"/>
  <c r="Z585" i="34"/>
  <c r="S585" i="34"/>
  <c r="T605" i="34"/>
  <c r="X605" i="34"/>
  <c r="AC605" i="34"/>
  <c r="Q605" i="34"/>
  <c r="U605" i="34"/>
  <c r="Y605" i="34"/>
  <c r="R605" i="34"/>
  <c r="V605" i="34"/>
  <c r="Z605" i="34"/>
  <c r="S605" i="34"/>
  <c r="T526" i="34"/>
  <c r="X526" i="34"/>
  <c r="AC526" i="34"/>
  <c r="Q526" i="34"/>
  <c r="U526" i="34"/>
  <c r="Y526" i="34"/>
  <c r="R526" i="34"/>
  <c r="V526" i="34"/>
  <c r="Z526" i="34"/>
  <c r="S526" i="34"/>
  <c r="T530" i="34"/>
  <c r="X530" i="34"/>
  <c r="AC530" i="34"/>
  <c r="Q530" i="34"/>
  <c r="U530" i="34"/>
  <c r="Y530" i="34"/>
  <c r="R530" i="34"/>
  <c r="V530" i="34"/>
  <c r="Z530" i="34"/>
  <c r="S530" i="34"/>
  <c r="T538" i="34"/>
  <c r="X538" i="34"/>
  <c r="AC538" i="34"/>
  <c r="Q538" i="34"/>
  <c r="U538" i="34"/>
  <c r="Y538" i="34"/>
  <c r="R538" i="34"/>
  <c r="V538" i="34"/>
  <c r="Z538" i="34"/>
  <c r="S538" i="34"/>
  <c r="T542" i="34"/>
  <c r="X542" i="34"/>
  <c r="AC542" i="34"/>
  <c r="Q542" i="34"/>
  <c r="U542" i="34"/>
  <c r="Y542" i="34"/>
  <c r="R542" i="34"/>
  <c r="V542" i="34"/>
  <c r="Z542" i="34"/>
  <c r="S542" i="34"/>
  <c r="T550" i="34"/>
  <c r="X550" i="34"/>
  <c r="AC550" i="34"/>
  <c r="Q550" i="34"/>
  <c r="U550" i="34"/>
  <c r="Y550" i="34"/>
  <c r="R550" i="34"/>
  <c r="V550" i="34"/>
  <c r="Z550" i="34"/>
  <c r="S550" i="34"/>
  <c r="T558" i="34"/>
  <c r="X558" i="34"/>
  <c r="AC558" i="34"/>
  <c r="Q558" i="34"/>
  <c r="U558" i="34"/>
  <c r="Y558" i="34"/>
  <c r="R558" i="34"/>
  <c r="V558" i="34"/>
  <c r="Z558" i="34"/>
  <c r="S558" i="34"/>
  <c r="T566" i="34"/>
  <c r="X566" i="34"/>
  <c r="AC566" i="34"/>
  <c r="S566" i="34"/>
  <c r="V566" i="34"/>
  <c r="Q566" i="34"/>
  <c r="R566" i="34"/>
  <c r="Y566" i="34"/>
  <c r="U566" i="34"/>
  <c r="Z566" i="34"/>
  <c r="T574" i="34"/>
  <c r="X574" i="34"/>
  <c r="AC574" i="34"/>
  <c r="S574" i="34"/>
  <c r="V574" i="34"/>
  <c r="Q574" i="34"/>
  <c r="R574" i="34"/>
  <c r="Y574" i="34"/>
  <c r="U574" i="34"/>
  <c r="Z574" i="34"/>
  <c r="S582" i="34"/>
  <c r="T582" i="34"/>
  <c r="X582" i="34"/>
  <c r="AC582" i="34"/>
  <c r="Q582" i="34"/>
  <c r="U582" i="34"/>
  <c r="Y582" i="34"/>
  <c r="R582" i="34"/>
  <c r="V582" i="34"/>
  <c r="Z582" i="34"/>
  <c r="S590" i="34"/>
  <c r="T590" i="34"/>
  <c r="X590" i="34"/>
  <c r="AC590" i="34"/>
  <c r="Q590" i="34"/>
  <c r="U590" i="34"/>
  <c r="Y590" i="34"/>
  <c r="R590" i="34"/>
  <c r="V590" i="34"/>
  <c r="Z590" i="34"/>
  <c r="S598" i="34"/>
  <c r="T598" i="34"/>
  <c r="X598" i="34"/>
  <c r="AC598" i="34"/>
  <c r="Q598" i="34"/>
  <c r="U598" i="34"/>
  <c r="Y598" i="34"/>
  <c r="R598" i="34"/>
  <c r="V598" i="34"/>
  <c r="Z598" i="34"/>
  <c r="S602" i="34"/>
  <c r="T602" i="34"/>
  <c r="X602" i="34"/>
  <c r="AC602" i="34"/>
  <c r="Q602" i="34"/>
  <c r="U602" i="34"/>
  <c r="Y602" i="34"/>
  <c r="R602" i="34"/>
  <c r="V602" i="34"/>
  <c r="Z602" i="34"/>
  <c r="S610" i="34"/>
  <c r="T610" i="34"/>
  <c r="X610" i="34"/>
  <c r="AC610" i="34"/>
  <c r="Q610" i="34"/>
  <c r="U610" i="34"/>
  <c r="Y610" i="34"/>
  <c r="R610" i="34"/>
  <c r="V610" i="34"/>
  <c r="Z610" i="34"/>
  <c r="S614" i="34"/>
  <c r="T614" i="34"/>
  <c r="X614" i="34"/>
  <c r="AC614" i="34"/>
  <c r="Q614" i="34"/>
  <c r="U614" i="34"/>
  <c r="Y614" i="34"/>
  <c r="R614" i="34"/>
  <c r="V614" i="34"/>
  <c r="Z614" i="34"/>
  <c r="S527" i="34"/>
  <c r="T527" i="34"/>
  <c r="X527" i="34"/>
  <c r="AC527" i="34"/>
  <c r="Q527" i="34"/>
  <c r="U527" i="34"/>
  <c r="Y527" i="34"/>
  <c r="R527" i="34"/>
  <c r="V527" i="34"/>
  <c r="Z527" i="34"/>
  <c r="S531" i="34"/>
  <c r="T531" i="34"/>
  <c r="X531" i="34"/>
  <c r="AC531" i="34"/>
  <c r="Q531" i="34"/>
  <c r="U531" i="34"/>
  <c r="Y531" i="34"/>
  <c r="R531" i="34"/>
  <c r="V531" i="34"/>
  <c r="Z531" i="34"/>
  <c r="S535" i="34"/>
  <c r="T535" i="34"/>
  <c r="X535" i="34"/>
  <c r="AC535" i="34"/>
  <c r="Q535" i="34"/>
  <c r="U535" i="34"/>
  <c r="Y535" i="34"/>
  <c r="R535" i="34"/>
  <c r="V535" i="34"/>
  <c r="Z535" i="34"/>
  <c r="S539" i="34"/>
  <c r="T539" i="34"/>
  <c r="X539" i="34"/>
  <c r="AC539" i="34"/>
  <c r="Q539" i="34"/>
  <c r="U539" i="34"/>
  <c r="Y539" i="34"/>
  <c r="R539" i="34"/>
  <c r="V539" i="34"/>
  <c r="Z539" i="34"/>
  <c r="S543" i="34"/>
  <c r="T543" i="34"/>
  <c r="X543" i="34"/>
  <c r="AC543" i="34"/>
  <c r="Q543" i="34"/>
  <c r="U543" i="34"/>
  <c r="Y543" i="34"/>
  <c r="R543" i="34"/>
  <c r="V543" i="34"/>
  <c r="Z543" i="34"/>
  <c r="S547" i="34"/>
  <c r="T547" i="34"/>
  <c r="X547" i="34"/>
  <c r="AC547" i="34"/>
  <c r="Q547" i="34"/>
  <c r="U547" i="34"/>
  <c r="Y547" i="34"/>
  <c r="R547" i="34"/>
  <c r="V547" i="34"/>
  <c r="Z547" i="34"/>
  <c r="S551" i="34"/>
  <c r="T551" i="34"/>
  <c r="X551" i="34"/>
  <c r="AC551" i="34"/>
  <c r="Q551" i="34"/>
  <c r="U551" i="34"/>
  <c r="Y551" i="34"/>
  <c r="R551" i="34"/>
  <c r="V551" i="34"/>
  <c r="Z551" i="34"/>
  <c r="S555" i="34"/>
  <c r="T555" i="34"/>
  <c r="X555" i="34"/>
  <c r="AC555" i="34"/>
  <c r="Q555" i="34"/>
  <c r="U555" i="34"/>
  <c r="Y555" i="34"/>
  <c r="R555" i="34"/>
  <c r="V555" i="34"/>
  <c r="Z555" i="34"/>
  <c r="S559" i="34"/>
  <c r="T559" i="34"/>
  <c r="X559" i="34"/>
  <c r="AC559" i="34"/>
  <c r="Q559" i="34"/>
  <c r="U559" i="34"/>
  <c r="Y559" i="34"/>
  <c r="R559" i="34"/>
  <c r="V559" i="34"/>
  <c r="Z559" i="34"/>
  <c r="S563" i="34"/>
  <c r="T563" i="34"/>
  <c r="X563" i="34"/>
  <c r="AC563" i="34"/>
  <c r="Q563" i="34"/>
  <c r="U563" i="34"/>
  <c r="Y563" i="34"/>
  <c r="R563" i="34"/>
  <c r="V563" i="34"/>
  <c r="Z563" i="34"/>
  <c r="S567" i="34"/>
  <c r="R567" i="34"/>
  <c r="V567" i="34"/>
  <c r="Z567" i="34"/>
  <c r="U567" i="34"/>
  <c r="AC567" i="34"/>
  <c r="Q567" i="34"/>
  <c r="X567" i="34"/>
  <c r="T567" i="34"/>
  <c r="Y567" i="34"/>
  <c r="S571" i="34"/>
  <c r="R571" i="34"/>
  <c r="V571" i="34"/>
  <c r="Z571" i="34"/>
  <c r="U571" i="34"/>
  <c r="AC571" i="34"/>
  <c r="Q571" i="34"/>
  <c r="X571" i="34"/>
  <c r="T571" i="34"/>
  <c r="Y571" i="34"/>
  <c r="S575" i="34"/>
  <c r="R575" i="34"/>
  <c r="V575" i="34"/>
  <c r="Z575" i="34"/>
  <c r="U575" i="34"/>
  <c r="AC575" i="34"/>
  <c r="Q575" i="34"/>
  <c r="X575" i="34"/>
  <c r="T575" i="34"/>
  <c r="Y575" i="34"/>
  <c r="S579" i="34"/>
  <c r="T579" i="34"/>
  <c r="X579" i="34"/>
  <c r="AC579" i="34"/>
  <c r="U579" i="34"/>
  <c r="Y579" i="34"/>
  <c r="Q579" i="34"/>
  <c r="V579" i="34"/>
  <c r="Z579" i="34"/>
  <c r="R579" i="34"/>
  <c r="R583" i="34"/>
  <c r="V583" i="34"/>
  <c r="Z583" i="34"/>
  <c r="S583" i="34"/>
  <c r="T583" i="34"/>
  <c r="X583" i="34"/>
  <c r="AC583" i="34"/>
  <c r="Q583" i="34"/>
  <c r="U583" i="34"/>
  <c r="Y583" i="34"/>
  <c r="R587" i="34"/>
  <c r="V587" i="34"/>
  <c r="Z587" i="34"/>
  <c r="S587" i="34"/>
  <c r="T587" i="34"/>
  <c r="X587" i="34"/>
  <c r="AC587" i="34"/>
  <c r="Q587" i="34"/>
  <c r="U587" i="34"/>
  <c r="Y587" i="34"/>
  <c r="R591" i="34"/>
  <c r="V591" i="34"/>
  <c r="Z591" i="34"/>
  <c r="S591" i="34"/>
  <c r="T591" i="34"/>
  <c r="X591" i="34"/>
  <c r="AC591" i="34"/>
  <c r="Q591" i="34"/>
  <c r="U591" i="34"/>
  <c r="Y591" i="34"/>
  <c r="R595" i="34"/>
  <c r="V595" i="34"/>
  <c r="Z595" i="34"/>
  <c r="S595" i="34"/>
  <c r="T595" i="34"/>
  <c r="X595" i="34"/>
  <c r="AC595" i="34"/>
  <c r="Q595" i="34"/>
  <c r="U595" i="34"/>
  <c r="Y595" i="34"/>
  <c r="R599" i="34"/>
  <c r="V599" i="34"/>
  <c r="Z599" i="34"/>
  <c r="S599" i="34"/>
  <c r="T599" i="34"/>
  <c r="X599" i="34"/>
  <c r="AC599" i="34"/>
  <c r="Q599" i="34"/>
  <c r="U599" i="34"/>
  <c r="Y599" i="34"/>
  <c r="R603" i="34"/>
  <c r="V603" i="34"/>
  <c r="Z603" i="34"/>
  <c r="S603" i="34"/>
  <c r="T603" i="34"/>
  <c r="X603" i="34"/>
  <c r="AC603" i="34"/>
  <c r="Q603" i="34"/>
  <c r="U603" i="34"/>
  <c r="Y603" i="34"/>
  <c r="R607" i="34"/>
  <c r="V607" i="34"/>
  <c r="Z607" i="34"/>
  <c r="S607" i="34"/>
  <c r="T607" i="34"/>
  <c r="X607" i="34"/>
  <c r="AC607" i="34"/>
  <c r="Q607" i="34"/>
  <c r="U607" i="34"/>
  <c r="Y607" i="34"/>
  <c r="R611" i="34"/>
  <c r="V611" i="34"/>
  <c r="Z611" i="34"/>
  <c r="S611" i="34"/>
  <c r="T611" i="34"/>
  <c r="X611" i="34"/>
  <c r="AC611" i="34"/>
  <c r="Q611" i="34"/>
  <c r="U611" i="34"/>
  <c r="Y611" i="34"/>
  <c r="R615" i="34"/>
  <c r="V615" i="34"/>
  <c r="Z615" i="34"/>
  <c r="S615" i="34"/>
  <c r="T615" i="34"/>
  <c r="X615" i="34"/>
  <c r="AC615" i="34"/>
  <c r="Q615" i="34"/>
  <c r="U615" i="34"/>
  <c r="Y615" i="34"/>
  <c r="AB525" i="34"/>
  <c r="AB527" i="34"/>
  <c r="AB529" i="34"/>
  <c r="AB531" i="34"/>
  <c r="AB533" i="34"/>
  <c r="AB535" i="34"/>
  <c r="AB537" i="34"/>
  <c r="AB539" i="34"/>
  <c r="AB541" i="34"/>
  <c r="AB543" i="34"/>
  <c r="AB545" i="34"/>
  <c r="AB547" i="34"/>
  <c r="AB549" i="34"/>
  <c r="AB551" i="34"/>
  <c r="AB553" i="34"/>
  <c r="AB555" i="34"/>
  <c r="AB557" i="34"/>
  <c r="AB559" i="34"/>
  <c r="AB561" i="34"/>
  <c r="AB563" i="34"/>
  <c r="AB565" i="34"/>
  <c r="AB567" i="34"/>
  <c r="AB569" i="34"/>
  <c r="AB571" i="34"/>
  <c r="AB573" i="34"/>
  <c r="AB575" i="34"/>
  <c r="AB577" i="34"/>
  <c r="AB524" i="34"/>
  <c r="AB526" i="34"/>
  <c r="AB528" i="34"/>
  <c r="AB530" i="34"/>
  <c r="AB532" i="34"/>
  <c r="AB534" i="34"/>
  <c r="AB536" i="34"/>
  <c r="AB538" i="34"/>
  <c r="AB540" i="34"/>
  <c r="AB542" i="34"/>
  <c r="AB544" i="34"/>
  <c r="AB546" i="34"/>
  <c r="AB548" i="34"/>
  <c r="AB550" i="34"/>
  <c r="AB552" i="34"/>
  <c r="AB554" i="34"/>
  <c r="AB556" i="34"/>
  <c r="AB558" i="34"/>
  <c r="AB560" i="34"/>
  <c r="AB562" i="34"/>
  <c r="AB564" i="34"/>
  <c r="AB566" i="34"/>
  <c r="AB568" i="34"/>
  <c r="AB570" i="34"/>
  <c r="AB572" i="34"/>
  <c r="AB574" i="34"/>
  <c r="AB576" i="34"/>
  <c r="AB578" i="34"/>
  <c r="AB604" i="34"/>
  <c r="AB608" i="34"/>
  <c r="AB610" i="34"/>
  <c r="AB614" i="34"/>
  <c r="AB580" i="34"/>
  <c r="AB582" i="34"/>
  <c r="AB584" i="34"/>
  <c r="AB586" i="34"/>
  <c r="AB588" i="34"/>
  <c r="AB590" i="34"/>
  <c r="AB592" i="34"/>
  <c r="AB594" i="34"/>
  <c r="AB596" i="34"/>
  <c r="AB598" i="34"/>
  <c r="AB600" i="34"/>
  <c r="AB602" i="34"/>
  <c r="AB606" i="34"/>
  <c r="AB612" i="34"/>
  <c r="AB616" i="34"/>
  <c r="AB603" i="34"/>
  <c r="AB605" i="34"/>
  <c r="AB607" i="34"/>
  <c r="AB609" i="34"/>
  <c r="AB611" i="34"/>
  <c r="AB613" i="34"/>
  <c r="AB615" i="34"/>
  <c r="AB617" i="34"/>
  <c r="AB579" i="34"/>
  <c r="AB581" i="34"/>
  <c r="AB583" i="34"/>
  <c r="AB585" i="34"/>
  <c r="AB587" i="34"/>
  <c r="AB589" i="34"/>
  <c r="AB591" i="34"/>
  <c r="AB593" i="34"/>
  <c r="AB595" i="34"/>
  <c r="AB597" i="34"/>
  <c r="AB599" i="34"/>
  <c r="AB601" i="34"/>
  <c r="R681" i="34"/>
  <c r="V709" i="34"/>
  <c r="V711" i="34"/>
  <c r="V713" i="34"/>
  <c r="V715" i="34"/>
  <c r="V717" i="34"/>
  <c r="V719" i="34"/>
  <c r="V721" i="34"/>
  <c r="V723" i="34"/>
  <c r="V725" i="34"/>
  <c r="V727" i="34"/>
  <c r="V729" i="34"/>
  <c r="V731" i="34"/>
  <c r="V733" i="34"/>
  <c r="V735" i="34"/>
  <c r="V737" i="34"/>
  <c r="V739" i="34"/>
  <c r="V741" i="34"/>
  <c r="V743" i="34"/>
  <c r="V745" i="34"/>
  <c r="V747" i="34"/>
  <c r="V749" i="34"/>
  <c r="V751" i="34"/>
  <c r="V753" i="34"/>
  <c r="V755" i="34"/>
  <c r="V757" i="34"/>
  <c r="V759" i="34"/>
  <c r="V761" i="34"/>
  <c r="V763" i="34"/>
  <c r="V765" i="34"/>
  <c r="V79" i="60"/>
  <c r="I70" i="60" s="1"/>
  <c r="V97" i="60"/>
  <c r="I92" i="60" s="1"/>
  <c r="T152" i="34"/>
  <c r="T160" i="34"/>
  <c r="T161" i="34"/>
  <c r="T165" i="34"/>
  <c r="T153" i="34"/>
  <c r="X153" i="34"/>
  <c r="Z153" i="34"/>
  <c r="X152" i="34"/>
  <c r="X160" i="34"/>
  <c r="Z161" i="34"/>
  <c r="Y161" i="34"/>
  <c r="Z165" i="34"/>
  <c r="Y165" i="34"/>
  <c r="Y153" i="34"/>
  <c r="Z152" i="34"/>
  <c r="Z160" i="34"/>
  <c r="Y152" i="34"/>
  <c r="Y160" i="34"/>
  <c r="X161" i="34"/>
  <c r="X165" i="34"/>
  <c r="D193" i="60"/>
  <c r="K187" i="60" s="1"/>
  <c r="V276" i="60"/>
  <c r="I272" i="60" s="1"/>
  <c r="AB149" i="34"/>
  <c r="AB153" i="34"/>
  <c r="AB157" i="34"/>
  <c r="AB161" i="34"/>
  <c r="AB165" i="34"/>
  <c r="AB169" i="34"/>
  <c r="AB173" i="34"/>
  <c r="AB177" i="34"/>
  <c r="AB181" i="34"/>
  <c r="AB185" i="34"/>
  <c r="AB189" i="34"/>
  <c r="AB148" i="34"/>
  <c r="AB152" i="34"/>
  <c r="AB156" i="34"/>
  <c r="AB160" i="34"/>
  <c r="AB164" i="34"/>
  <c r="AB168" i="34"/>
  <c r="AB172" i="34"/>
  <c r="AB176" i="34"/>
  <c r="AB180" i="34"/>
  <c r="AB184" i="34"/>
  <c r="AB188" i="34"/>
  <c r="AB151" i="34"/>
  <c r="AB155" i="34"/>
  <c r="AB159" i="34"/>
  <c r="AB163" i="34"/>
  <c r="AB167" i="34"/>
  <c r="AB171" i="34"/>
  <c r="AB175" i="34"/>
  <c r="AB179" i="34"/>
  <c r="AB183" i="34"/>
  <c r="AB187" i="34"/>
  <c r="AB150" i="34"/>
  <c r="AB154" i="34"/>
  <c r="AB158" i="34"/>
  <c r="AB162" i="34"/>
  <c r="AB166" i="34"/>
  <c r="AB170" i="34"/>
  <c r="AB174" i="34"/>
  <c r="AB178" i="34"/>
  <c r="AB182" i="34"/>
  <c r="AB186" i="34"/>
  <c r="V710" i="34"/>
  <c r="V712" i="34"/>
  <c r="V714" i="34"/>
  <c r="V716" i="34"/>
  <c r="V718" i="34"/>
  <c r="V720" i="34"/>
  <c r="V722" i="34"/>
  <c r="V724" i="34"/>
  <c r="V726" i="34"/>
  <c r="V728" i="34"/>
  <c r="V730" i="34"/>
  <c r="V732" i="34"/>
  <c r="V734" i="34"/>
  <c r="V736" i="34"/>
  <c r="V738" i="34"/>
  <c r="V740" i="34"/>
  <c r="V742" i="34"/>
  <c r="V744" i="34"/>
  <c r="V746" i="34"/>
  <c r="V748" i="34"/>
  <c r="V750" i="34"/>
  <c r="V752" i="34"/>
  <c r="V754" i="34"/>
  <c r="V756" i="34"/>
  <c r="V758" i="34"/>
  <c r="V760" i="34"/>
  <c r="V762" i="34"/>
  <c r="V764" i="34"/>
  <c r="Y766" i="34"/>
  <c r="V251" i="60"/>
  <c r="I247" i="60" s="1"/>
  <c r="V153" i="34"/>
  <c r="V161" i="34"/>
  <c r="U161" i="34"/>
  <c r="V165" i="34"/>
  <c r="U165" i="34"/>
  <c r="U153" i="34"/>
  <c r="V152" i="34"/>
  <c r="V160" i="34"/>
  <c r="U152" i="34"/>
  <c r="U160" i="34"/>
  <c r="T148" i="34"/>
  <c r="X148" i="34"/>
  <c r="U148" i="34"/>
  <c r="Y148" i="34"/>
  <c r="AC148" i="34"/>
  <c r="V148" i="34"/>
  <c r="Z148" i="34"/>
  <c r="V149" i="34"/>
  <c r="Z149" i="34"/>
  <c r="A149" i="34"/>
  <c r="T149" i="34"/>
  <c r="X149" i="34"/>
  <c r="U149" i="34"/>
  <c r="Y149" i="34"/>
  <c r="AC149" i="34"/>
  <c r="A226" i="34"/>
  <c r="T150" i="34"/>
  <c r="X150" i="34"/>
  <c r="U150" i="34"/>
  <c r="Y150" i="34"/>
  <c r="AC150" i="34"/>
  <c r="A150" i="34"/>
  <c r="V150" i="34"/>
  <c r="Z150" i="34"/>
  <c r="A224" i="34"/>
  <c r="V151" i="34"/>
  <c r="Z151" i="34"/>
  <c r="T151" i="34"/>
  <c r="X151" i="34"/>
  <c r="A151" i="34"/>
  <c r="U151" i="34"/>
  <c r="Y151" i="34"/>
  <c r="AC151" i="34"/>
  <c r="A223" i="34"/>
  <c r="A197" i="34"/>
  <c r="A201" i="34"/>
  <c r="A205" i="34"/>
  <c r="A207" i="34"/>
  <c r="A209" i="34"/>
  <c r="A213" i="34"/>
  <c r="A215" i="34"/>
  <c r="A217" i="34"/>
  <c r="A219" i="34"/>
  <c r="A221" i="34"/>
  <c r="A194" i="34"/>
  <c r="A198" i="34"/>
  <c r="A202" i="34"/>
  <c r="A195" i="34"/>
  <c r="A199" i="34"/>
  <c r="A203" i="34"/>
  <c r="A206" i="34"/>
  <c r="A208" i="34"/>
  <c r="A218" i="34"/>
  <c r="A220" i="34"/>
  <c r="A222" i="34"/>
  <c r="A196" i="34"/>
  <c r="A200" i="34"/>
  <c r="A204" i="34"/>
  <c r="A193" i="34"/>
  <c r="R148" i="34"/>
  <c r="Q149" i="34"/>
  <c r="S151" i="34"/>
  <c r="R152" i="34"/>
  <c r="Q153" i="34"/>
  <c r="S148" i="34"/>
  <c r="R149" i="34"/>
  <c r="Q150" i="34"/>
  <c r="S152" i="34"/>
  <c r="R153" i="34"/>
  <c r="S149" i="34"/>
  <c r="R150" i="34"/>
  <c r="Q151" i="34"/>
  <c r="S153" i="34"/>
  <c r="Q148" i="34"/>
  <c r="S150" i="34"/>
  <c r="R151" i="34"/>
  <c r="Q152"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A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A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A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808" i="34"/>
  <c r="AD179" i="34"/>
  <c r="AD184" i="34"/>
  <c r="AD170" i="34"/>
  <c r="AD177" i="34"/>
  <c r="AD185" i="34"/>
  <c r="AD167" i="34"/>
  <c r="AD165" i="34"/>
  <c r="AD798" i="34"/>
  <c r="AD782" i="34"/>
  <c r="AD766" i="34"/>
  <c r="AD750" i="34"/>
  <c r="AD734" i="34"/>
  <c r="AD718" i="34"/>
  <c r="AD702" i="34"/>
  <c r="AD686" i="34"/>
  <c r="AD670" i="34"/>
  <c r="AD654" i="34"/>
  <c r="AD638" i="34"/>
  <c r="AD622" i="34"/>
  <c r="AD175" i="34"/>
  <c r="AD180" i="34"/>
  <c r="AD187" i="34"/>
  <c r="AD173" i="34"/>
  <c r="AD176" i="34"/>
  <c r="AD181" i="34"/>
  <c r="AD169" i="34"/>
  <c r="AD794" i="34"/>
  <c r="AD778" i="34"/>
  <c r="AD762" i="34"/>
  <c r="AD746" i="34"/>
  <c r="AD730" i="34"/>
  <c r="AD714" i="34"/>
  <c r="AD698" i="34"/>
  <c r="AD682" i="34"/>
  <c r="AD666" i="34"/>
  <c r="AD650" i="34"/>
  <c r="AD171" i="34"/>
  <c r="AD178" i="34"/>
  <c r="AD183" i="34"/>
  <c r="AD186" i="34"/>
  <c r="AD172" i="34"/>
  <c r="AD164" i="34"/>
  <c r="AD806" i="34"/>
  <c r="AD790" i="34"/>
  <c r="AD774" i="34"/>
  <c r="AD758" i="34"/>
  <c r="AD742" i="34"/>
  <c r="AD726" i="34"/>
  <c r="AD710" i="34"/>
  <c r="AD694" i="34"/>
  <c r="AD678" i="34"/>
  <c r="AD662" i="34"/>
  <c r="AD646" i="34"/>
  <c r="AD630" i="34"/>
  <c r="AD188" i="34"/>
  <c r="AD174" i="34"/>
  <c r="AD182" i="34"/>
  <c r="AD189" i="34"/>
  <c r="AD163" i="34"/>
  <c r="AD168" i="34"/>
  <c r="AD166" i="34"/>
  <c r="AD802" i="34"/>
  <c r="AD786" i="34"/>
  <c r="AD770" i="34"/>
  <c r="AD754" i="34"/>
  <c r="AD738" i="34"/>
  <c r="AD722" i="34"/>
  <c r="AD706" i="34"/>
  <c r="AD690" i="34"/>
  <c r="AD674" i="34"/>
  <c r="AD658" i="34"/>
  <c r="AD642" i="34"/>
  <c r="AD626" i="34"/>
  <c r="AD801" i="34"/>
  <c r="AD785" i="34"/>
  <c r="AD769" i="34"/>
  <c r="AD753" i="34"/>
  <c r="AD737" i="34"/>
  <c r="AD721" i="34"/>
  <c r="AD705" i="34"/>
  <c r="AD634" i="34"/>
  <c r="AD797" i="34"/>
  <c r="AD777" i="34"/>
  <c r="AD757" i="34"/>
  <c r="AD733" i="34"/>
  <c r="AD713" i="34"/>
  <c r="AD693" i="34"/>
  <c r="AD677" i="34"/>
  <c r="AD661" i="34"/>
  <c r="AD645" i="34"/>
  <c r="AD629" i="34"/>
  <c r="AD800" i="34"/>
  <c r="AD784" i="34"/>
  <c r="AD768" i="34"/>
  <c r="AD752" i="34"/>
  <c r="AD736" i="34"/>
  <c r="AD720" i="34"/>
  <c r="AD704" i="34"/>
  <c r="AD688" i="34"/>
  <c r="AD672" i="34"/>
  <c r="AD656" i="34"/>
  <c r="AD640" i="34"/>
  <c r="AD624" i="34"/>
  <c r="AD799" i="34"/>
  <c r="AD783" i="34"/>
  <c r="AD767" i="34"/>
  <c r="AD751" i="34"/>
  <c r="AD735" i="34"/>
  <c r="AD719" i="34"/>
  <c r="AD703" i="34"/>
  <c r="AD687" i="34"/>
  <c r="AD671" i="34"/>
  <c r="AD655" i="34"/>
  <c r="AD639" i="34"/>
  <c r="AD623" i="34"/>
  <c r="AD618" i="34"/>
  <c r="AD793" i="34"/>
  <c r="AD773" i="34"/>
  <c r="AD749" i="34"/>
  <c r="AD729" i="34"/>
  <c r="AD709" i="34"/>
  <c r="AD689" i="34"/>
  <c r="AD673" i="34"/>
  <c r="AD657" i="34"/>
  <c r="AD641" i="34"/>
  <c r="AD625" i="34"/>
  <c r="AD796" i="34"/>
  <c r="AD780" i="34"/>
  <c r="AD764" i="34"/>
  <c r="AD748" i="34"/>
  <c r="AD732" i="34"/>
  <c r="AD716" i="34"/>
  <c r="AD700" i="34"/>
  <c r="AD684" i="34"/>
  <c r="AD668" i="34"/>
  <c r="AD652" i="34"/>
  <c r="AD636" i="34"/>
  <c r="AD620" i="34"/>
  <c r="AD795" i="34"/>
  <c r="AD779" i="34"/>
  <c r="AD763" i="34"/>
  <c r="AD747" i="34"/>
  <c r="AD731" i="34"/>
  <c r="AD715" i="34"/>
  <c r="AD699" i="34"/>
  <c r="AD683" i="34"/>
  <c r="AD667" i="34"/>
  <c r="AD651" i="34"/>
  <c r="AD635" i="34"/>
  <c r="AD619" i="34"/>
  <c r="AD162" i="34"/>
  <c r="AD789" i="34"/>
  <c r="AD765" i="34"/>
  <c r="AD745" i="34"/>
  <c r="AD725" i="34"/>
  <c r="AD701" i="34"/>
  <c r="AD685" i="34"/>
  <c r="AD669" i="34"/>
  <c r="AD653" i="34"/>
  <c r="AD637" i="34"/>
  <c r="AD621" i="34"/>
  <c r="AD792" i="34"/>
  <c r="AD776" i="34"/>
  <c r="AD760" i="34"/>
  <c r="AD744" i="34"/>
  <c r="AD728" i="34"/>
  <c r="AD712" i="34"/>
  <c r="AD696" i="34"/>
  <c r="AD680" i="34"/>
  <c r="AD664" i="34"/>
  <c r="AD648" i="34"/>
  <c r="AD632" i="34"/>
  <c r="AD807" i="34"/>
  <c r="AD791" i="34"/>
  <c r="AD775" i="34"/>
  <c r="AD759" i="34"/>
  <c r="AD743" i="34"/>
  <c r="AD727" i="34"/>
  <c r="AD711" i="34"/>
  <c r="AD695" i="34"/>
  <c r="AD679" i="34"/>
  <c r="AD663" i="34"/>
  <c r="AD647" i="34"/>
  <c r="AD631" i="34"/>
  <c r="AD805" i="34"/>
  <c r="AD781" i="34"/>
  <c r="AD761" i="34"/>
  <c r="AD741" i="34"/>
  <c r="AD717" i="34"/>
  <c r="AD697" i="34"/>
  <c r="AD681" i="34"/>
  <c r="AD665" i="34"/>
  <c r="AD649" i="34"/>
  <c r="AD633" i="34"/>
  <c r="AD804" i="34"/>
  <c r="AD788" i="34"/>
  <c r="AD772" i="34"/>
  <c r="AD756" i="34"/>
  <c r="AD740" i="34"/>
  <c r="AD724" i="34"/>
  <c r="AD708" i="34"/>
  <c r="AD692" i="34"/>
  <c r="AD676" i="34"/>
  <c r="AD660" i="34"/>
  <c r="AD644" i="34"/>
  <c r="AD628" i="34"/>
  <c r="AD803" i="34"/>
  <c r="AD787" i="34"/>
  <c r="AD771" i="34"/>
  <c r="AD755" i="34"/>
  <c r="AD739" i="34"/>
  <c r="AD723" i="34"/>
  <c r="AD707" i="34"/>
  <c r="AD691" i="34"/>
  <c r="AD675" i="34"/>
  <c r="AD659" i="34"/>
  <c r="AD643" i="34"/>
  <c r="AD627"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F24" i="12" a="1"/>
  <c r="F24" i="12" s="1"/>
  <c r="H14" i="62" a="1"/>
  <c r="H14" i="62" s="1"/>
  <c r="H15" i="62" a="1"/>
  <c r="H15" i="62" s="1"/>
  <c r="E23" i="12" a="1"/>
  <c r="E23" i="12" s="1"/>
  <c r="E25" i="12" a="1"/>
  <c r="E25" i="12" s="1"/>
  <c r="F23" i="12" a="1"/>
  <c r="F23" i="12" s="1"/>
  <c r="F25" i="12" a="1"/>
  <c r="F25" i="12" s="1"/>
  <c r="J14" i="62" a="1"/>
  <c r="J14" i="62" s="1"/>
  <c r="J15" i="62" a="1"/>
  <c r="J15" i="62" s="1"/>
  <c r="E24" i="12" a="1"/>
  <c r="E24" i="12" s="1"/>
  <c r="J13" i="62" a="1"/>
  <c r="J13" i="62" s="1"/>
  <c r="H13" i="62" a="1"/>
  <c r="H13" i="62" s="1"/>
  <c r="J9" i="62" a="1"/>
  <c r="J9" i="62" s="1"/>
  <c r="H9" i="62" a="1"/>
  <c r="H9" i="62" s="1"/>
  <c r="J5" i="62" a="1"/>
  <c r="J5" i="62" s="1"/>
  <c r="H5" i="62" a="1"/>
  <c r="H5" i="62" s="1"/>
  <c r="J11" i="62" a="1"/>
  <c r="J11" i="62" s="1"/>
  <c r="H11" i="62" a="1"/>
  <c r="H11" i="62" s="1"/>
  <c r="J7" i="62" a="1"/>
  <c r="J7" i="62" s="1"/>
  <c r="H7" i="62" a="1"/>
  <c r="H7" i="62" s="1"/>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A26" i="34"/>
  <c r="G2" i="56"/>
  <c r="F36" i="56"/>
  <c r="L9" i="60"/>
  <c r="V55" i="60"/>
  <c r="I50" i="60" s="1"/>
  <c r="G110" i="60"/>
  <c r="G114" i="60" s="1"/>
  <c r="V123" i="60"/>
  <c r="I114" i="60" s="1"/>
  <c r="V148" i="60"/>
  <c r="I141" i="60" s="1"/>
  <c r="H188" i="60"/>
  <c r="H189" i="60"/>
  <c r="V284" i="60"/>
  <c r="L274" i="60" s="1"/>
  <c r="A58" i="34"/>
  <c r="AM66" i="48"/>
  <c r="F29" i="56"/>
  <c r="L247" i="60"/>
  <c r="A12" i="55"/>
  <c r="F30" i="56"/>
  <c r="H187" i="60"/>
  <c r="V225" i="60"/>
  <c r="I221" i="60" s="1"/>
  <c r="A42" i="34"/>
  <c r="A74" i="34"/>
  <c r="A18" i="34"/>
  <c r="A34" i="34"/>
  <c r="A50" i="34"/>
  <c r="A66" i="34"/>
  <c r="A82" i="34"/>
  <c r="A22" i="34"/>
  <c r="A30" i="34"/>
  <c r="A38" i="34"/>
  <c r="A46" i="34"/>
  <c r="A54" i="34"/>
  <c r="A62" i="34"/>
  <c r="A70" i="34"/>
  <c r="A78" i="34"/>
  <c r="A541" i="34"/>
  <c r="A542" i="34"/>
  <c r="A12" i="34"/>
  <c r="Q12" i="34"/>
  <c r="A14" i="34"/>
  <c r="Q14" i="34"/>
  <c r="A16" i="34"/>
  <c r="Q16" i="34"/>
  <c r="A20" i="34"/>
  <c r="A24" i="34"/>
  <c r="A28" i="34"/>
  <c r="A32" i="34"/>
  <c r="A36" i="34"/>
  <c r="A40" i="34"/>
  <c r="A44" i="34"/>
  <c r="A48" i="34"/>
  <c r="A52" i="34"/>
  <c r="A56" i="34"/>
  <c r="A60" i="34"/>
  <c r="A64" i="34"/>
  <c r="A68" i="34"/>
  <c r="A72" i="34"/>
  <c r="A76" i="34"/>
  <c r="A80"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X86" i="34"/>
  <c r="X90" i="34"/>
  <c r="X126" i="34"/>
  <c r="X130" i="34"/>
  <c r="X134" i="34"/>
  <c r="X138" i="34"/>
  <c r="X142" i="34"/>
  <c r="X146" i="34"/>
  <c r="A543" i="34"/>
  <c r="A544" i="34"/>
  <c r="A545" i="34"/>
  <c r="A546" i="34"/>
  <c r="A547" i="34"/>
  <c r="A548" i="34"/>
  <c r="A549" i="34"/>
  <c r="A550" i="34"/>
  <c r="A551" i="34"/>
  <c r="A552" i="34"/>
  <c r="A553" i="34"/>
  <c r="A554" i="34"/>
  <c r="A555" i="34"/>
  <c r="A556" i="34"/>
  <c r="A557"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T795" i="34"/>
  <c r="T796" i="34"/>
  <c r="T797" i="34"/>
  <c r="T798" i="34"/>
  <c r="T799" i="34"/>
  <c r="T800" i="34"/>
  <c r="T801" i="34"/>
  <c r="T802" i="34"/>
  <c r="T803" i="34"/>
  <c r="T804" i="34"/>
  <c r="T805" i="34"/>
  <c r="T806" i="34"/>
  <c r="T807" i="34"/>
  <c r="T808"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795" i="34"/>
  <c r="Y795" i="34"/>
  <c r="A796" i="34"/>
  <c r="Y796" i="34"/>
  <c r="A797" i="34"/>
  <c r="Y797" i="34"/>
  <c r="A798" i="34"/>
  <c r="Y798" i="34"/>
  <c r="A799" i="34"/>
  <c r="Y799" i="34"/>
  <c r="A800" i="34"/>
  <c r="Y800" i="34"/>
  <c r="A801" i="34"/>
  <c r="Y801" i="34"/>
  <c r="A802" i="34"/>
  <c r="Y802" i="34"/>
  <c r="A803" i="34"/>
  <c r="Y803" i="34"/>
  <c r="A804" i="34"/>
  <c r="Y804" i="34"/>
  <c r="A805" i="34"/>
  <c r="Y805" i="34"/>
  <c r="A806" i="34"/>
  <c r="Y806" i="34"/>
  <c r="A807" i="34"/>
  <c r="Y807" i="34"/>
  <c r="A808" i="34"/>
  <c r="Y808"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A559" i="34"/>
  <c r="A561" i="34"/>
  <c r="A563" i="34"/>
  <c r="A565" i="34"/>
  <c r="A567" i="34"/>
  <c r="A569" i="34"/>
  <c r="A571" i="34"/>
  <c r="A573" i="34"/>
  <c r="A575" i="34"/>
  <c r="A577" i="34"/>
  <c r="A579" i="34"/>
  <c r="A581" i="34"/>
  <c r="A583" i="34"/>
  <c r="A585" i="34"/>
  <c r="A587" i="34"/>
  <c r="A589" i="34"/>
  <c r="A591" i="34"/>
  <c r="A593" i="34"/>
  <c r="A595" i="34"/>
  <c r="A597" i="34"/>
  <c r="A599" i="34"/>
  <c r="A601" i="34"/>
  <c r="A603" i="34"/>
  <c r="A605" i="34"/>
  <c r="A607" i="34"/>
  <c r="A609" i="34"/>
  <c r="A611" i="34"/>
  <c r="A613" i="34"/>
  <c r="A615" i="34"/>
  <c r="A533" i="34"/>
  <c r="A534" i="34"/>
  <c r="A535" i="34"/>
  <c r="A536" i="34"/>
  <c r="A537" i="34"/>
  <c r="A538" i="34"/>
  <c r="A539" i="34"/>
  <c r="A540" i="34"/>
  <c r="A558" i="34"/>
  <c r="A560" i="34"/>
  <c r="A562" i="34"/>
  <c r="A564" i="34"/>
  <c r="A566" i="34"/>
  <c r="A568" i="34"/>
  <c r="A570" i="34"/>
  <c r="A572" i="34"/>
  <c r="A574" i="34"/>
  <c r="A576" i="34"/>
  <c r="A578" i="34"/>
  <c r="A580" i="34"/>
  <c r="A582" i="34"/>
  <c r="A584" i="34"/>
  <c r="A586" i="34"/>
  <c r="A588" i="34"/>
  <c r="A590" i="34"/>
  <c r="A592" i="34"/>
  <c r="A594" i="34"/>
  <c r="A596" i="34"/>
  <c r="A598" i="34"/>
  <c r="A600" i="34"/>
  <c r="A602" i="34"/>
  <c r="A604" i="34"/>
  <c r="A606" i="34"/>
  <c r="A608" i="34"/>
  <c r="A610" i="34"/>
  <c r="A612" i="34"/>
  <c r="A614" i="34"/>
  <c r="A616"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AC752" i="34"/>
  <c r="Y752" i="34"/>
  <c r="T752" i="34"/>
  <c r="A752" i="34"/>
  <c r="AC754" i="34"/>
  <c r="Y754" i="34"/>
  <c r="T754" i="34"/>
  <c r="A754" i="34"/>
  <c r="AC756" i="34"/>
  <c r="Y756" i="34"/>
  <c r="T756" i="34"/>
  <c r="A756" i="34"/>
  <c r="AC758" i="34"/>
  <c r="Y758" i="34"/>
  <c r="T758" i="34"/>
  <c r="A758" i="34"/>
  <c r="AC760" i="34"/>
  <c r="Y760" i="34"/>
  <c r="T760" i="34"/>
  <c r="A760" i="34"/>
  <c r="AC762" i="34"/>
  <c r="Y762" i="34"/>
  <c r="T762" i="34"/>
  <c r="A762" i="34"/>
  <c r="AC764" i="34"/>
  <c r="Y764" i="34"/>
  <c r="T764" i="34"/>
  <c r="A764" i="34"/>
  <c r="T766" i="34"/>
  <c r="A766" i="34"/>
  <c r="A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T667" i="34"/>
  <c r="Y667" i="34"/>
  <c r="A668" i="34"/>
  <c r="T668" i="34"/>
  <c r="Y668" i="34"/>
  <c r="A669" i="34"/>
  <c r="T669" i="34"/>
  <c r="Y669" i="34"/>
  <c r="A670" i="34"/>
  <c r="T670" i="34"/>
  <c r="Y670" i="34"/>
  <c r="A671" i="34"/>
  <c r="T671" i="34"/>
  <c r="Y671" i="34"/>
  <c r="A672" i="34"/>
  <c r="T672" i="34"/>
  <c r="Y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V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T695" i="34"/>
  <c r="Y695" i="34"/>
  <c r="A696" i="34"/>
  <c r="T696" i="34"/>
  <c r="Y696" i="34"/>
  <c r="A697" i="34"/>
  <c r="T697" i="34"/>
  <c r="Y697" i="34"/>
  <c r="A698" i="34"/>
  <c r="T698" i="34"/>
  <c r="Y698" i="34"/>
  <c r="A699" i="34"/>
  <c r="T699" i="34"/>
  <c r="Y699" i="34"/>
  <c r="A700" i="34"/>
  <c r="T700" i="34"/>
  <c r="Y700" i="34"/>
  <c r="A701" i="34"/>
  <c r="T701" i="34"/>
  <c r="Y701" i="34"/>
  <c r="A702" i="34"/>
  <c r="T702" i="34"/>
  <c r="Y702" i="34"/>
  <c r="A703" i="34"/>
  <c r="T703" i="34"/>
  <c r="Y703" i="34"/>
  <c r="A704" i="34"/>
  <c r="T704" i="34"/>
  <c r="Y704" i="34"/>
  <c r="A705" i="34"/>
  <c r="T705" i="34"/>
  <c r="Y705" i="34"/>
  <c r="A706" i="34"/>
  <c r="T706" i="34"/>
  <c r="Y706" i="34"/>
  <c r="A707" i="34"/>
  <c r="T707" i="34"/>
  <c r="Y707" i="34"/>
  <c r="A708" i="34"/>
  <c r="T708" i="34"/>
  <c r="Y708" i="34"/>
  <c r="A709" i="34"/>
  <c r="R710" i="34"/>
  <c r="R712" i="34"/>
  <c r="R714" i="34"/>
  <c r="R716" i="34"/>
  <c r="R718" i="34"/>
  <c r="R720" i="34"/>
  <c r="R722" i="34"/>
  <c r="R724" i="34"/>
  <c r="R726" i="34"/>
  <c r="R728" i="34"/>
  <c r="R730" i="34"/>
  <c r="R732" i="34"/>
  <c r="R734" i="34"/>
  <c r="R736" i="34"/>
  <c r="R738" i="34"/>
  <c r="R740" i="34"/>
  <c r="R742" i="34"/>
  <c r="R744" i="34"/>
  <c r="R746" i="34"/>
  <c r="R748" i="34"/>
  <c r="R750" i="34"/>
  <c r="R752" i="34"/>
  <c r="R754" i="34"/>
  <c r="R756" i="34"/>
  <c r="R758" i="34"/>
  <c r="R760" i="34"/>
  <c r="R762" i="34"/>
  <c r="R764" i="34"/>
  <c r="R766" i="34"/>
  <c r="AC709" i="34"/>
  <c r="Y709" i="34"/>
  <c r="T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AC753" i="34"/>
  <c r="Y753" i="34"/>
  <c r="T753" i="34"/>
  <c r="A753" i="34"/>
  <c r="AC755" i="34"/>
  <c r="Y755" i="34"/>
  <c r="T755" i="34"/>
  <c r="A755" i="34"/>
  <c r="AC757" i="34"/>
  <c r="Y757" i="34"/>
  <c r="T757" i="34"/>
  <c r="A757" i="34"/>
  <c r="AC759" i="34"/>
  <c r="Y759" i="34"/>
  <c r="T759" i="34"/>
  <c r="A759" i="34"/>
  <c r="AC761" i="34"/>
  <c r="Y761" i="34"/>
  <c r="T761" i="34"/>
  <c r="A761" i="34"/>
  <c r="AC763" i="34"/>
  <c r="Y763" i="34"/>
  <c r="T763" i="34"/>
  <c r="A763" i="34"/>
  <c r="AC765" i="34"/>
  <c r="Y765" i="34"/>
  <c r="T765" i="34"/>
  <c r="A765"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7" i="34"/>
  <c r="V667" i="34"/>
  <c r="R668" i="34"/>
  <c r="V668" i="34"/>
  <c r="R669" i="34"/>
  <c r="V669" i="34"/>
  <c r="R670" i="34"/>
  <c r="V670" i="34"/>
  <c r="R671" i="34"/>
  <c r="V671" i="34"/>
  <c r="R672" i="34"/>
  <c r="V672" i="34"/>
  <c r="R673" i="34"/>
  <c r="V673" i="34"/>
  <c r="R674" i="34"/>
  <c r="V674" i="34"/>
  <c r="R675" i="34"/>
  <c r="V675" i="34"/>
  <c r="R676" i="34"/>
  <c r="V676" i="34"/>
  <c r="R677" i="34"/>
  <c r="V677" i="34"/>
  <c r="R678" i="34"/>
  <c r="V678" i="34"/>
  <c r="R679" i="34"/>
  <c r="V679" i="34"/>
  <c r="R680" i="34"/>
  <c r="V680"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V695" i="34"/>
  <c r="R696" i="34"/>
  <c r="V696" i="34"/>
  <c r="R697" i="34"/>
  <c r="V697" i="34"/>
  <c r="R698" i="34"/>
  <c r="V698" i="34"/>
  <c r="R699" i="34"/>
  <c r="V699" i="34"/>
  <c r="R700" i="34"/>
  <c r="V700" i="34"/>
  <c r="R701" i="34"/>
  <c r="V701" i="34"/>
  <c r="R702" i="34"/>
  <c r="V702" i="34"/>
  <c r="R703" i="34"/>
  <c r="V703" i="34"/>
  <c r="R704" i="34"/>
  <c r="V704" i="34"/>
  <c r="R705" i="34"/>
  <c r="V705" i="34"/>
  <c r="R706" i="34"/>
  <c r="V706" i="34"/>
  <c r="R707" i="34"/>
  <c r="V707" i="34"/>
  <c r="R708" i="34"/>
  <c r="V708"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R755" i="34"/>
  <c r="R757" i="34"/>
  <c r="R759" i="34"/>
  <c r="R761" i="34"/>
  <c r="R763" i="34"/>
  <c r="R765"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R795" i="34"/>
  <c r="V795" i="34"/>
  <c r="R796" i="34"/>
  <c r="V796" i="34"/>
  <c r="R797" i="34"/>
  <c r="V797" i="34"/>
  <c r="R798" i="34"/>
  <c r="V798" i="34"/>
  <c r="R799" i="34"/>
  <c r="V799" i="34"/>
  <c r="R800" i="34"/>
  <c r="V800" i="34"/>
  <c r="R801" i="34"/>
  <c r="V801" i="34"/>
  <c r="R802" i="34"/>
  <c r="V802" i="34"/>
  <c r="R803" i="34"/>
  <c r="V803" i="34"/>
  <c r="R804" i="34"/>
  <c r="V804" i="34"/>
  <c r="R805" i="34"/>
  <c r="V805" i="34"/>
  <c r="R806" i="34"/>
  <c r="V806" i="34"/>
  <c r="R807" i="34"/>
  <c r="V807" i="34"/>
  <c r="R808" i="34"/>
  <c r="V808"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AC681" i="34"/>
  <c r="Z681" i="34"/>
  <c r="X681" i="34"/>
  <c r="U681" i="34"/>
  <c r="S681"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S667" i="34"/>
  <c r="U667" i="34"/>
  <c r="X667" i="34"/>
  <c r="Z667" i="34"/>
  <c r="Q668" i="34"/>
  <c r="S668" i="34"/>
  <c r="U668" i="34"/>
  <c r="X668" i="34"/>
  <c r="Z668" i="34"/>
  <c r="Q669" i="34"/>
  <c r="S669" i="34"/>
  <c r="U669" i="34"/>
  <c r="X669" i="34"/>
  <c r="Z669" i="34"/>
  <c r="Q670" i="34"/>
  <c r="S670" i="34"/>
  <c r="U670" i="34"/>
  <c r="X670" i="34"/>
  <c r="Z670" i="34"/>
  <c r="Q671" i="34"/>
  <c r="S671" i="34"/>
  <c r="U671" i="34"/>
  <c r="X671" i="34"/>
  <c r="Z671" i="34"/>
  <c r="Q672" i="34"/>
  <c r="S672" i="34"/>
  <c r="U672" i="34"/>
  <c r="X672" i="34"/>
  <c r="Z672"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T681" i="34"/>
  <c r="Y681" i="34"/>
  <c r="AC766" i="34"/>
  <c r="Z766" i="34"/>
  <c r="X766" i="34"/>
  <c r="U766"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U752" i="34"/>
  <c r="X752" i="34"/>
  <c r="Z752" i="34"/>
  <c r="Q753" i="34"/>
  <c r="S753" i="34"/>
  <c r="U753" i="34"/>
  <c r="X753" i="34"/>
  <c r="Z753" i="34"/>
  <c r="Q754" i="34"/>
  <c r="S754" i="34"/>
  <c r="U754" i="34"/>
  <c r="X754" i="34"/>
  <c r="Z754" i="34"/>
  <c r="Q755" i="34"/>
  <c r="S755" i="34"/>
  <c r="U755" i="34"/>
  <c r="X755" i="34"/>
  <c r="Z755" i="34"/>
  <c r="Q756" i="34"/>
  <c r="S756" i="34"/>
  <c r="U756" i="34"/>
  <c r="X756" i="34"/>
  <c r="Z756" i="34"/>
  <c r="Q757" i="34"/>
  <c r="S757" i="34"/>
  <c r="U757" i="34"/>
  <c r="X757" i="34"/>
  <c r="Z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V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Q795" i="34"/>
  <c r="S795" i="34"/>
  <c r="U795" i="34"/>
  <c r="X795" i="34"/>
  <c r="Z795" i="34"/>
  <c r="Q796" i="34"/>
  <c r="S796" i="34"/>
  <c r="U796" i="34"/>
  <c r="X796" i="34"/>
  <c r="Z796" i="34"/>
  <c r="Q797" i="34"/>
  <c r="S797" i="34"/>
  <c r="U797" i="34"/>
  <c r="X797" i="34"/>
  <c r="Z797" i="34"/>
  <c r="Q798" i="34"/>
  <c r="S798" i="34"/>
  <c r="U798" i="34"/>
  <c r="X798" i="34"/>
  <c r="Z798" i="34"/>
  <c r="Q799" i="34"/>
  <c r="S799" i="34"/>
  <c r="U799" i="34"/>
  <c r="X799" i="34"/>
  <c r="Z799" i="34"/>
  <c r="Q800" i="34"/>
  <c r="S800" i="34"/>
  <c r="U800" i="34"/>
  <c r="X800" i="34"/>
  <c r="Z800" i="34"/>
  <c r="Q801" i="34"/>
  <c r="S801" i="34"/>
  <c r="U801" i="34"/>
  <c r="X801" i="34"/>
  <c r="Z801" i="34"/>
  <c r="Q802" i="34"/>
  <c r="S802" i="34"/>
  <c r="U802" i="34"/>
  <c r="X802" i="34"/>
  <c r="Z802" i="34"/>
  <c r="Q803" i="34"/>
  <c r="S803" i="34"/>
  <c r="U803" i="34"/>
  <c r="X803" i="34"/>
  <c r="Z803" i="34"/>
  <c r="Q804" i="34"/>
  <c r="S804" i="34"/>
  <c r="U804" i="34"/>
  <c r="X804" i="34"/>
  <c r="Z804" i="34"/>
  <c r="Q805" i="34"/>
  <c r="S805" i="34"/>
  <c r="U805" i="34"/>
  <c r="X805" i="34"/>
  <c r="Z805" i="34"/>
  <c r="Q806" i="34"/>
  <c r="S806" i="34"/>
  <c r="U806" i="34"/>
  <c r="X806" i="34"/>
  <c r="Z806" i="34"/>
  <c r="Q807" i="34"/>
  <c r="S807" i="34"/>
  <c r="U807" i="34"/>
  <c r="X807" i="34"/>
  <c r="Z807" i="34"/>
  <c r="Q808" i="34"/>
  <c r="S808" i="34"/>
  <c r="U808" i="34"/>
  <c r="X808" i="34"/>
  <c r="Z808" i="34"/>
  <c r="AB11" i="34"/>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808" i="34"/>
  <c r="AB806" i="34"/>
  <c r="AB804" i="34"/>
  <c r="AB802" i="34"/>
  <c r="AB800" i="34"/>
  <c r="AB798" i="34"/>
  <c r="AB796" i="34"/>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807" i="34"/>
  <c r="AB805" i="34"/>
  <c r="AB803" i="34"/>
  <c r="AB801" i="34"/>
  <c r="AB799" i="34"/>
  <c r="AB797" i="34"/>
  <c r="AB795"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F18" i="15" a="1"/>
  <c r="F18" i="15" s="1"/>
  <c r="F19" i="15" s="1"/>
  <c r="B14" i="55"/>
  <c r="A13" i="55"/>
  <c r="G35" i="55"/>
  <c r="I35" i="55"/>
  <c r="G141" i="60"/>
  <c r="D70" i="60"/>
  <c r="G67" i="60"/>
  <c r="H112" i="60"/>
  <c r="K111" i="60"/>
  <c r="J110" i="60"/>
  <c r="J109" i="60"/>
  <c r="J112" i="60"/>
  <c r="H110" i="60"/>
  <c r="I109" i="60"/>
  <c r="I112" i="60"/>
  <c r="J111" i="60"/>
  <c r="H109" i="60"/>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K191" i="60"/>
  <c r="V37" i="60"/>
  <c r="I31" i="60" s="1"/>
  <c r="G187" i="60"/>
  <c r="V198" i="60"/>
  <c r="I193" i="60" s="1"/>
  <c r="D272" i="60"/>
  <c r="G265" i="60"/>
  <c r="H190" i="60"/>
  <c r="D247" i="60"/>
  <c r="G31" i="60"/>
  <c r="D31" i="60"/>
  <c r="D11" i="60"/>
  <c r="I7" i="60" s="1"/>
  <c r="G8" i="60"/>
  <c r="F12" i="15" a="1"/>
  <c r="F12" i="15" s="1"/>
  <c r="E29" i="15" a="1"/>
  <c r="E29" i="15" s="1"/>
  <c r="F55" i="15" a="1"/>
  <c r="F55" i="15" s="1"/>
  <c r="F24" i="15" a="1"/>
  <c r="F24" i="15" s="1"/>
  <c r="E54" i="15" a="1"/>
  <c r="E54" i="15" s="1"/>
  <c r="B14" i="58"/>
  <c r="F14" i="58" s="1"/>
  <c r="K33" i="55"/>
  <c r="K40" i="55"/>
  <c r="K26" i="55"/>
  <c r="K30" i="55"/>
  <c r="I43" i="55"/>
  <c r="I54" i="55"/>
  <c r="E12" i="15" a="1"/>
  <c r="E12" i="15" s="1"/>
  <c r="E18" i="15" a="1"/>
  <c r="E18" i="15" s="1"/>
  <c r="E19" i="15" s="1"/>
  <c r="E24" i="15" a="1"/>
  <c r="E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E32"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E56" i="15" a="1"/>
  <c r="E56" i="15" s="1"/>
  <c r="F58" i="15" a="1"/>
  <c r="F58" i="15" s="1"/>
  <c r="F31" i="15" a="1"/>
  <c r="F31" i="15" s="1"/>
  <c r="F32" i="15" s="1"/>
  <c r="F48" i="15" a="1"/>
  <c r="F48" i="15" s="1"/>
  <c r="F10" i="15" a="1"/>
  <c r="F10" i="15" s="1"/>
  <c r="F13" i="15" a="1"/>
  <c r="F13" i="15" s="1"/>
  <c r="F16" i="15" a="1"/>
  <c r="F16" i="15" s="1"/>
  <c r="F20" i="15" a="1"/>
  <c r="F20" i="15" s="1"/>
  <c r="F22" i="15" a="1"/>
  <c r="F22" i="15" s="1"/>
  <c r="F25" i="15" a="1"/>
  <c r="F25" i="15" s="1"/>
  <c r="E27" i="15" a="1"/>
  <c r="E27" i="15" s="1"/>
  <c r="G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E55" i="15" a="1"/>
  <c r="E55" i="15" s="1"/>
  <c r="F56" i="15" a="1"/>
  <c r="F56" i="15" s="1"/>
  <c r="F57" i="15" a="1"/>
  <c r="F57" i="15" s="1"/>
  <c r="E59" i="15" a="1"/>
  <c r="E59" i="15" s="1"/>
  <c r="F15" i="47"/>
  <c r="A18" i="47"/>
  <c r="C20" i="47"/>
  <c r="E22" i="47"/>
  <c r="G24" i="47"/>
  <c r="B27" i="47"/>
  <c r="D29" i="47"/>
  <c r="F31" i="47"/>
  <c r="A34" i="47"/>
  <c r="C36" i="47"/>
  <c r="E38" i="47"/>
  <c r="G40" i="47"/>
  <c r="B43" i="47"/>
  <c r="D45" i="47"/>
  <c r="I45" i="47" s="1"/>
  <c r="F47" i="47"/>
  <c r="A50" i="47"/>
  <c r="I34" i="15"/>
  <c r="E39" i="15"/>
  <c r="G19" i="52"/>
  <c r="B19" i="52"/>
  <c r="H18" i="52"/>
  <c r="C18" i="52"/>
  <c r="I17" i="52"/>
  <c r="D17" i="52"/>
  <c r="E19" i="52"/>
  <c r="J18" i="52"/>
  <c r="D18" i="52"/>
  <c r="H17" i="52"/>
  <c r="B17" i="52"/>
  <c r="J19" i="52"/>
  <c r="D19" i="52"/>
  <c r="I18" i="52"/>
  <c r="B18" i="52"/>
  <c r="G17" i="52"/>
  <c r="A17" i="52"/>
  <c r="I19" i="52"/>
  <c r="C19" i="52"/>
  <c r="M19" i="52" s="1"/>
  <c r="G18" i="52"/>
  <c r="A18" i="52"/>
  <c r="E17" i="52"/>
  <c r="H19" i="52"/>
  <c r="A19" i="52"/>
  <c r="E18" i="52"/>
  <c r="J17" i="52"/>
  <c r="C17" i="52"/>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J29" i="57" s="1"/>
  <c r="B29" i="57"/>
  <c r="A29" i="57" s="1"/>
  <c r="E28" i="57"/>
  <c r="I27" i="57"/>
  <c r="D27" i="57"/>
  <c r="K27" i="57" s="1"/>
  <c r="G26" i="57"/>
  <c r="C26" i="57"/>
  <c r="F25" i="57"/>
  <c r="H25" i="57" s="1"/>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H14" i="57" s="1"/>
  <c r="E24" i="57"/>
  <c r="E23" i="57"/>
  <c r="G22" i="57"/>
  <c r="C22" i="57"/>
  <c r="F21" i="57"/>
  <c r="B21" i="57"/>
  <c r="A21" i="57" s="1"/>
  <c r="E20" i="57"/>
  <c r="I19" i="57"/>
  <c r="D19" i="57"/>
  <c r="L19" i="57" s="1"/>
  <c r="G18" i="57"/>
  <c r="C18" i="57"/>
  <c r="F17" i="57"/>
  <c r="B17" i="57"/>
  <c r="A17" i="57" s="1"/>
  <c r="E16" i="57"/>
  <c r="I15" i="57"/>
  <c r="D15" i="57"/>
  <c r="E14" i="57"/>
  <c r="B24" i="57"/>
  <c r="A24" i="57" s="1"/>
  <c r="D23" i="57"/>
  <c r="K23" i="57" s="1"/>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A21" i="47"/>
  <c r="E21" i="47"/>
  <c r="B22" i="47"/>
  <c r="F22" i="47"/>
  <c r="C23" i="47"/>
  <c r="G23" i="47"/>
  <c r="D24" i="47"/>
  <c r="A25" i="47"/>
  <c r="E25" i="47"/>
  <c r="B26" i="47"/>
  <c r="F26" i="47"/>
  <c r="C27" i="47"/>
  <c r="G27" i="47"/>
  <c r="D28" i="47"/>
  <c r="A29" i="47"/>
  <c r="E29" i="47"/>
  <c r="B30" i="47"/>
  <c r="F30" i="47"/>
  <c r="C31" i="47"/>
  <c r="G31" i="47"/>
  <c r="D32" i="47"/>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15" i="47"/>
  <c r="A16" i="47"/>
  <c r="E16" i="47"/>
  <c r="B17" i="47"/>
  <c r="F17" i="47"/>
  <c r="C18" i="47"/>
  <c r="G18" i="47"/>
  <c r="D19" i="47"/>
  <c r="A20" i="47"/>
  <c r="E20" i="47"/>
  <c r="B21" i="47"/>
  <c r="F21" i="47"/>
  <c r="C22" i="47"/>
  <c r="G22" i="47"/>
  <c r="D23" i="47"/>
  <c r="A24" i="47"/>
  <c r="E24" i="47"/>
  <c r="B25" i="47"/>
  <c r="F25" i="47"/>
  <c r="C26" i="47"/>
  <c r="G26" i="47"/>
  <c r="D27" i="47"/>
  <c r="A28" i="47"/>
  <c r="E28" i="47"/>
  <c r="B29" i="47"/>
  <c r="F29" i="47"/>
  <c r="C30" i="47"/>
  <c r="G30" i="47"/>
  <c r="D31" i="47"/>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D35" i="14"/>
  <c r="E34" i="14"/>
  <c r="G33" i="14"/>
  <c r="G32" i="14"/>
  <c r="H31" i="14"/>
  <c r="B31" i="14"/>
  <c r="B30" i="14"/>
  <c r="C29" i="14"/>
  <c r="A29" i="14" s="1"/>
  <c r="D28" i="14"/>
  <c r="D27" i="14"/>
  <c r="E26" i="14"/>
  <c r="G25" i="14"/>
  <c r="G24" i="14"/>
  <c r="H23" i="14"/>
  <c r="B23" i="14"/>
  <c r="B22" i="14"/>
  <c r="C21" i="14"/>
  <c r="A21" i="14" s="1"/>
  <c r="D20" i="14"/>
  <c r="D19" i="14"/>
  <c r="E18" i="14"/>
  <c r="H17" i="14"/>
  <c r="C17" i="14"/>
  <c r="A17" i="14" s="1"/>
  <c r="E16" i="14"/>
  <c r="H15" i="14"/>
  <c r="C15" i="14"/>
  <c r="A15" i="14" s="1"/>
  <c r="E14" i="14"/>
  <c r="H37" i="14"/>
  <c r="G36" i="14"/>
  <c r="G35" i="14"/>
  <c r="D34" i="14"/>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B28" i="14"/>
  <c r="B27" i="14"/>
  <c r="H25" i="14"/>
  <c r="E24" i="14"/>
  <c r="D23" i="14"/>
  <c r="D22" i="14"/>
  <c r="B21" i="14"/>
  <c r="H19" i="14"/>
  <c r="G18" i="14"/>
  <c r="G17" i="14"/>
  <c r="H16" i="14"/>
  <c r="B16" i="14"/>
  <c r="B15" i="14"/>
  <c r="C14" i="14"/>
  <c r="A14" i="14" s="1"/>
  <c r="E38" i="14"/>
  <c r="D37" i="14"/>
  <c r="B36" i="14"/>
  <c r="B35" i="14"/>
  <c r="H33" i="14"/>
  <c r="E32" i="14"/>
  <c r="D31" i="14"/>
  <c r="D30" i="14"/>
  <c r="B29" i="14"/>
  <c r="H27" i="14"/>
  <c r="G26" i="14"/>
  <c r="D25" i="14"/>
  <c r="D24" i="14"/>
  <c r="C23" i="14"/>
  <c r="A23" i="14" s="1"/>
  <c r="H21" i="14"/>
  <c r="G20" i="14"/>
  <c r="G19" i="14"/>
  <c r="D18" i="14"/>
  <c r="E17" i="14"/>
  <c r="G16" i="14"/>
  <c r="G15" i="14"/>
  <c r="H14" i="14"/>
  <c r="B14" i="14"/>
  <c r="D38" i="14"/>
  <c r="B37" i="14"/>
  <c r="H35" i="14"/>
  <c r="G34" i="14"/>
  <c r="D33" i="14"/>
  <c r="D32" i="14"/>
  <c r="C31" i="14"/>
  <c r="A31" i="14" s="1"/>
  <c r="H29" i="14"/>
  <c r="G28" i="14"/>
  <c r="G27" i="14"/>
  <c r="D26" i="14"/>
  <c r="C25" i="14"/>
  <c r="A25" i="14" s="1"/>
  <c r="B24" i="14"/>
  <c r="G22" i="14"/>
  <c r="G21" i="14"/>
  <c r="E20" i="14"/>
  <c r="C19" i="14"/>
  <c r="A19" i="14" s="1"/>
  <c r="C18" i="14"/>
  <c r="A18" i="14" s="1"/>
  <c r="D17" i="14"/>
  <c r="D16" i="14"/>
  <c r="E15" i="14"/>
  <c r="G14" i="14"/>
  <c r="A15" i="47"/>
  <c r="E15" i="47"/>
  <c r="B16" i="47"/>
  <c r="F16" i="47"/>
  <c r="C17" i="47"/>
  <c r="G17" i="47"/>
  <c r="D18" i="47"/>
  <c r="A19" i="47"/>
  <c r="E19" i="47"/>
  <c r="B20" i="47"/>
  <c r="F20" i="47"/>
  <c r="C21" i="47"/>
  <c r="G21" i="47"/>
  <c r="D22" i="47"/>
  <c r="A23" i="47"/>
  <c r="E23" i="47"/>
  <c r="B24" i="47"/>
  <c r="F24" i="47"/>
  <c r="C25" i="47"/>
  <c r="G25" i="47"/>
  <c r="D26" i="47"/>
  <c r="A27" i="47"/>
  <c r="E27" i="47"/>
  <c r="B28" i="47"/>
  <c r="F28" i="47"/>
  <c r="C29" i="47"/>
  <c r="G29" i="47"/>
  <c r="D30" i="47"/>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M5" i="45"/>
  <c r="M6" i="45"/>
  <c r="O16" i="45"/>
  <c r="M16" i="45"/>
  <c r="O8" i="45"/>
  <c r="M8" i="45"/>
  <c r="O12" i="45"/>
  <c r="M12" i="45"/>
  <c r="M7" i="45"/>
  <c r="O7" i="45"/>
  <c r="O20" i="45"/>
  <c r="M20" i="45"/>
  <c r="K12" i="55"/>
  <c r="O10" i="45"/>
  <c r="O14" i="45"/>
  <c r="O18" i="45"/>
  <c r="O11" i="45"/>
  <c r="M13" i="45"/>
  <c r="O15" i="45"/>
  <c r="M17" i="45"/>
  <c r="O19" i="45"/>
  <c r="M21" i="45"/>
  <c r="K45" i="55"/>
  <c r="G54" i="55"/>
  <c r="K37" i="55"/>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21" i="52"/>
  <c r="A15" i="57"/>
  <c r="N17" i="52"/>
  <c r="H13" i="61"/>
  <c r="H14" i="61" s="1"/>
  <c r="C13" i="61"/>
  <c r="C14" i="61" s="1"/>
  <c r="H45" i="47"/>
  <c r="N19" i="52"/>
  <c r="L21" i="57"/>
  <c r="L23" i="57"/>
  <c r="A35" i="58"/>
  <c r="A14" i="58"/>
  <c r="E5" i="58"/>
  <c r="L25" i="57"/>
  <c r="L27" i="57"/>
  <c r="L28" i="57"/>
  <c r="D12" i="61"/>
  <c r="G12" i="61"/>
  <c r="E12" i="61"/>
  <c r="F12" i="61"/>
  <c r="B13" i="61"/>
  <c r="I40" i="47" l="1"/>
  <c r="H29" i="57"/>
  <c r="L24" i="57"/>
  <c r="L22" i="57"/>
  <c r="K17" i="57"/>
  <c r="L19" i="52"/>
  <c r="K19" i="52"/>
  <c r="B15" i="47"/>
  <c r="G48" i="47"/>
  <c r="E46" i="47"/>
  <c r="C44" i="47"/>
  <c r="A42" i="47"/>
  <c r="F39" i="47"/>
  <c r="D37" i="47"/>
  <c r="I37" i="47" s="1"/>
  <c r="B35" i="47"/>
  <c r="G32" i="47"/>
  <c r="E30" i="47"/>
  <c r="C28" i="47"/>
  <c r="A26" i="47"/>
  <c r="F23" i="47"/>
  <c r="D21" i="47"/>
  <c r="B19" i="47"/>
  <c r="G16" i="47"/>
  <c r="E50" i="47"/>
  <c r="C48" i="47"/>
  <c r="A46" i="47"/>
  <c r="F43" i="47"/>
  <c r="D41" i="47"/>
  <c r="I41" i="47" s="1"/>
  <c r="B39" i="47"/>
  <c r="G36" i="47"/>
  <c r="E34" i="47"/>
  <c r="C32" i="47"/>
  <c r="A30" i="47"/>
  <c r="F27" i="47"/>
  <c r="D25" i="47"/>
  <c r="B23" i="47"/>
  <c r="G20" i="47"/>
  <c r="E18" i="47"/>
  <c r="C16" i="47"/>
  <c r="D49" i="47"/>
  <c r="B47" i="47"/>
  <c r="G44" i="47"/>
  <c r="E42" i="47"/>
  <c r="C40" i="47"/>
  <c r="A38" i="47"/>
  <c r="F35" i="47"/>
  <c r="D33" i="47"/>
  <c r="B31" i="47"/>
  <c r="G28" i="47"/>
  <c r="E26" i="47"/>
  <c r="C24" i="47"/>
  <c r="A22" i="47"/>
  <c r="F19" i="47"/>
  <c r="D17" i="47"/>
  <c r="J19" i="57"/>
  <c r="J23" i="57"/>
  <c r="H17" i="57"/>
  <c r="H26" i="57"/>
  <c r="I55" i="15"/>
  <c r="K17" i="52"/>
  <c r="M17" i="52"/>
  <c r="J26" i="57"/>
  <c r="L17" i="52"/>
  <c r="L18" i="52" s="1"/>
  <c r="G21" i="52"/>
  <c r="I36" i="47"/>
  <c r="L20" i="57"/>
  <c r="J28" i="57"/>
  <c r="G21" i="12"/>
  <c r="K54" i="55"/>
  <c r="K43" i="55"/>
  <c r="K35" i="55"/>
  <c r="H23" i="57"/>
  <c r="H18" i="57"/>
  <c r="H21" i="52"/>
  <c r="L22" i="52" s="1"/>
  <c r="J20" i="57"/>
  <c r="J22" i="57"/>
  <c r="J15" i="57"/>
  <c r="J24" i="57"/>
  <c r="J27" i="57"/>
  <c r="K18" i="57"/>
  <c r="L30" i="57"/>
  <c r="A16" i="57"/>
  <c r="J25" i="57"/>
  <c r="I44" i="47"/>
  <c r="H37" i="47"/>
  <c r="H28" i="57"/>
  <c r="J18" i="57"/>
  <c r="H20" i="57"/>
  <c r="J16" i="57"/>
  <c r="H30" i="57"/>
  <c r="L29" i="57"/>
  <c r="I32" i="57"/>
  <c r="H41" i="47"/>
  <c r="I43" i="47"/>
  <c r="G33" i="15"/>
  <c r="H24" i="15"/>
  <c r="M9" i="39"/>
  <c r="J21" i="57"/>
  <c r="H15" i="57"/>
  <c r="H22" i="57"/>
  <c r="J17" i="57"/>
  <c r="J14" i="57"/>
  <c r="L14" i="57" s="1"/>
  <c r="L15" i="57" s="1"/>
  <c r="L16" i="57" s="1"/>
  <c r="H16" i="57"/>
  <c r="H27" i="57"/>
  <c r="I21" i="52"/>
  <c r="H21" i="57"/>
  <c r="J30" i="57"/>
  <c r="H24" i="57"/>
  <c r="K14" i="57"/>
  <c r="L26" i="57"/>
  <c r="K19" i="57"/>
  <c r="K15" i="57"/>
  <c r="K16" i="57" s="1"/>
  <c r="K46" i="60"/>
  <c r="J46" i="60"/>
  <c r="K47" i="60"/>
  <c r="C10" i="39"/>
  <c r="H5" i="39"/>
  <c r="M16" i="39" s="1"/>
  <c r="H19" i="57"/>
  <c r="I48" i="47"/>
  <c r="G32" i="57"/>
  <c r="N14" i="62"/>
  <c r="H9" i="60"/>
  <c r="N190" i="60"/>
  <c r="P190" i="60" s="1"/>
  <c r="I15" i="47"/>
  <c r="I47" i="47"/>
  <c r="G12" i="15"/>
  <c r="G40" i="14"/>
  <c r="I39" i="47"/>
  <c r="H15" i="47"/>
  <c r="N112" i="60"/>
  <c r="P112" i="60" s="1"/>
  <c r="N189" i="60"/>
  <c r="P189" i="60" s="1"/>
  <c r="H47" i="60"/>
  <c r="I48" i="60"/>
  <c r="N109" i="60"/>
  <c r="N110" i="60"/>
  <c r="P110" i="60" s="1"/>
  <c r="C12" i="39"/>
  <c r="C15" i="39"/>
  <c r="M8" i="39"/>
  <c r="D50" i="47"/>
  <c r="I50" i="47" s="1"/>
  <c r="H12" i="15"/>
  <c r="L15" i="62"/>
  <c r="I53" i="15"/>
  <c r="I54" i="15"/>
  <c r="F14" i="15"/>
  <c r="H31" i="15"/>
  <c r="H18" i="15"/>
  <c r="G24" i="12"/>
  <c r="H27" i="15"/>
  <c r="G24" i="15"/>
  <c r="G21" i="15"/>
  <c r="G32" i="15"/>
  <c r="I58" i="15"/>
  <c r="H21" i="15"/>
  <c r="H23" i="12"/>
  <c r="H25" i="12"/>
  <c r="G23" i="12"/>
  <c r="H15" i="15"/>
  <c r="J19" i="62"/>
  <c r="N13" i="62"/>
  <c r="N11" i="62"/>
  <c r="L9" i="62"/>
  <c r="G15" i="15"/>
  <c r="L7" i="62"/>
  <c r="G25" i="12"/>
  <c r="H24" i="12"/>
  <c r="N10" i="62"/>
  <c r="N12" i="62"/>
  <c r="N7" i="62"/>
  <c r="N15" i="62"/>
  <c r="N9" i="62"/>
  <c r="N6" i="62"/>
  <c r="L14" i="62"/>
  <c r="L11" i="62"/>
  <c r="L13" i="62"/>
  <c r="N8" i="62"/>
  <c r="H17" i="62"/>
  <c r="H21" i="62" s="1"/>
  <c r="L5" i="62"/>
  <c r="J17" i="62"/>
  <c r="N5" i="62"/>
  <c r="G26" i="15"/>
  <c r="J14" i="14"/>
  <c r="H7" i="60"/>
  <c r="K48" i="60"/>
  <c r="I47" i="60"/>
  <c r="I8" i="60"/>
  <c r="I46" i="60"/>
  <c r="J48" i="60"/>
  <c r="N188" i="60"/>
  <c r="P188" i="60" s="1"/>
  <c r="N191" i="60"/>
  <c r="P191" i="60" s="1"/>
  <c r="J7" i="60"/>
  <c r="K9" i="60"/>
  <c r="N111" i="60"/>
  <c r="P111" i="60" s="1"/>
  <c r="E23" i="15"/>
  <c r="G18" i="15"/>
  <c r="E50" i="15"/>
  <c r="E51" i="15" s="1"/>
  <c r="G34" i="15"/>
  <c r="G37" i="15" s="1"/>
  <c r="G45" i="15"/>
  <c r="H33" i="15"/>
  <c r="I48" i="15"/>
  <c r="G16" i="15"/>
  <c r="G17" i="15" s="1"/>
  <c r="I14" i="14"/>
  <c r="H40" i="14"/>
  <c r="I35" i="47"/>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P109" i="60"/>
  <c r="N114" i="60"/>
  <c r="I68" i="60"/>
  <c r="I67" i="60"/>
  <c r="H68" i="60"/>
  <c r="H67" i="60"/>
  <c r="K68" i="60"/>
  <c r="K67" i="60"/>
  <c r="J68" i="60"/>
  <c r="J67" i="60"/>
  <c r="K7" i="60"/>
  <c r="N7" i="60" s="1"/>
  <c r="J9" i="60"/>
  <c r="G221" i="60"/>
  <c r="N48" i="60"/>
  <c r="N47" i="60"/>
  <c r="K29" i="60"/>
  <c r="K28" i="60"/>
  <c r="J29" i="60"/>
  <c r="J28" i="60"/>
  <c r="I29" i="60"/>
  <c r="I28" i="60"/>
  <c r="H29" i="60"/>
  <c r="H28" i="60"/>
  <c r="K8" i="60"/>
  <c r="I9" i="60"/>
  <c r="A28" i="58"/>
  <c r="A20" i="58"/>
  <c r="E13" i="61"/>
  <c r="E14" i="61" s="1"/>
  <c r="B12" i="61"/>
  <c r="B14" i="61" s="1"/>
  <c r="D13" i="61"/>
  <c r="D14" i="61" s="1"/>
  <c r="G13" i="61"/>
  <c r="G14" i="61" s="1"/>
  <c r="F13" i="61"/>
  <c r="F14" i="61" s="1"/>
  <c r="G11" i="60"/>
  <c r="A24" i="58"/>
  <c r="P9" i="45"/>
  <c r="P17" i="45"/>
  <c r="I35" i="15"/>
  <c r="H40" i="15"/>
  <c r="H35" i="15"/>
  <c r="H36" i="15" s="1"/>
  <c r="H26" i="15"/>
  <c r="F46" i="15" a="1"/>
  <c r="F46" i="15" s="1"/>
  <c r="F47" i="15" s="1"/>
  <c r="F17" i="15"/>
  <c r="H22" i="15"/>
  <c r="H10" i="15"/>
  <c r="H11" i="15" s="1"/>
  <c r="G31" i="15"/>
  <c r="F23" i="15"/>
  <c r="H41" i="15"/>
  <c r="H28" i="15"/>
  <c r="H34" i="15"/>
  <c r="H43" i="15"/>
  <c r="H16" i="15"/>
  <c r="H17" i="15" s="1"/>
  <c r="F59" i="15" a="1"/>
  <c r="F59" i="15" s="1"/>
  <c r="I59" i="15" s="1"/>
  <c r="H45" i="15"/>
  <c r="H20" i="15"/>
  <c r="G25" i="15"/>
  <c r="G13" i="15"/>
  <c r="I57" i="15"/>
  <c r="H38" i="15"/>
  <c r="H39" i="15" s="1"/>
  <c r="F44" i="15"/>
  <c r="H44" i="15" s="1"/>
  <c r="G43" i="15"/>
  <c r="G29" i="15"/>
  <c r="F42" i="15"/>
  <c r="F11" i="15"/>
  <c r="G10" i="15"/>
  <c r="G11" i="15" s="1"/>
  <c r="I49" i="15"/>
  <c r="F50" i="15"/>
  <c r="F51" i="15" s="1"/>
  <c r="E30" i="15"/>
  <c r="E14" i="15"/>
  <c r="G22" i="15"/>
  <c r="H25" i="15"/>
  <c r="H13" i="15"/>
  <c r="G20" i="15"/>
  <c r="F30" i="15"/>
  <c r="A22" i="58"/>
  <c r="H42" i="47"/>
  <c r="H46" i="47"/>
  <c r="L24" i="55"/>
  <c r="L41" i="55"/>
  <c r="E47" i="15"/>
  <c r="H13" i="12"/>
  <c r="H5" i="12"/>
  <c r="L47" i="55"/>
  <c r="N14" i="45"/>
  <c r="L20" i="55"/>
  <c r="L38" i="55"/>
  <c r="F36" i="15"/>
  <c r="F37" i="15" s="1"/>
  <c r="G41" i="15"/>
  <c r="G42" i="15" s="1"/>
  <c r="I14" i="58"/>
  <c r="I15" i="58" s="1"/>
  <c r="I16" i="58" s="1"/>
  <c r="G14" i="12"/>
  <c r="H20" i="12"/>
  <c r="P10" i="45"/>
  <c r="P18" i="45"/>
  <c r="P11" i="45"/>
  <c r="P19" i="45"/>
  <c r="O23" i="45"/>
  <c r="H7" i="12"/>
  <c r="G19" i="12"/>
  <c r="G10" i="12"/>
  <c r="G18" i="12"/>
  <c r="N8" i="45"/>
  <c r="N16" i="45"/>
  <c r="L25" i="55"/>
  <c r="G16" i="12"/>
  <c r="N7" i="45"/>
  <c r="N15" i="45"/>
  <c r="L48" i="55"/>
  <c r="L50" i="55"/>
  <c r="L52" i="55"/>
  <c r="L29" i="55"/>
  <c r="L31" i="55"/>
  <c r="H32" i="15"/>
  <c r="I56" i="15"/>
  <c r="G28" i="15"/>
  <c r="G38" i="15"/>
  <c r="G39" i="15" s="1"/>
  <c r="G32" i="58"/>
  <c r="A26" i="58"/>
  <c r="H38" i="47"/>
  <c r="A23" i="58"/>
  <c r="G11" i="12"/>
  <c r="H15" i="12"/>
  <c r="P13" i="45"/>
  <c r="P21" i="45"/>
  <c r="L39" i="55"/>
  <c r="H22" i="12"/>
  <c r="P12" i="45"/>
  <c r="P20" i="45"/>
  <c r="H19" i="15"/>
  <c r="I52" i="15"/>
  <c r="G13" i="12"/>
  <c r="J23" i="45"/>
  <c r="N5" i="45"/>
  <c r="H17" i="12"/>
  <c r="L23" i="45"/>
  <c r="P5" i="45"/>
  <c r="H43" i="55"/>
  <c r="L37" i="55"/>
  <c r="N9" i="45"/>
  <c r="N17" i="45"/>
  <c r="L40" i="55"/>
  <c r="N10" i="45"/>
  <c r="N18" i="45"/>
  <c r="L16" i="55"/>
  <c r="H6" i="12"/>
  <c r="H14" i="12"/>
  <c r="L27" i="55"/>
  <c r="H54" i="55"/>
  <c r="L45" i="55"/>
  <c r="A27" i="58"/>
  <c r="F27" i="12"/>
  <c r="F31" i="12" s="1"/>
  <c r="H4" i="12"/>
  <c r="L18" i="55"/>
  <c r="L26" i="55"/>
  <c r="J54" i="55"/>
  <c r="G8" i="12"/>
  <c r="J43" i="55"/>
  <c r="L33" i="55"/>
  <c r="A18" i="58"/>
  <c r="A19" i="58"/>
  <c r="H21" i="12"/>
  <c r="G9" i="12"/>
  <c r="H11" i="12"/>
  <c r="H19" i="12"/>
  <c r="N13" i="45"/>
  <c r="N21" i="45"/>
  <c r="L12" i="55"/>
  <c r="L46" i="55"/>
  <c r="H10" i="12"/>
  <c r="H18" i="12"/>
  <c r="P8" i="45"/>
  <c r="P16" i="45"/>
  <c r="L23" i="55"/>
  <c r="G19" i="15"/>
  <c r="A30" i="58"/>
  <c r="A15" i="58"/>
  <c r="A16" i="58" s="1"/>
  <c r="H34"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F29" i="58"/>
  <c r="A29" i="58"/>
  <c r="F25" i="58"/>
  <c r="A25" i="58"/>
  <c r="F21" i="58"/>
  <c r="A21" i="58"/>
  <c r="F17" i="58"/>
  <c r="A17" i="58"/>
  <c r="F51" i="47" l="1"/>
  <c r="G51" i="47"/>
  <c r="H52" i="47" s="1"/>
  <c r="I49" i="47"/>
  <c r="H49" i="47"/>
  <c r="H14" i="15"/>
  <c r="M18" i="52"/>
  <c r="K18" i="52"/>
  <c r="K22" i="52"/>
  <c r="N18" i="52"/>
  <c r="N22" i="52"/>
  <c r="K32" i="57"/>
  <c r="H30" i="15"/>
  <c r="M22" i="52"/>
  <c r="J32" i="57"/>
  <c r="H32" i="57"/>
  <c r="E60" i="15"/>
  <c r="F60" i="15"/>
  <c r="N268" i="60"/>
  <c r="P268" i="60" s="1"/>
  <c r="I41" i="14"/>
  <c r="G30" i="15"/>
  <c r="G14" i="15"/>
  <c r="H16" i="47"/>
  <c r="N8" i="60"/>
  <c r="H23" i="15"/>
  <c r="N28" i="60"/>
  <c r="N214" i="60"/>
  <c r="I16" i="47"/>
  <c r="N161" i="60"/>
  <c r="P161" i="60" s="1"/>
  <c r="N90" i="60"/>
  <c r="P90" i="60" s="1"/>
  <c r="H50" i="47"/>
  <c r="J15" i="14"/>
  <c r="J21" i="62"/>
  <c r="H37" i="15"/>
  <c r="N17" i="62"/>
  <c r="L17" i="62"/>
  <c r="J41" i="14"/>
  <c r="N265" i="60"/>
  <c r="N215" i="60"/>
  <c r="P215" i="60" s="1"/>
  <c r="N9" i="60"/>
  <c r="N67" i="60"/>
  <c r="N137" i="60"/>
  <c r="I15" i="14"/>
  <c r="G23" i="15"/>
  <c r="I36" i="15"/>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I32" i="58"/>
  <c r="L43" i="55"/>
  <c r="H27" i="12"/>
  <c r="P23" i="45"/>
  <c r="G27" i="12"/>
  <c r="L54" i="55"/>
  <c r="N23" i="45"/>
  <c r="H60" i="15" l="1"/>
  <c r="L32" i="57"/>
  <c r="G60" i="15"/>
  <c r="I17" i="47"/>
  <c r="H17" i="47"/>
  <c r="I16" i="14"/>
  <c r="P25" i="45"/>
  <c r="J16" i="14"/>
  <c r="E62" i="15"/>
  <c r="B17" i="55"/>
  <c r="A16" i="55"/>
  <c r="N165" i="60"/>
  <c r="P160" i="60"/>
  <c r="N70" i="60"/>
  <c r="P89" i="60"/>
  <c r="N92" i="60"/>
  <c r="N221" i="60"/>
  <c r="N141" i="60"/>
  <c r="N272" i="60"/>
  <c r="G50" i="60"/>
  <c r="H18" i="47" l="1"/>
  <c r="I18" i="47"/>
  <c r="J17" i="14"/>
  <c r="H62" i="15"/>
  <c r="I17" i="14"/>
  <c r="B18" i="55"/>
  <c r="A17" i="55"/>
  <c r="N50" i="60"/>
  <c r="I19" i="47" l="1"/>
  <c r="H19" i="47"/>
  <c r="J18" i="14"/>
  <c r="I18" i="14"/>
  <c r="B19" i="55"/>
  <c r="A18" i="55"/>
  <c r="H20" i="47" l="1"/>
  <c r="I20" i="47"/>
  <c r="I19" i="14"/>
  <c r="J19" i="14"/>
  <c r="B20" i="55"/>
  <c r="A19" i="55"/>
  <c r="I21" i="47" l="1"/>
  <c r="H21" i="47"/>
  <c r="J20" i="14"/>
  <c r="I20" i="14"/>
  <c r="B21" i="55"/>
  <c r="A20" i="55"/>
  <c r="H22" i="47" l="1"/>
  <c r="I22" i="47"/>
  <c r="J21" i="14"/>
  <c r="I21" i="14"/>
  <c r="B22" i="55"/>
  <c r="A21" i="55"/>
  <c r="I23" i="47" l="1"/>
  <c r="H23" i="47"/>
  <c r="J22" i="14"/>
  <c r="I22" i="14"/>
  <c r="B23" i="55"/>
  <c r="A22" i="55"/>
  <c r="H24" i="47" l="1"/>
  <c r="I24" i="47"/>
  <c r="I23" i="14"/>
  <c r="J23" i="14"/>
  <c r="B24" i="55"/>
  <c r="A23" i="55"/>
  <c r="I25" i="47" l="1"/>
  <c r="H25" i="47"/>
  <c r="J24" i="14"/>
  <c r="I24" i="14"/>
  <c r="B25" i="55"/>
  <c r="A24" i="55"/>
  <c r="H26" i="47" l="1"/>
  <c r="I26" i="47"/>
  <c r="I25" i="14"/>
  <c r="J25" i="14"/>
  <c r="B26" i="55"/>
  <c r="A25" i="55"/>
  <c r="I27" i="47" l="1"/>
  <c r="H27" i="47"/>
  <c r="J26" i="14"/>
  <c r="I26" i="14"/>
  <c r="B27" i="55"/>
  <c r="A26" i="55"/>
  <c r="H28" i="47" l="1"/>
  <c r="I28" i="47"/>
  <c r="I27" i="14"/>
  <c r="J27" i="14"/>
  <c r="B28" i="55"/>
  <c r="A27" i="55"/>
  <c r="I29" i="47" l="1"/>
  <c r="H29" i="47"/>
  <c r="J28" i="14"/>
  <c r="I28" i="14"/>
  <c r="B29" i="55"/>
  <c r="A28" i="55"/>
  <c r="H30" i="47" l="1"/>
  <c r="I30" i="47"/>
  <c r="I29" i="14"/>
  <c r="J29" i="14"/>
  <c r="B30" i="55"/>
  <c r="A29" i="55"/>
  <c r="I31" i="47" l="1"/>
  <c r="H31" i="47"/>
  <c r="J30" i="14"/>
  <c r="I30" i="14"/>
  <c r="B31" i="55"/>
  <c r="A30" i="55"/>
  <c r="H32" i="47" l="1"/>
  <c r="I32" i="47"/>
  <c r="I31" i="14"/>
  <c r="J31" i="14"/>
  <c r="B32" i="55"/>
  <c r="A32" i="55" s="1"/>
  <c r="A31" i="55"/>
  <c r="C407" i="34"/>
  <c r="AG407" i="34" s="1"/>
  <c r="I33" i="47" l="1"/>
  <c r="H33" i="47"/>
  <c r="B407" i="34"/>
  <c r="J32" i="14"/>
  <c r="I32" i="14"/>
  <c r="C406" i="34"/>
  <c r="AG406" i="34" s="1"/>
  <c r="Q407" i="34" l="1"/>
  <c r="U407" i="34"/>
  <c r="Y407" i="34"/>
  <c r="AC407" i="34"/>
  <c r="R407" i="34"/>
  <c r="V407" i="34"/>
  <c r="Z407" i="34"/>
  <c r="S407" i="34"/>
  <c r="T407" i="34"/>
  <c r="X407" i="34"/>
  <c r="I33" i="14"/>
  <c r="J33" i="14"/>
  <c r="I14" i="59"/>
  <c r="H37" i="59"/>
  <c r="A34" i="59"/>
  <c r="A33" i="59"/>
  <c r="H26" i="59"/>
  <c r="A23" i="59"/>
  <c r="H24" i="59"/>
  <c r="H23" i="59"/>
  <c r="H22" i="59"/>
  <c r="A19" i="59"/>
  <c r="D15" i="59"/>
  <c r="H14" i="59"/>
  <c r="G38" i="59"/>
  <c r="I28" i="59"/>
  <c r="I25" i="59"/>
  <c r="I26" i="59"/>
  <c r="I23" i="59"/>
  <c r="G19" i="59"/>
  <c r="G16" i="59"/>
  <c r="D39" i="59"/>
  <c r="D38" i="59"/>
  <c r="A32" i="59"/>
  <c r="D28" i="59"/>
  <c r="A30" i="59"/>
  <c r="A29" i="59"/>
  <c r="A28" i="59"/>
  <c r="D24" i="59"/>
  <c r="H20" i="59"/>
  <c r="H19" i="59"/>
  <c r="A14" i="59"/>
  <c r="I36" i="59"/>
  <c r="I33" i="59"/>
  <c r="I34" i="59"/>
  <c r="I31" i="59"/>
  <c r="G27" i="59"/>
  <c r="G24" i="59"/>
  <c r="I22" i="59"/>
  <c r="I19" i="59"/>
  <c r="D37" i="59"/>
  <c r="H33" i="59"/>
  <c r="D35" i="59"/>
  <c r="D34" i="59"/>
  <c r="D33" i="59"/>
  <c r="H29" i="59"/>
  <c r="A26" i="59"/>
  <c r="A25" i="59"/>
  <c r="H18" i="59"/>
  <c r="A15" i="59"/>
  <c r="H16" i="59"/>
  <c r="H15" i="59"/>
  <c r="I39" i="59"/>
  <c r="G35" i="59"/>
  <c r="G32" i="59"/>
  <c r="I30" i="59"/>
  <c r="I27" i="59"/>
  <c r="G15" i="59"/>
  <c r="A39" i="59"/>
  <c r="H40" i="59"/>
  <c r="H39" i="59"/>
  <c r="H38" i="59"/>
  <c r="A35" i="59"/>
  <c r="D31" i="59"/>
  <c r="D30" i="59"/>
  <c r="A24" i="59"/>
  <c r="D20" i="59"/>
  <c r="A22" i="59"/>
  <c r="A21" i="59"/>
  <c r="A20" i="59"/>
  <c r="D16" i="59"/>
  <c r="G40" i="59"/>
  <c r="I38" i="59"/>
  <c r="I35" i="59"/>
  <c r="G23" i="59"/>
  <c r="G20" i="59"/>
  <c r="G21" i="59"/>
  <c r="G18" i="59"/>
  <c r="I16" i="59"/>
  <c r="D40" i="59"/>
  <c r="H36" i="59"/>
  <c r="H35" i="59"/>
  <c r="D29" i="59"/>
  <c r="H25" i="59"/>
  <c r="D27" i="59"/>
  <c r="D26" i="59"/>
  <c r="D25" i="59"/>
  <c r="H21" i="59"/>
  <c r="A18" i="59"/>
  <c r="A17" i="59"/>
  <c r="D14" i="59"/>
  <c r="G31" i="59"/>
  <c r="G28" i="59"/>
  <c r="G29" i="59"/>
  <c r="G26" i="59"/>
  <c r="I24" i="59"/>
  <c r="I21" i="59"/>
  <c r="G17" i="59"/>
  <c r="G14" i="59"/>
  <c r="H34" i="59"/>
  <c r="A31" i="59"/>
  <c r="H32" i="59"/>
  <c r="H31" i="59"/>
  <c r="H30" i="59"/>
  <c r="A27" i="59"/>
  <c r="D23" i="59"/>
  <c r="D22" i="59"/>
  <c r="A16" i="59"/>
  <c r="G39" i="59"/>
  <c r="G36" i="59"/>
  <c r="G37" i="59"/>
  <c r="G34" i="59"/>
  <c r="I32" i="59"/>
  <c r="I29" i="59"/>
  <c r="G25" i="59"/>
  <c r="G22" i="59"/>
  <c r="A40" i="59"/>
  <c r="D36" i="59"/>
  <c r="A38" i="59"/>
  <c r="A37" i="59"/>
  <c r="A36" i="59"/>
  <c r="D32" i="59"/>
  <c r="H28" i="59"/>
  <c r="H27" i="59"/>
  <c r="D21" i="59"/>
  <c r="H17" i="59"/>
  <c r="D19" i="59"/>
  <c r="D18" i="59"/>
  <c r="D17" i="59"/>
  <c r="I40" i="59"/>
  <c r="I37" i="59"/>
  <c r="G33" i="59"/>
  <c r="G30" i="59"/>
  <c r="I20" i="59"/>
  <c r="I17" i="59"/>
  <c r="I18" i="59"/>
  <c r="I15" i="59"/>
  <c r="B34" i="59"/>
  <c r="B20" i="59"/>
  <c r="B22" i="59"/>
  <c r="B24" i="59"/>
  <c r="B29" i="59"/>
  <c r="B33" i="59"/>
  <c r="B15" i="59"/>
  <c r="B36" i="59"/>
  <c r="B38" i="59"/>
  <c r="B16" i="59"/>
  <c r="B37" i="59"/>
  <c r="B18" i="59"/>
  <c r="B30" i="59"/>
  <c r="B31" i="59"/>
  <c r="B17" i="59"/>
  <c r="B19" i="59"/>
  <c r="B32" i="59"/>
  <c r="B14" i="59"/>
  <c r="B23" i="59"/>
  <c r="B35" i="59"/>
  <c r="B26" i="59"/>
  <c r="B39" i="59"/>
  <c r="B25" i="59"/>
  <c r="B27" i="59"/>
  <c r="B21" i="59"/>
  <c r="B28" i="59"/>
  <c r="B40" i="59"/>
  <c r="B406" i="34"/>
  <c r="A9" i="56"/>
  <c r="G8" i="56"/>
  <c r="G21" i="56"/>
  <c r="G23" i="56"/>
  <c r="G7" i="56"/>
  <c r="F23" i="56"/>
  <c r="H23" i="56" s="1"/>
  <c r="G18" i="56"/>
  <c r="G19" i="56"/>
  <c r="G22" i="56"/>
  <c r="G20" i="56"/>
  <c r="G17" i="56"/>
  <c r="F21" i="56"/>
  <c r="H21" i="56" s="1"/>
  <c r="F22" i="56"/>
  <c r="H22" i="56" s="1"/>
  <c r="D6" i="56"/>
  <c r="F28" i="56" s="1"/>
  <c r="F20" i="56"/>
  <c r="H20" i="56" s="1"/>
  <c r="B19" i="56"/>
  <c r="F17" i="56"/>
  <c r="B21" i="56"/>
  <c r="B23" i="56"/>
  <c r="B20" i="56"/>
  <c r="F18" i="56"/>
  <c r="B22" i="56"/>
  <c r="F19" i="56"/>
  <c r="H19" i="56" s="1"/>
  <c r="B18" i="56"/>
  <c r="B17" i="56"/>
  <c r="T406" i="34" l="1"/>
  <c r="X406" i="34"/>
  <c r="Q406" i="34"/>
  <c r="U406" i="34"/>
  <c r="Y406" i="34"/>
  <c r="AC406" i="34"/>
  <c r="R406" i="34"/>
  <c r="V406" i="34"/>
  <c r="Z406" i="34"/>
  <c r="S406" i="34"/>
  <c r="J34" i="14"/>
  <c r="H18" i="56"/>
  <c r="I34" i="14"/>
  <c r="H17" i="56"/>
  <c r="F21" i="59"/>
  <c r="C21" i="59"/>
  <c r="J21" i="59"/>
  <c r="E21" i="59"/>
  <c r="E26" i="59"/>
  <c r="F26" i="59"/>
  <c r="J26" i="59"/>
  <c r="C26" i="59"/>
  <c r="E32" i="59"/>
  <c r="C32" i="59"/>
  <c r="J32" i="59"/>
  <c r="F32" i="59"/>
  <c r="C30" i="59"/>
  <c r="J30" i="59"/>
  <c r="F30" i="59"/>
  <c r="E30" i="59"/>
  <c r="E38" i="59"/>
  <c r="F38" i="59"/>
  <c r="C38" i="59"/>
  <c r="J38" i="59"/>
  <c r="E29" i="59"/>
  <c r="F29" i="59"/>
  <c r="C29" i="59"/>
  <c r="J29" i="59"/>
  <c r="C34" i="59"/>
  <c r="E34" i="59"/>
  <c r="F34" i="59"/>
  <c r="J34" i="59"/>
  <c r="A18" i="56"/>
  <c r="D18" i="56"/>
  <c r="D20" i="56"/>
  <c r="A20" i="56"/>
  <c r="A19" i="56"/>
  <c r="D19" i="56"/>
  <c r="D11" i="44"/>
  <c r="D13" i="39"/>
  <c r="H11" i="43"/>
  <c r="I13" i="42"/>
  <c r="J27" i="59"/>
  <c r="F27" i="59"/>
  <c r="C27" i="59"/>
  <c r="E27" i="59"/>
  <c r="C35" i="59"/>
  <c r="F35" i="59"/>
  <c r="J35" i="59"/>
  <c r="E35" i="59"/>
  <c r="C19" i="59"/>
  <c r="J19" i="59"/>
  <c r="F19" i="59"/>
  <c r="E19" i="59"/>
  <c r="F18" i="59"/>
  <c r="J18" i="59"/>
  <c r="E18" i="59"/>
  <c r="C18" i="59"/>
  <c r="C36" i="59"/>
  <c r="F36" i="59"/>
  <c r="E36" i="59"/>
  <c r="J36" i="59"/>
  <c r="F24" i="59"/>
  <c r="C24" i="59"/>
  <c r="J24" i="59"/>
  <c r="E24" i="59"/>
  <c r="A23" i="56"/>
  <c r="D23" i="56"/>
  <c r="J40" i="59"/>
  <c r="E40" i="59"/>
  <c r="C40" i="59"/>
  <c r="F40" i="59"/>
  <c r="J25" i="59"/>
  <c r="E25" i="59"/>
  <c r="C25" i="59"/>
  <c r="F25" i="59"/>
  <c r="E23" i="59"/>
  <c r="C23" i="59"/>
  <c r="J23" i="59"/>
  <c r="F23" i="59"/>
  <c r="C17" i="59"/>
  <c r="J17" i="59"/>
  <c r="E17" i="59"/>
  <c r="F17" i="59"/>
  <c r="F37" i="59"/>
  <c r="J37" i="59"/>
  <c r="E37" i="59"/>
  <c r="C37" i="59"/>
  <c r="C15" i="59"/>
  <c r="J15" i="59"/>
  <c r="E15" i="59"/>
  <c r="F15" i="59"/>
  <c r="J22" i="59"/>
  <c r="F22" i="59"/>
  <c r="C22" i="59"/>
  <c r="E22" i="59"/>
  <c r="D17" i="56"/>
  <c r="A27" i="56"/>
  <c r="A17" i="56"/>
  <c r="D22" i="56"/>
  <c r="A22" i="56"/>
  <c r="D21" i="56"/>
  <c r="A21" i="56"/>
  <c r="J28" i="59"/>
  <c r="F28" i="59"/>
  <c r="E28" i="59"/>
  <c r="C28" i="59"/>
  <c r="E39" i="59"/>
  <c r="C39" i="59"/>
  <c r="F39" i="59"/>
  <c r="J39" i="59"/>
  <c r="E14" i="59"/>
  <c r="F14" i="59"/>
  <c r="C14" i="59"/>
  <c r="J14" i="59"/>
  <c r="J31" i="59"/>
  <c r="C31" i="59"/>
  <c r="F31" i="59"/>
  <c r="E31" i="59"/>
  <c r="J16" i="59"/>
  <c r="C16" i="59"/>
  <c r="E16" i="59"/>
  <c r="F16" i="59"/>
  <c r="J33" i="59"/>
  <c r="F33" i="59"/>
  <c r="E33" i="59"/>
  <c r="C33" i="59"/>
  <c r="J20" i="59"/>
  <c r="C20" i="59"/>
  <c r="E20" i="59"/>
  <c r="F20" i="59"/>
  <c r="C14" i="39"/>
  <c r="I35" i="14" l="1"/>
  <c r="H24" i="56"/>
  <c r="J35" i="14"/>
  <c r="J47" i="59"/>
  <c r="E41" i="59"/>
  <c r="N41" i="59"/>
  <c r="D11" i="51"/>
  <c r="B11" i="51"/>
  <c r="F11" i="51"/>
  <c r="D11" i="48"/>
  <c r="E11" i="51"/>
  <c r="F11" i="49"/>
  <c r="E11" i="48"/>
  <c r="B11" i="49"/>
  <c r="F11" i="50"/>
  <c r="D11" i="50"/>
  <c r="D11" i="49"/>
  <c r="E11" i="49"/>
  <c r="B11" i="48"/>
  <c r="B11" i="50"/>
  <c r="F11" i="48"/>
  <c r="E11" i="50"/>
  <c r="C11" i="50"/>
  <c r="C11" i="51"/>
  <c r="C11" i="48"/>
  <c r="C11" i="49"/>
  <c r="H11" i="49"/>
  <c r="G11" i="51"/>
  <c r="G11" i="49"/>
  <c r="H11" i="48"/>
  <c r="H11" i="51"/>
  <c r="G11" i="48"/>
  <c r="H11" i="50"/>
  <c r="G11" i="50"/>
  <c r="D57" i="44"/>
  <c r="C34" i="44"/>
  <c r="A14" i="44"/>
  <c r="D60" i="44"/>
  <c r="A44" i="44"/>
  <c r="D30" i="44"/>
  <c r="A23" i="44"/>
  <c r="D35" i="44"/>
  <c r="A30" i="44"/>
  <c r="D34" i="44"/>
  <c r="B26" i="44"/>
  <c r="D39" i="44"/>
  <c r="C50" i="44"/>
  <c r="B35" i="44"/>
  <c r="C19" i="44"/>
  <c r="A60" i="44"/>
  <c r="D54" i="44"/>
  <c r="B51" i="44"/>
  <c r="D59" i="44"/>
  <c r="B58" i="44"/>
  <c r="D58" i="44"/>
  <c r="A55" i="44"/>
  <c r="D17" i="44"/>
  <c r="A31" i="44"/>
  <c r="B24" i="44"/>
  <c r="D36" i="44"/>
  <c r="C64" i="44"/>
  <c r="B25" i="44"/>
  <c r="A19" i="44"/>
  <c r="A32" i="44"/>
  <c r="A26" i="44"/>
  <c r="C30" i="44"/>
  <c r="D45" i="44"/>
  <c r="C18" i="44"/>
  <c r="A21" i="44"/>
  <c r="D64" i="44"/>
  <c r="B49" i="44"/>
  <c r="D38" i="44"/>
  <c r="C31" i="44"/>
  <c r="D43" i="44"/>
  <c r="A39" i="44"/>
  <c r="D42" i="44"/>
  <c r="A37" i="44"/>
  <c r="D47" i="44"/>
  <c r="A48" i="44"/>
  <c r="B40" i="44"/>
  <c r="B62" i="44"/>
  <c r="A53" i="44"/>
  <c r="A33" i="44"/>
  <c r="B27" i="44"/>
  <c r="B55" i="44"/>
  <c r="A16" i="44"/>
  <c r="A59" i="44"/>
  <c r="D41" i="44"/>
  <c r="A45" i="44"/>
  <c r="B38" i="44"/>
  <c r="D44" i="44"/>
  <c r="C22" i="44"/>
  <c r="C46" i="44"/>
  <c r="C36" i="44"/>
  <c r="B53" i="44"/>
  <c r="C43" i="44"/>
  <c r="A52" i="44"/>
  <c r="A42" i="44"/>
  <c r="D53" i="44"/>
  <c r="B29" i="44"/>
  <c r="C59" i="44"/>
  <c r="D56" i="44"/>
  <c r="C38" i="44"/>
  <c r="D22" i="44"/>
  <c r="A65" i="44"/>
  <c r="D27" i="44"/>
  <c r="B19" i="44"/>
  <c r="D26" i="44"/>
  <c r="D65" i="44"/>
  <c r="B45" i="44"/>
  <c r="C56" i="44"/>
  <c r="A50" i="44"/>
  <c r="D20" i="44"/>
  <c r="B36" i="44"/>
  <c r="C25" i="44"/>
  <c r="A41" i="44"/>
  <c r="B34" i="44"/>
  <c r="B14" i="44"/>
  <c r="C32" i="44"/>
  <c r="D29" i="44"/>
  <c r="B52" i="44"/>
  <c r="C45" i="44"/>
  <c r="D48" i="44"/>
  <c r="A28" i="44"/>
  <c r="B57" i="44"/>
  <c r="B47" i="44"/>
  <c r="A64" i="44"/>
  <c r="B54" i="44"/>
  <c r="C62" i="44"/>
  <c r="A51" i="44"/>
  <c r="C17" i="44"/>
  <c r="C55" i="44"/>
  <c r="B16" i="44"/>
  <c r="D23" i="44"/>
  <c r="C15" i="44"/>
  <c r="D63" i="44"/>
  <c r="B44" i="44"/>
  <c r="B22" i="44"/>
  <c r="B18" i="44"/>
  <c r="C60" i="44"/>
  <c r="D25" i="44"/>
  <c r="C16" i="44"/>
  <c r="C51" i="44"/>
  <c r="D28" i="44"/>
  <c r="B50" i="44"/>
  <c r="A54" i="44"/>
  <c r="B64" i="44"/>
  <c r="A63" i="44"/>
  <c r="C37" i="44"/>
  <c r="A61" i="44"/>
  <c r="B30" i="44"/>
  <c r="D37" i="44"/>
  <c r="A38" i="44"/>
  <c r="B31" i="44"/>
  <c r="D40" i="44"/>
  <c r="B17" i="44"/>
  <c r="A36" i="44"/>
  <c r="C27" i="44"/>
  <c r="C42" i="44"/>
  <c r="A35" i="44"/>
  <c r="B41" i="44"/>
  <c r="D49" i="44"/>
  <c r="A24" i="44"/>
  <c r="B28" i="44"/>
  <c r="B39" i="44"/>
  <c r="C54" i="44"/>
  <c r="D46" i="44"/>
  <c r="C40" i="44"/>
  <c r="D51" i="44"/>
  <c r="C47" i="44"/>
  <c r="D50" i="44"/>
  <c r="A46" i="44"/>
  <c r="B61" i="44"/>
  <c r="C23" i="44"/>
  <c r="A17" i="44"/>
  <c r="D32" i="44"/>
  <c r="C57" i="44"/>
  <c r="C14" i="44"/>
  <c r="C44" i="44"/>
  <c r="B21" i="44"/>
  <c r="B15" i="44"/>
  <c r="A20" i="44"/>
  <c r="C13" i="44"/>
  <c r="A43" i="44"/>
  <c r="A62" i="44"/>
  <c r="A25" i="44"/>
  <c r="B37" i="44"/>
  <c r="C29" i="44"/>
  <c r="D15" i="44"/>
  <c r="A58" i="44"/>
  <c r="D55" i="44"/>
  <c r="A56" i="44"/>
  <c r="B42" i="44"/>
  <c r="B48" i="44"/>
  <c r="B65" i="44"/>
  <c r="D62" i="44"/>
  <c r="B60" i="44"/>
  <c r="A18" i="44"/>
  <c r="A13" i="44"/>
  <c r="B46" i="44"/>
  <c r="C65" i="44"/>
  <c r="B32" i="44"/>
  <c r="D21" i="44"/>
  <c r="C63" i="44"/>
  <c r="B23" i="44"/>
  <c r="D24" i="44"/>
  <c r="B43" i="44"/>
  <c r="C39" i="44"/>
  <c r="C28" i="44"/>
  <c r="C48" i="44"/>
  <c r="A57" i="44"/>
  <c r="A47" i="44"/>
  <c r="D33" i="44"/>
  <c r="B59" i="44"/>
  <c r="C52" i="44"/>
  <c r="D52" i="44"/>
  <c r="B33" i="44"/>
  <c r="D14" i="44"/>
  <c r="B56" i="44"/>
  <c r="D19" i="44"/>
  <c r="B63" i="44"/>
  <c r="D18" i="44"/>
  <c r="D61" i="44"/>
  <c r="A40" i="44"/>
  <c r="C49" i="44"/>
  <c r="C21" i="44"/>
  <c r="D16" i="44"/>
  <c r="A29" i="44"/>
  <c r="A15" i="44"/>
  <c r="C53" i="44"/>
  <c r="A22" i="44"/>
  <c r="A34" i="44"/>
  <c r="B20" i="44"/>
  <c r="A27" i="44"/>
  <c r="D31" i="44"/>
  <c r="C24" i="44"/>
  <c r="C61" i="44"/>
  <c r="C41" i="44"/>
  <c r="C35" i="44"/>
  <c r="C26" i="44"/>
  <c r="C20" i="44"/>
  <c r="C58" i="44"/>
  <c r="A49" i="44"/>
  <c r="B13" i="44"/>
  <c r="B71" i="44" s="1"/>
  <c r="C33" i="44"/>
  <c r="D13" i="44"/>
  <c r="D85" i="42"/>
  <c r="D53" i="42"/>
  <c r="H86" i="42"/>
  <c r="H54" i="42"/>
  <c r="D90" i="42"/>
  <c r="D58" i="42"/>
  <c r="H67" i="42"/>
  <c r="G88" i="42"/>
  <c r="G56" i="42"/>
  <c r="G24" i="42"/>
  <c r="D91" i="42"/>
  <c r="D59" i="42"/>
  <c r="D93" i="42"/>
  <c r="H60" i="42"/>
  <c r="H97" i="42"/>
  <c r="D64" i="42"/>
  <c r="H91" i="42"/>
  <c r="D73" i="42"/>
  <c r="D41" i="42"/>
  <c r="H74" i="42"/>
  <c r="H42" i="42"/>
  <c r="D78" i="42"/>
  <c r="D46" i="42"/>
  <c r="D29" i="42"/>
  <c r="G76" i="42"/>
  <c r="D79" i="42"/>
  <c r="D47" i="42"/>
  <c r="H80" i="42"/>
  <c r="H48" i="42"/>
  <c r="D84" i="42"/>
  <c r="D52" i="42"/>
  <c r="H43" i="42"/>
  <c r="G82" i="42"/>
  <c r="G50" i="42"/>
  <c r="G60" i="42"/>
  <c r="F88" i="42"/>
  <c r="F52" i="42"/>
  <c r="H41" i="42"/>
  <c r="C82" i="42"/>
  <c r="C50" i="42"/>
  <c r="B96" i="42"/>
  <c r="B64" i="42"/>
  <c r="H71" i="42"/>
  <c r="G89" i="42"/>
  <c r="G57" i="42"/>
  <c r="D77" i="42"/>
  <c r="D45" i="42"/>
  <c r="H78" i="42"/>
  <c r="H46" i="42"/>
  <c r="D82" i="42"/>
  <c r="D50" i="42"/>
  <c r="H35" i="42"/>
  <c r="G80" i="42"/>
  <c r="G48" i="42"/>
  <c r="F94" i="42"/>
  <c r="D83" i="42"/>
  <c r="D51" i="42"/>
  <c r="H84" i="42"/>
  <c r="H52" i="42"/>
  <c r="D88" i="42"/>
  <c r="D56" i="42"/>
  <c r="D99" i="42"/>
  <c r="D65" i="42"/>
  <c r="D33" i="42"/>
  <c r="H66" i="42"/>
  <c r="H34" i="42"/>
  <c r="D70" i="42"/>
  <c r="D38" i="42"/>
  <c r="G100" i="42"/>
  <c r="G68" i="42"/>
  <c r="D71" i="42"/>
  <c r="D39" i="42"/>
  <c r="H72" i="42"/>
  <c r="H40" i="42"/>
  <c r="D76" i="42"/>
  <c r="D44" i="42"/>
  <c r="D27" i="42"/>
  <c r="G74" i="42"/>
  <c r="G42" i="42"/>
  <c r="G44" i="42"/>
  <c r="F76" i="42"/>
  <c r="F44" i="42"/>
  <c r="H26" i="42"/>
  <c r="C74" i="42"/>
  <c r="C42" i="42"/>
  <c r="B88" i="42"/>
  <c r="B56" i="42"/>
  <c r="H39" i="42"/>
  <c r="G81" i="42"/>
  <c r="D69" i="42"/>
  <c r="D37" i="42"/>
  <c r="H70" i="42"/>
  <c r="H38" i="42"/>
  <c r="D74" i="42"/>
  <c r="D42" i="42"/>
  <c r="D25" i="42"/>
  <c r="G72" i="42"/>
  <c r="G40" i="42"/>
  <c r="F86" i="42"/>
  <c r="D75" i="42"/>
  <c r="D43" i="42"/>
  <c r="H76" i="42"/>
  <c r="H44" i="42"/>
  <c r="D80" i="42"/>
  <c r="D48" i="42"/>
  <c r="D89" i="42"/>
  <c r="D57" i="42"/>
  <c r="H90" i="42"/>
  <c r="H58" i="42"/>
  <c r="D95" i="42"/>
  <c r="D62" i="42"/>
  <c r="H83" i="42"/>
  <c r="G92" i="42"/>
  <c r="H96" i="42"/>
  <c r="D63" i="42"/>
  <c r="H98" i="42"/>
  <c r="H64" i="42"/>
  <c r="H32" i="42"/>
  <c r="D68" i="42"/>
  <c r="D36" i="42"/>
  <c r="G98" i="42"/>
  <c r="G66" i="42"/>
  <c r="H59" i="42"/>
  <c r="G30" i="42"/>
  <c r="F68" i="42"/>
  <c r="F36" i="42"/>
  <c r="C98" i="42"/>
  <c r="C66" i="42"/>
  <c r="C34" i="42"/>
  <c r="B80" i="42"/>
  <c r="B48" i="42"/>
  <c r="D26" i="42"/>
  <c r="G73" i="42"/>
  <c r="H93" i="42"/>
  <c r="D61" i="42"/>
  <c r="H95" i="42"/>
  <c r="H62" i="42"/>
  <c r="H100" i="42"/>
  <c r="D66" i="42"/>
  <c r="D34" i="42"/>
  <c r="G96" i="42"/>
  <c r="G64" i="42"/>
  <c r="G32" i="42"/>
  <c r="F78" i="42"/>
  <c r="D67" i="42"/>
  <c r="D35" i="42"/>
  <c r="H68" i="42"/>
  <c r="H36" i="42"/>
  <c r="D72" i="42"/>
  <c r="D40" i="42"/>
  <c r="D81" i="42"/>
  <c r="D49" i="42"/>
  <c r="H82" i="42"/>
  <c r="H50" i="42"/>
  <c r="D86" i="42"/>
  <c r="D54" i="42"/>
  <c r="H51" i="42"/>
  <c r="G84" i="42"/>
  <c r="D87" i="42"/>
  <c r="D55" i="42"/>
  <c r="H88" i="42"/>
  <c r="H56" i="42"/>
  <c r="H92" i="42"/>
  <c r="D60" i="42"/>
  <c r="H75" i="42"/>
  <c r="G90" i="42"/>
  <c r="G58" i="42"/>
  <c r="G86" i="42"/>
  <c r="F98" i="42"/>
  <c r="F60" i="42"/>
  <c r="H73" i="42"/>
  <c r="C90" i="42"/>
  <c r="C58" i="42"/>
  <c r="C26" i="42"/>
  <c r="B72" i="42"/>
  <c r="B40" i="42"/>
  <c r="G65" i="42"/>
  <c r="G25" i="42"/>
  <c r="F71" i="42"/>
  <c r="F39" i="42"/>
  <c r="C99" i="42"/>
  <c r="C67" i="42"/>
  <c r="C35" i="42"/>
  <c r="B81" i="42"/>
  <c r="B49" i="42"/>
  <c r="A95" i="42"/>
  <c r="A63" i="42"/>
  <c r="A31" i="42"/>
  <c r="G38" i="42"/>
  <c r="F74" i="42"/>
  <c r="F42" i="42"/>
  <c r="H24" i="42"/>
  <c r="C72" i="42"/>
  <c r="C40" i="42"/>
  <c r="B86" i="42"/>
  <c r="B54" i="42"/>
  <c r="D32" i="42"/>
  <c r="G79" i="42"/>
  <c r="G47" i="42"/>
  <c r="F93" i="42"/>
  <c r="F61" i="42"/>
  <c r="H69" i="42"/>
  <c r="C89" i="42"/>
  <c r="C57" i="42"/>
  <c r="C25" i="42"/>
  <c r="B71" i="42"/>
  <c r="B39" i="42"/>
  <c r="A85" i="42"/>
  <c r="G36" i="42"/>
  <c r="F72" i="42"/>
  <c r="F40" i="42"/>
  <c r="H22" i="42"/>
  <c r="C70" i="42"/>
  <c r="C38" i="42"/>
  <c r="B84" i="42"/>
  <c r="B52" i="42"/>
  <c r="D30" i="42"/>
  <c r="G77" i="42"/>
  <c r="G45" i="42"/>
  <c r="F91" i="42"/>
  <c r="F59" i="42"/>
  <c r="H61" i="42"/>
  <c r="C87" i="42"/>
  <c r="C55" i="42"/>
  <c r="C23" i="42"/>
  <c r="B69" i="42"/>
  <c r="B37" i="42"/>
  <c r="A83" i="42"/>
  <c r="G62" i="42"/>
  <c r="F90" i="42"/>
  <c r="F54" i="42"/>
  <c r="H49" i="42"/>
  <c r="C84" i="42"/>
  <c r="C52" i="42"/>
  <c r="B98" i="42"/>
  <c r="B66" i="42"/>
  <c r="H79" i="42"/>
  <c r="G91" i="42"/>
  <c r="G59" i="42"/>
  <c r="G27" i="42"/>
  <c r="F73" i="42"/>
  <c r="F41" i="42"/>
  <c r="H21" i="42"/>
  <c r="C69" i="42"/>
  <c r="C37" i="42"/>
  <c r="B83" i="42"/>
  <c r="B51" i="42"/>
  <c r="A97" i="42"/>
  <c r="A65" i="42"/>
  <c r="A77" i="42"/>
  <c r="F17" i="42"/>
  <c r="B14" i="42"/>
  <c r="A98" i="42"/>
  <c r="A66" i="42"/>
  <c r="A34" i="42"/>
  <c r="B25" i="42"/>
  <c r="H18" i="42"/>
  <c r="A17" i="42"/>
  <c r="A51" i="42"/>
  <c r="C18" i="42"/>
  <c r="G16" i="42"/>
  <c r="A88" i="42"/>
  <c r="G49" i="42"/>
  <c r="F95" i="42"/>
  <c r="F63" i="42"/>
  <c r="H77" i="42"/>
  <c r="C91" i="42"/>
  <c r="C59" i="42"/>
  <c r="C27" i="42"/>
  <c r="B73" i="42"/>
  <c r="B41" i="42"/>
  <c r="A87" i="42"/>
  <c r="A55" i="42"/>
  <c r="D31" i="42"/>
  <c r="G28" i="42"/>
  <c r="F66" i="42"/>
  <c r="H99" i="42"/>
  <c r="C96" i="42"/>
  <c r="C64" i="42"/>
  <c r="C32" i="42"/>
  <c r="B78" i="42"/>
  <c r="B46" i="42"/>
  <c r="D24" i="42"/>
  <c r="G71" i="42"/>
  <c r="G39" i="42"/>
  <c r="F85" i="42"/>
  <c r="F53" i="42"/>
  <c r="H37" i="42"/>
  <c r="C81" i="42"/>
  <c r="C49" i="42"/>
  <c r="B95" i="42"/>
  <c r="B63" i="42"/>
  <c r="F32" i="42"/>
  <c r="D23" i="42"/>
  <c r="G26" i="42"/>
  <c r="F64" i="42"/>
  <c r="H89" i="42"/>
  <c r="C94" i="42"/>
  <c r="C62" i="42"/>
  <c r="C30" i="42"/>
  <c r="B76" i="42"/>
  <c r="B44" i="42"/>
  <c r="D22" i="42"/>
  <c r="G69" i="42"/>
  <c r="G37" i="42"/>
  <c r="F83" i="42"/>
  <c r="F51" i="42"/>
  <c r="H31" i="42"/>
  <c r="C79" i="42"/>
  <c r="C47" i="42"/>
  <c r="B93" i="42"/>
  <c r="B61" i="42"/>
  <c r="F30" i="42"/>
  <c r="A75" i="42"/>
  <c r="G46" i="42"/>
  <c r="F80" i="42"/>
  <c r="F46" i="42"/>
  <c r="H28" i="42"/>
  <c r="C76" i="42"/>
  <c r="C44" i="42"/>
  <c r="B90" i="42"/>
  <c r="B58" i="42"/>
  <c r="H47" i="42"/>
  <c r="G83" i="42"/>
  <c r="G51" i="42"/>
  <c r="F97" i="42"/>
  <c r="F65" i="42"/>
  <c r="H85" i="42"/>
  <c r="C93" i="42"/>
  <c r="C61" i="42"/>
  <c r="C29" i="42"/>
  <c r="B75" i="42"/>
  <c r="B43" i="42"/>
  <c r="A89" i="42"/>
  <c r="A57" i="42"/>
  <c r="A53" i="42"/>
  <c r="C16" i="42"/>
  <c r="C22" i="42"/>
  <c r="A90" i="42"/>
  <c r="A58" i="42"/>
  <c r="A26" i="42"/>
  <c r="B17" i="42"/>
  <c r="D15" i="42"/>
  <c r="B22" i="42"/>
  <c r="A35" i="42"/>
  <c r="B34" i="42"/>
  <c r="B36" i="42"/>
  <c r="G41" i="42"/>
  <c r="F87" i="42"/>
  <c r="F55" i="42"/>
  <c r="H45" i="42"/>
  <c r="C83" i="42"/>
  <c r="C51" i="42"/>
  <c r="B97" i="42"/>
  <c r="B65" i="42"/>
  <c r="F34" i="42"/>
  <c r="A79" i="42"/>
  <c r="A47" i="42"/>
  <c r="G78" i="42"/>
  <c r="F96" i="42"/>
  <c r="F58" i="42"/>
  <c r="H65" i="42"/>
  <c r="C88" i="42"/>
  <c r="C56" i="42"/>
  <c r="C24" i="42"/>
  <c r="B70" i="42"/>
  <c r="D97" i="42"/>
  <c r="G95" i="42"/>
  <c r="G63" i="42"/>
  <c r="G31" i="42"/>
  <c r="F77" i="42"/>
  <c r="F45" i="42"/>
  <c r="H25" i="42"/>
  <c r="C73" i="42"/>
  <c r="C41" i="42"/>
  <c r="B87" i="42"/>
  <c r="B55" i="42"/>
  <c r="F24" i="42"/>
  <c r="G70" i="42"/>
  <c r="F92" i="42"/>
  <c r="F56" i="42"/>
  <c r="H57" i="42"/>
  <c r="C86" i="42"/>
  <c r="C54" i="42"/>
  <c r="B100" i="42"/>
  <c r="B68" i="42"/>
  <c r="H87" i="42"/>
  <c r="G93" i="42"/>
  <c r="G61" i="42"/>
  <c r="G29" i="42"/>
  <c r="F75" i="42"/>
  <c r="F43" i="42"/>
  <c r="H23" i="42"/>
  <c r="C71" i="42"/>
  <c r="C39" i="42"/>
  <c r="B85" i="42"/>
  <c r="B53" i="42"/>
  <c r="A99" i="42"/>
  <c r="A67" i="42"/>
  <c r="G34" i="42"/>
  <c r="F70" i="42"/>
  <c r="F38" i="42"/>
  <c r="C100" i="42"/>
  <c r="C68" i="42"/>
  <c r="C36" i="42"/>
  <c r="B82" i="42"/>
  <c r="B50" i="42"/>
  <c r="D28" i="42"/>
  <c r="G75" i="42"/>
  <c r="G43" i="42"/>
  <c r="F89" i="42"/>
  <c r="F57" i="42"/>
  <c r="H53" i="42"/>
  <c r="C85" i="42"/>
  <c r="C53" i="42"/>
  <c r="B99" i="42"/>
  <c r="B67" i="42"/>
  <c r="B35" i="42"/>
  <c r="A81" i="42"/>
  <c r="A49" i="42"/>
  <c r="A37" i="42"/>
  <c r="B38" i="42"/>
  <c r="B24" i="42"/>
  <c r="A82" i="42"/>
  <c r="A50" i="42"/>
  <c r="F18" i="42"/>
  <c r="G21" i="42"/>
  <c r="C17" i="42"/>
  <c r="D96" i="42"/>
  <c r="A25" i="42"/>
  <c r="B26" i="42"/>
  <c r="F27" i="42"/>
  <c r="G97" i="42"/>
  <c r="G33" i="42"/>
  <c r="F79" i="42"/>
  <c r="F47" i="42"/>
  <c r="H27" i="42"/>
  <c r="C75" i="42"/>
  <c r="C43" i="42"/>
  <c r="B89" i="42"/>
  <c r="B57" i="42"/>
  <c r="F26" i="42"/>
  <c r="A71" i="42"/>
  <c r="A39" i="42"/>
  <c r="G54" i="42"/>
  <c r="F84" i="42"/>
  <c r="F50" i="42"/>
  <c r="H33" i="42"/>
  <c r="C80" i="42"/>
  <c r="C48" i="42"/>
  <c r="B94" i="42"/>
  <c r="B62" i="42"/>
  <c r="H63" i="42"/>
  <c r="G87" i="42"/>
  <c r="G55" i="42"/>
  <c r="G23" i="42"/>
  <c r="F69" i="42"/>
  <c r="F37" i="42"/>
  <c r="C97" i="42"/>
  <c r="C65" i="42"/>
  <c r="C33" i="42"/>
  <c r="B79" i="42"/>
  <c r="B47" i="42"/>
  <c r="A93" i="42"/>
  <c r="G52" i="42"/>
  <c r="F82" i="42"/>
  <c r="F48" i="42"/>
  <c r="H30" i="42"/>
  <c r="C78" i="42"/>
  <c r="C46" i="42"/>
  <c r="B92" i="42"/>
  <c r="B60" i="42"/>
  <c r="H55" i="42"/>
  <c r="G85" i="42"/>
  <c r="G53" i="42"/>
  <c r="F99" i="42"/>
  <c r="F67" i="42"/>
  <c r="H94" i="42"/>
  <c r="C95" i="42"/>
  <c r="C63" i="42"/>
  <c r="C31" i="42"/>
  <c r="B77" i="42"/>
  <c r="B45" i="42"/>
  <c r="A91" i="42"/>
  <c r="G94" i="42"/>
  <c r="F100" i="42"/>
  <c r="F62" i="42"/>
  <c r="H81" i="42"/>
  <c r="C92" i="42"/>
  <c r="C60" i="42"/>
  <c r="C28" i="42"/>
  <c r="B74" i="42"/>
  <c r="B42" i="42"/>
  <c r="G99" i="42"/>
  <c r="G67" i="42"/>
  <c r="G35" i="42"/>
  <c r="F81" i="42"/>
  <c r="F49" i="42"/>
  <c r="H29" i="42"/>
  <c r="C77" i="42"/>
  <c r="C45" i="42"/>
  <c r="B91" i="42"/>
  <c r="B59" i="42"/>
  <c r="F28" i="42"/>
  <c r="A73" i="42"/>
  <c r="A41" i="42"/>
  <c r="A27" i="42"/>
  <c r="B28" i="42"/>
  <c r="F29" i="42"/>
  <c r="A74" i="42"/>
  <c r="A42" i="42"/>
  <c r="B33" i="42"/>
  <c r="G22" i="42"/>
  <c r="H19" i="42"/>
  <c r="A69" i="42"/>
  <c r="F19" i="42"/>
  <c r="B16" i="42"/>
  <c r="A80" i="42"/>
  <c r="A48" i="42"/>
  <c r="F20" i="42"/>
  <c r="C15" i="42"/>
  <c r="A22" i="42"/>
  <c r="D98" i="42"/>
  <c r="A23" i="42"/>
  <c r="B18" i="42"/>
  <c r="A94" i="42"/>
  <c r="A62" i="42"/>
  <c r="A30" i="42"/>
  <c r="B21" i="42"/>
  <c r="D19" i="42"/>
  <c r="A18" i="42"/>
  <c r="A29" i="42"/>
  <c r="B30" i="42"/>
  <c r="A100" i="42"/>
  <c r="A68" i="42"/>
  <c r="A36" i="42"/>
  <c r="B27" i="42"/>
  <c r="H16" i="42"/>
  <c r="A15" i="42"/>
  <c r="E98" i="42"/>
  <c r="I98" i="42" s="1"/>
  <c r="A72" i="42"/>
  <c r="A40" i="42"/>
  <c r="B31" i="42"/>
  <c r="H20" i="42"/>
  <c r="A19" i="42"/>
  <c r="A61" i="42"/>
  <c r="F21" i="42"/>
  <c r="G18" i="42"/>
  <c r="A86" i="42"/>
  <c r="A54" i="42"/>
  <c r="F14" i="42"/>
  <c r="D18" i="42"/>
  <c r="H15" i="42"/>
  <c r="D92" i="42"/>
  <c r="F15" i="42"/>
  <c r="B20" i="42"/>
  <c r="A92" i="42"/>
  <c r="A60" i="42"/>
  <c r="A28" i="42"/>
  <c r="B15" i="42"/>
  <c r="G19" i="42"/>
  <c r="A20" i="42"/>
  <c r="A64" i="42"/>
  <c r="A32" i="42"/>
  <c r="B19" i="42"/>
  <c r="D17" i="42"/>
  <c r="A16" i="42"/>
  <c r="A45" i="42"/>
  <c r="C20" i="42"/>
  <c r="F33" i="42"/>
  <c r="A78" i="42"/>
  <c r="A46" i="42"/>
  <c r="F23" i="42"/>
  <c r="C19" i="42"/>
  <c r="B23" i="42"/>
  <c r="A59" i="42"/>
  <c r="C14" i="42"/>
  <c r="G20" i="42"/>
  <c r="A84" i="42"/>
  <c r="A52" i="42"/>
  <c r="F16" i="42"/>
  <c r="G17" i="42"/>
  <c r="D21" i="42"/>
  <c r="D94" i="42"/>
  <c r="E94" i="42"/>
  <c r="I94" i="42" s="1"/>
  <c r="A96" i="42"/>
  <c r="A56" i="42"/>
  <c r="A24" i="42"/>
  <c r="D16" i="42"/>
  <c r="C21" i="42"/>
  <c r="D100" i="42"/>
  <c r="A33" i="42"/>
  <c r="B32" i="42"/>
  <c r="F25" i="42"/>
  <c r="A70" i="42"/>
  <c r="A38" i="42"/>
  <c r="B29" i="42"/>
  <c r="G15" i="42"/>
  <c r="A21" i="42"/>
  <c r="A43" i="42"/>
  <c r="F22" i="42"/>
  <c r="F31" i="42"/>
  <c r="A76" i="42"/>
  <c r="A44" i="42"/>
  <c r="F35" i="42"/>
  <c r="D20" i="42"/>
  <c r="H17" i="42"/>
  <c r="E91" i="42"/>
  <c r="I91" i="42" s="1"/>
  <c r="E99" i="42"/>
  <c r="I99" i="42" s="1"/>
  <c r="E92" i="42"/>
  <c r="I92" i="42" s="1"/>
  <c r="E93" i="42"/>
  <c r="I93" i="42" s="1"/>
  <c r="E100" i="42"/>
  <c r="I100" i="42" s="1"/>
  <c r="E95" i="42"/>
  <c r="I95" i="42" s="1"/>
  <c r="E96" i="42"/>
  <c r="I96" i="42" s="1"/>
  <c r="E97" i="42"/>
  <c r="I97" i="42" s="1"/>
  <c r="A14" i="42"/>
  <c r="A106" i="42" s="1"/>
  <c r="G14" i="42"/>
  <c r="H14" i="42"/>
  <c r="D14" i="42"/>
  <c r="E90" i="42"/>
  <c r="E82" i="42"/>
  <c r="E74" i="42"/>
  <c r="E66" i="42"/>
  <c r="E58" i="42"/>
  <c r="E50" i="42"/>
  <c r="E88" i="42"/>
  <c r="E80" i="42"/>
  <c r="E72" i="42"/>
  <c r="E64" i="42"/>
  <c r="E56" i="42"/>
  <c r="E48" i="42"/>
  <c r="E40" i="42"/>
  <c r="E32" i="42"/>
  <c r="E24" i="42"/>
  <c r="E18" i="42"/>
  <c r="E86" i="42"/>
  <c r="E78" i="42"/>
  <c r="E70" i="42"/>
  <c r="E62" i="42"/>
  <c r="E54" i="42"/>
  <c r="E46" i="42"/>
  <c r="E38" i="42"/>
  <c r="E30" i="42"/>
  <c r="E22" i="42"/>
  <c r="E85" i="42"/>
  <c r="E77" i="42"/>
  <c r="E69" i="42"/>
  <c r="E61" i="42"/>
  <c r="E84" i="42"/>
  <c r="E76" i="42"/>
  <c r="E68" i="42"/>
  <c r="E60" i="42"/>
  <c r="E52" i="42"/>
  <c r="E44" i="42"/>
  <c r="E36" i="42"/>
  <c r="E28" i="42"/>
  <c r="E21" i="42"/>
  <c r="E87" i="42"/>
  <c r="E42" i="42"/>
  <c r="E65" i="42"/>
  <c r="E45" i="42"/>
  <c r="E29" i="42"/>
  <c r="E14" i="42"/>
  <c r="E83" i="42"/>
  <c r="E75" i="42"/>
  <c r="E67" i="42"/>
  <c r="E59" i="42"/>
  <c r="E51" i="42"/>
  <c r="E43" i="42"/>
  <c r="E35" i="42"/>
  <c r="E27" i="42"/>
  <c r="E20" i="42"/>
  <c r="E34" i="42"/>
  <c r="E89" i="42"/>
  <c r="E57" i="42"/>
  <c r="E41" i="42"/>
  <c r="E25" i="42"/>
  <c r="E26" i="42"/>
  <c r="E81" i="42"/>
  <c r="E53" i="42"/>
  <c r="E37" i="42"/>
  <c r="E19" i="42"/>
  <c r="E79" i="42"/>
  <c r="E71" i="42"/>
  <c r="E63" i="42"/>
  <c r="E55" i="42"/>
  <c r="E47" i="42"/>
  <c r="E39" i="42"/>
  <c r="E31" i="42"/>
  <c r="E23" i="42"/>
  <c r="E17" i="42"/>
  <c r="E73" i="42"/>
  <c r="E49" i="42"/>
  <c r="E33" i="42"/>
  <c r="E16" i="42"/>
  <c r="E15" i="42"/>
  <c r="E81" i="43"/>
  <c r="B38" i="43"/>
  <c r="B88" i="43"/>
  <c r="C30" i="43"/>
  <c r="E106" i="43"/>
  <c r="G49" i="43"/>
  <c r="G119" i="43"/>
  <c r="D76" i="43"/>
  <c r="C35" i="43"/>
  <c r="C84" i="43"/>
  <c r="D64" i="43"/>
  <c r="D61" i="43"/>
  <c r="B96" i="43"/>
  <c r="F39" i="43"/>
  <c r="C26" i="43"/>
  <c r="C41" i="43"/>
  <c r="B55" i="43"/>
  <c r="E18" i="43"/>
  <c r="E45" i="43"/>
  <c r="G99" i="43"/>
  <c r="D56" i="43"/>
  <c r="D109" i="43"/>
  <c r="E51" i="43"/>
  <c r="G93" i="43"/>
  <c r="G100" i="43"/>
  <c r="C112" i="43"/>
  <c r="F94" i="43"/>
  <c r="E53" i="43"/>
  <c r="F105" i="43"/>
  <c r="E105" i="43"/>
  <c r="G101" i="43"/>
  <c r="G24" i="43"/>
  <c r="G94" i="43"/>
  <c r="F55" i="43"/>
  <c r="F69" i="43"/>
  <c r="F83" i="43"/>
  <c r="G13" i="43"/>
  <c r="B82" i="43"/>
  <c r="F106" i="43"/>
  <c r="E65" i="43"/>
  <c r="E118" i="43"/>
  <c r="F60" i="43"/>
  <c r="B112" i="43"/>
  <c r="C88" i="43"/>
  <c r="D25" i="43"/>
  <c r="G103" i="43"/>
  <c r="D60" i="43"/>
  <c r="G114" i="43"/>
  <c r="C119" i="43"/>
  <c r="D32" i="43"/>
  <c r="B37" i="43"/>
  <c r="C98" i="43"/>
  <c r="B83" i="43"/>
  <c r="G81" i="43"/>
  <c r="G116" i="43"/>
  <c r="D20" i="43"/>
  <c r="G95" i="43"/>
  <c r="D104" i="43"/>
  <c r="C63" i="43"/>
  <c r="E115" i="43"/>
  <c r="F57" i="43"/>
  <c r="B109" i="43"/>
  <c r="C85" i="43"/>
  <c r="B22" i="43"/>
  <c r="E101" i="43"/>
  <c r="B58" i="43"/>
  <c r="F111" i="43"/>
  <c r="F114" i="43"/>
  <c r="G27" i="43"/>
  <c r="E32" i="43"/>
  <c r="F93" i="43"/>
  <c r="B77" i="43"/>
  <c r="G77" i="43"/>
  <c r="F104" i="43"/>
  <c r="D18" i="43"/>
  <c r="C91" i="43"/>
  <c r="B101" i="43"/>
  <c r="G82" i="43"/>
  <c r="C117" i="43"/>
  <c r="F43" i="43"/>
  <c r="D33" i="43"/>
  <c r="C44" i="43"/>
  <c r="E113" i="43"/>
  <c r="B70" i="43"/>
  <c r="F26" i="43"/>
  <c r="G66" i="43"/>
  <c r="C118" i="43"/>
  <c r="D94" i="43"/>
  <c r="F33" i="43"/>
  <c r="D108" i="43"/>
  <c r="C67" i="43"/>
  <c r="E120" i="43"/>
  <c r="B72" i="43"/>
  <c r="B46" i="43"/>
  <c r="F44" i="43"/>
  <c r="D110" i="43"/>
  <c r="C20" i="43"/>
  <c r="D99" i="43"/>
  <c r="B25" i="43"/>
  <c r="G26" i="43"/>
  <c r="E109" i="43"/>
  <c r="D119" i="43"/>
  <c r="D88" i="43"/>
  <c r="C47" i="43"/>
  <c r="C97" i="43"/>
  <c r="D39" i="43"/>
  <c r="F115" i="43"/>
  <c r="C74" i="43"/>
  <c r="G61" i="43"/>
  <c r="E85" i="43"/>
  <c r="B42" i="43"/>
  <c r="D93" i="43"/>
  <c r="F82" i="43"/>
  <c r="D77" i="43"/>
  <c r="C108" i="43"/>
  <c r="B67" i="43"/>
  <c r="D38" i="43"/>
  <c r="D53" i="43"/>
  <c r="D67" i="43"/>
  <c r="B18" i="43"/>
  <c r="C59" i="43"/>
  <c r="E97" i="43"/>
  <c r="B54" i="43"/>
  <c r="D106" i="43"/>
  <c r="E48" i="43"/>
  <c r="G90" i="43"/>
  <c r="F88" i="43"/>
  <c r="B100" i="43"/>
  <c r="D92" i="43"/>
  <c r="C51" i="43"/>
  <c r="E102" i="43"/>
  <c r="D96" i="43"/>
  <c r="F95" i="43"/>
  <c r="F120" i="43"/>
  <c r="D83" i="43"/>
  <c r="E50" i="43"/>
  <c r="F65" i="43"/>
  <c r="E79" i="43"/>
  <c r="B17" i="43"/>
  <c r="E77" i="43"/>
  <c r="C95" i="43"/>
  <c r="G51" i="43"/>
  <c r="D103" i="43"/>
  <c r="D45" i="43"/>
  <c r="F87" i="43"/>
  <c r="D82" i="43"/>
  <c r="C82" i="43"/>
  <c r="B90" i="43"/>
  <c r="F46" i="43"/>
  <c r="E99" i="43"/>
  <c r="G91" i="43"/>
  <c r="F89" i="43"/>
  <c r="F116" i="43"/>
  <c r="C77" i="43"/>
  <c r="E46" i="43"/>
  <c r="F61" i="43"/>
  <c r="E75" i="43"/>
  <c r="G14" i="43"/>
  <c r="D68" i="43"/>
  <c r="E70" i="43"/>
  <c r="C52" i="43"/>
  <c r="C101" i="43"/>
  <c r="G22" i="43"/>
  <c r="B102" i="43"/>
  <c r="F58" i="43"/>
  <c r="E112" i="43"/>
  <c r="E54" i="43"/>
  <c r="G96" i="43"/>
  <c r="B113" i="43"/>
  <c r="F19" i="43"/>
  <c r="C99" i="43"/>
  <c r="G55" i="43"/>
  <c r="F108" i="43"/>
  <c r="B110" i="43"/>
  <c r="B120" i="43"/>
  <c r="F28" i="43"/>
  <c r="G89" i="43"/>
  <c r="G60" i="43"/>
  <c r="G73" i="43"/>
  <c r="E92" i="43"/>
  <c r="B16" i="43"/>
  <c r="F86" i="43"/>
  <c r="D120" i="43"/>
  <c r="C79" i="43"/>
  <c r="G35" i="43"/>
  <c r="B85" i="43"/>
  <c r="B27" i="43"/>
  <c r="E103" i="43"/>
  <c r="G45" i="43"/>
  <c r="E117" i="43"/>
  <c r="B74" i="43"/>
  <c r="F30" i="43"/>
  <c r="C81" i="43"/>
  <c r="G59" i="43"/>
  <c r="G56" i="43"/>
  <c r="C92" i="43"/>
  <c r="E34" i="43"/>
  <c r="F22" i="43"/>
  <c r="C37" i="43"/>
  <c r="B51" i="43"/>
  <c r="C16" i="43"/>
  <c r="D36" i="43"/>
  <c r="B86" i="43"/>
  <c r="F42" i="43"/>
  <c r="C94" i="43"/>
  <c r="C36" i="43"/>
  <c r="F112" i="43"/>
  <c r="C70" i="43"/>
  <c r="G57" i="43"/>
  <c r="C83" i="43"/>
  <c r="G39" i="43"/>
  <c r="D90" i="43"/>
  <c r="B78" i="43"/>
  <c r="D71" i="43"/>
  <c r="E104" i="43"/>
  <c r="B61" i="43"/>
  <c r="D34" i="43"/>
  <c r="D49" i="43"/>
  <c r="D63" i="43"/>
  <c r="G15" i="43"/>
  <c r="F54" i="43"/>
  <c r="G83" i="43"/>
  <c r="D40" i="43"/>
  <c r="B91" i="43"/>
  <c r="C33" i="43"/>
  <c r="F109" i="43"/>
  <c r="C66" i="43"/>
  <c r="F53" i="43"/>
  <c r="F78" i="43"/>
  <c r="E37" i="43"/>
  <c r="D87" i="43"/>
  <c r="E73" i="43"/>
  <c r="C65" i="43"/>
  <c r="F100" i="43"/>
  <c r="G44" i="43"/>
  <c r="D30" i="43"/>
  <c r="C45" i="43"/>
  <c r="D59" i="43"/>
  <c r="E13" i="43"/>
  <c r="B50" i="43"/>
  <c r="F47" i="43"/>
  <c r="E23" i="43"/>
  <c r="E84" i="43"/>
  <c r="B76" i="43"/>
  <c r="F90" i="43"/>
  <c r="E49" i="43"/>
  <c r="C100" i="43"/>
  <c r="D42" i="43"/>
  <c r="G118" i="43"/>
  <c r="D78" i="43"/>
  <c r="G65" i="43"/>
  <c r="G87" i="43"/>
  <c r="D44" i="43"/>
  <c r="E96" i="43"/>
  <c r="C87" i="43"/>
  <c r="E83" i="43"/>
  <c r="G112" i="43"/>
  <c r="C72" i="43"/>
  <c r="E42" i="43"/>
  <c r="D57" i="43"/>
  <c r="E71" i="43"/>
  <c r="E12" i="43"/>
  <c r="G63" i="43"/>
  <c r="C111" i="43"/>
  <c r="G67" i="43"/>
  <c r="D24" i="43"/>
  <c r="F63" i="43"/>
  <c r="B115" i="43"/>
  <c r="D91" i="43"/>
  <c r="F29" i="43"/>
  <c r="B106" i="43"/>
  <c r="F62" i="43"/>
  <c r="G117" i="43"/>
  <c r="B69" i="43"/>
  <c r="E41" i="43"/>
  <c r="G40" i="43"/>
  <c r="G105" i="43"/>
  <c r="C109" i="43"/>
  <c r="B87" i="43"/>
  <c r="F21" i="43"/>
  <c r="B23" i="43"/>
  <c r="D100" i="43"/>
  <c r="B118" i="43"/>
  <c r="F74" i="43"/>
  <c r="E33" i="43"/>
  <c r="G72" i="43"/>
  <c r="B24" i="43"/>
  <c r="E100" i="43"/>
  <c r="G41" i="43"/>
  <c r="C115" i="43"/>
  <c r="G71" i="43"/>
  <c r="D28" i="43"/>
  <c r="C78" i="43"/>
  <c r="C55" i="43"/>
  <c r="B53" i="43"/>
  <c r="E88" i="43"/>
  <c r="E28" i="43"/>
  <c r="B20" i="43"/>
  <c r="B33" i="43"/>
  <c r="B47" i="43"/>
  <c r="F118" i="43"/>
  <c r="G115" i="43"/>
  <c r="D72" i="43"/>
  <c r="C31" i="43"/>
  <c r="G69" i="43"/>
  <c r="G21" i="43"/>
  <c r="D97" i="43"/>
  <c r="F37" i="43"/>
  <c r="F110" i="43"/>
  <c r="E69" i="43"/>
  <c r="B26" i="43"/>
  <c r="B75" i="43"/>
  <c r="F50" i="43"/>
  <c r="C49" i="43"/>
  <c r="C114" i="43"/>
  <c r="F23" i="43"/>
  <c r="E111" i="43"/>
  <c r="B29" i="43"/>
  <c r="G30" i="43"/>
  <c r="B114" i="43"/>
  <c r="C27" i="43"/>
  <c r="G31" i="43"/>
  <c r="B71" i="43"/>
  <c r="E60" i="43"/>
  <c r="C54" i="43"/>
  <c r="F15" i="43"/>
  <c r="C39" i="43"/>
  <c r="E38" i="43"/>
  <c r="B119" i="43"/>
  <c r="G68" i="43"/>
  <c r="C89" i="43"/>
  <c r="E62" i="43"/>
  <c r="F18" i="43"/>
  <c r="B57" i="43"/>
  <c r="E98" i="43"/>
  <c r="D52" i="43"/>
  <c r="F20" i="43"/>
  <c r="F17" i="43"/>
  <c r="B93" i="43"/>
  <c r="E55" i="43"/>
  <c r="E19" i="43"/>
  <c r="F119" i="43"/>
  <c r="F91" i="43"/>
  <c r="G64" i="43"/>
  <c r="F72" i="43"/>
  <c r="E82" i="43"/>
  <c r="C13" i="43"/>
  <c r="E57" i="43"/>
  <c r="D55" i="43"/>
  <c r="F99" i="43"/>
  <c r="B103" i="43"/>
  <c r="G37" i="43"/>
  <c r="C90" i="43"/>
  <c r="F16" i="43"/>
  <c r="G102" i="43"/>
  <c r="D43" i="43"/>
  <c r="B15" i="43"/>
  <c r="E47" i="43"/>
  <c r="B48" i="43"/>
  <c r="F41" i="43"/>
  <c r="C93" i="43"/>
  <c r="G28" i="43"/>
  <c r="E35" i="43"/>
  <c r="G92" i="43"/>
  <c r="C106" i="43"/>
  <c r="D85" i="43"/>
  <c r="G113" i="43"/>
  <c r="G19" i="43"/>
  <c r="B94" i="43"/>
  <c r="G98" i="43"/>
  <c r="C102" i="43"/>
  <c r="G52" i="43"/>
  <c r="D116" i="43"/>
  <c r="G20" i="43"/>
  <c r="G84" i="43"/>
  <c r="C75" i="43"/>
  <c r="C28" i="43"/>
  <c r="B41" i="43"/>
  <c r="D29" i="43"/>
  <c r="C42" i="43"/>
  <c r="D84" i="43"/>
  <c r="E24" i="43"/>
  <c r="D86" i="43"/>
  <c r="G88" i="43"/>
  <c r="E91" i="43"/>
  <c r="G48" i="43"/>
  <c r="D37" i="43"/>
  <c r="C48" i="43"/>
  <c r="C58" i="43"/>
  <c r="C15" i="43"/>
  <c r="G43" i="43"/>
  <c r="B43" i="43"/>
  <c r="E87" i="43"/>
  <c r="B80" i="43"/>
  <c r="C105" i="43"/>
  <c r="G70" i="43"/>
  <c r="D15" i="43"/>
  <c r="D79" i="43"/>
  <c r="E20" i="43"/>
  <c r="F70" i="43"/>
  <c r="D27" i="43"/>
  <c r="D14" i="43"/>
  <c r="G109" i="43"/>
  <c r="E63" i="43"/>
  <c r="C17" i="43"/>
  <c r="G12" i="43"/>
  <c r="A12" i="43"/>
  <c r="F49" i="43"/>
  <c r="B28" i="43"/>
  <c r="G25" i="43"/>
  <c r="C103" i="43"/>
  <c r="B117" i="43"/>
  <c r="E110" i="43"/>
  <c r="C69" i="43"/>
  <c r="E44" i="43"/>
  <c r="B63" i="43"/>
  <c r="E22" i="43"/>
  <c r="G111" i="43"/>
  <c r="F51" i="43"/>
  <c r="C57" i="43"/>
  <c r="C62" i="43"/>
  <c r="E58" i="43"/>
  <c r="E14" i="43"/>
  <c r="B68" i="43"/>
  <c r="C23" i="43"/>
  <c r="C113" i="43"/>
  <c r="B99" i="43"/>
  <c r="B65" i="43"/>
  <c r="F45" i="43"/>
  <c r="E56" i="43"/>
  <c r="D66" i="43"/>
  <c r="D13" i="43"/>
  <c r="F34" i="43"/>
  <c r="G34" i="43"/>
  <c r="C86" i="43"/>
  <c r="G58" i="43"/>
  <c r="D107" i="43"/>
  <c r="D54" i="43"/>
  <c r="B14" i="43"/>
  <c r="F35" i="43"/>
  <c r="F81" i="43"/>
  <c r="B34" i="43"/>
  <c r="D102" i="43"/>
  <c r="B13" i="43"/>
  <c r="B111" i="43"/>
  <c r="D47" i="43"/>
  <c r="F14" i="43"/>
  <c r="D111" i="43"/>
  <c r="D81" i="43"/>
  <c r="F59" i="43"/>
  <c r="F68" i="43"/>
  <c r="E78" i="43"/>
  <c r="G18" i="43"/>
  <c r="C71" i="43"/>
  <c r="D74" i="43"/>
  <c r="E116" i="43"/>
  <c r="E26" i="43"/>
  <c r="C43" i="43"/>
  <c r="D31" i="43"/>
  <c r="B52" i="43"/>
  <c r="D117" i="43"/>
  <c r="F67" i="43"/>
  <c r="C18" i="43"/>
  <c r="C73" i="43"/>
  <c r="E72" i="43"/>
  <c r="B104" i="43"/>
  <c r="C32" i="43"/>
  <c r="C53" i="43"/>
  <c r="B56" i="43"/>
  <c r="B105" i="43"/>
  <c r="E27" i="43"/>
  <c r="G120" i="43"/>
  <c r="B32" i="43"/>
  <c r="G29" i="43"/>
  <c r="G107" i="43"/>
  <c r="E25" i="43"/>
  <c r="D114" i="43"/>
  <c r="D75" i="43"/>
  <c r="F48" i="43"/>
  <c r="F84" i="43"/>
  <c r="C38" i="43"/>
  <c r="C12" i="43"/>
  <c r="B73" i="43"/>
  <c r="D65" i="43"/>
  <c r="G85" i="43"/>
  <c r="E66" i="43"/>
  <c r="D19" i="43"/>
  <c r="G97" i="43"/>
  <c r="B31" i="43"/>
  <c r="E108" i="43"/>
  <c r="D89" i="43"/>
  <c r="E15" i="43"/>
  <c r="D80" i="43"/>
  <c r="E86" i="43"/>
  <c r="E94" i="43"/>
  <c r="F36" i="43"/>
  <c r="G79" i="43"/>
  <c r="F56" i="43"/>
  <c r="E68" i="43"/>
  <c r="C116" i="43"/>
  <c r="D105" i="43"/>
  <c r="F24" i="43"/>
  <c r="F97" i="43"/>
  <c r="E95" i="43"/>
  <c r="G47" i="43"/>
  <c r="G62" i="43"/>
  <c r="D69" i="43"/>
  <c r="F76" i="43"/>
  <c r="D113" i="43"/>
  <c r="G38" i="43"/>
  <c r="C29" i="43"/>
  <c r="C40" i="43"/>
  <c r="C50" i="43"/>
  <c r="F98" i="43"/>
  <c r="G104" i="43"/>
  <c r="G106" i="43"/>
  <c r="B64" i="43"/>
  <c r="E40" i="43"/>
  <c r="F40" i="43"/>
  <c r="F107" i="43"/>
  <c r="E93" i="43"/>
  <c r="E36" i="43"/>
  <c r="B49" i="43"/>
  <c r="C46" i="43"/>
  <c r="D50" i="43"/>
  <c r="F102" i="43"/>
  <c r="G46" i="43"/>
  <c r="G110" i="43"/>
  <c r="B107" i="43"/>
  <c r="D95" i="43"/>
  <c r="B60" i="43"/>
  <c r="D41" i="43"/>
  <c r="E52" i="43"/>
  <c r="D62" i="43"/>
  <c r="E17" i="43"/>
  <c r="D48" i="43"/>
  <c r="G50" i="43"/>
  <c r="B92" i="43"/>
  <c r="F85" i="43"/>
  <c r="D22" i="43"/>
  <c r="G78" i="43"/>
  <c r="B12" i="43"/>
  <c r="G86" i="43"/>
  <c r="B35" i="43"/>
  <c r="C107" i="43"/>
  <c r="D35" i="43"/>
  <c r="G23" i="43"/>
  <c r="F25" i="43"/>
  <c r="F71" i="43"/>
  <c r="E21" i="43"/>
  <c r="F31" i="43"/>
  <c r="B89" i="43"/>
  <c r="B81" i="43"/>
  <c r="G80" i="43"/>
  <c r="F101" i="43"/>
  <c r="G17" i="43"/>
  <c r="E89" i="43"/>
  <c r="F92" i="43"/>
  <c r="D98" i="43"/>
  <c r="G42" i="43"/>
  <c r="B98" i="43"/>
  <c r="B79" i="43"/>
  <c r="E76" i="43"/>
  <c r="F38" i="43"/>
  <c r="C21" i="43"/>
  <c r="G32" i="43"/>
  <c r="F113" i="43"/>
  <c r="C34" i="43"/>
  <c r="B66" i="43"/>
  <c r="B84" i="43"/>
  <c r="F77" i="43"/>
  <c r="F12" i="43"/>
  <c r="F103" i="43"/>
  <c r="G76" i="43"/>
  <c r="D70" i="43"/>
  <c r="C14" i="43"/>
  <c r="B62" i="43"/>
  <c r="B59" i="43"/>
  <c r="C104" i="43"/>
  <c r="D118" i="43"/>
  <c r="G53" i="43"/>
  <c r="E114" i="43"/>
  <c r="F27" i="43"/>
  <c r="E119" i="43"/>
  <c r="D51" i="43"/>
  <c r="D12" i="43"/>
  <c r="B97" i="43"/>
  <c r="C56" i="43"/>
  <c r="D58" i="43"/>
  <c r="F117" i="43"/>
  <c r="G36" i="43"/>
  <c r="B40" i="43"/>
  <c r="F96" i="43"/>
  <c r="B19" i="43"/>
  <c r="C96" i="43"/>
  <c r="B21" i="43"/>
  <c r="C22" i="43"/>
  <c r="G75" i="43"/>
  <c r="E80" i="43"/>
  <c r="C120" i="43"/>
  <c r="E31" i="43"/>
  <c r="E61" i="43"/>
  <c r="E39" i="43"/>
  <c r="C60" i="43"/>
  <c r="E67" i="43"/>
  <c r="F75" i="43"/>
  <c r="C19" i="43"/>
  <c r="B116" i="43"/>
  <c r="F80" i="43"/>
  <c r="E29" i="43"/>
  <c r="E43" i="43"/>
  <c r="C61" i="43"/>
  <c r="E64" i="43"/>
  <c r="G108" i="43"/>
  <c r="F32" i="43"/>
  <c r="C25" i="43"/>
  <c r="B36" i="43"/>
  <c r="G33" i="43"/>
  <c r="D112" i="43"/>
  <c r="B30" i="43"/>
  <c r="D26" i="43"/>
  <c r="C80" i="43"/>
  <c r="F52" i="43"/>
  <c r="E90" i="43"/>
  <c r="D46" i="43"/>
  <c r="G16" i="43"/>
  <c r="D115" i="43"/>
  <c r="D73" i="43"/>
  <c r="C110" i="43"/>
  <c r="G74" i="43"/>
  <c r="D16" i="43"/>
  <c r="B95" i="43"/>
  <c r="B39" i="43"/>
  <c r="D17" i="43"/>
  <c r="E107" i="43"/>
  <c r="C76" i="43"/>
  <c r="G54" i="43"/>
  <c r="F64" i="43"/>
  <c r="E74" i="43"/>
  <c r="E16" i="43"/>
  <c r="F66" i="43"/>
  <c r="C68" i="43"/>
  <c r="B108" i="43"/>
  <c r="D21" i="43"/>
  <c r="F73" i="43"/>
  <c r="D23" i="43"/>
  <c r="B44" i="43"/>
  <c r="D101" i="43"/>
  <c r="E59" i="43"/>
  <c r="F13" i="43"/>
  <c r="E30" i="43"/>
  <c r="C64" i="43"/>
  <c r="F79" i="43"/>
  <c r="C24" i="43"/>
  <c r="B45" i="43"/>
  <c r="A120" i="43"/>
  <c r="A116" i="43"/>
  <c r="A112" i="43"/>
  <c r="A108" i="43"/>
  <c r="A104" i="43"/>
  <c r="A100" i="43"/>
  <c r="A96" i="43"/>
  <c r="A92" i="43"/>
  <c r="A88" i="43"/>
  <c r="A84" i="43"/>
  <c r="A80" i="43"/>
  <c r="A76" i="43"/>
  <c r="A72" i="43"/>
  <c r="A68" i="43"/>
  <c r="A64" i="43"/>
  <c r="A60" i="43"/>
  <c r="A56" i="43"/>
  <c r="A52" i="43"/>
  <c r="A48" i="43"/>
  <c r="A44" i="43"/>
  <c r="A40" i="43"/>
  <c r="A36" i="43"/>
  <c r="A32" i="43"/>
  <c r="A28" i="43"/>
  <c r="A24" i="43"/>
  <c r="A20" i="43"/>
  <c r="A16" i="43"/>
  <c r="A13" i="43"/>
  <c r="A119" i="43"/>
  <c r="A115" i="43"/>
  <c r="A111" i="43"/>
  <c r="A107" i="43"/>
  <c r="A103" i="43"/>
  <c r="A99" i="43"/>
  <c r="A95" i="43"/>
  <c r="A91" i="43"/>
  <c r="A87" i="43"/>
  <c r="A83" i="43"/>
  <c r="A79" i="43"/>
  <c r="A75" i="43"/>
  <c r="A71" i="43"/>
  <c r="A67" i="43"/>
  <c r="A63" i="43"/>
  <c r="A59" i="43"/>
  <c r="A55" i="43"/>
  <c r="A51" i="43"/>
  <c r="A47" i="43"/>
  <c r="A43" i="43"/>
  <c r="A39" i="43"/>
  <c r="A35" i="43"/>
  <c r="A31" i="43"/>
  <c r="A27" i="43"/>
  <c r="A23" i="43"/>
  <c r="A19" i="43"/>
  <c r="A15" i="43"/>
  <c r="A118" i="43"/>
  <c r="A114" i="43"/>
  <c r="A110" i="43"/>
  <c r="A106" i="43"/>
  <c r="A102" i="43"/>
  <c r="A98" i="43"/>
  <c r="A94" i="43"/>
  <c r="A90" i="43"/>
  <c r="A86" i="43"/>
  <c r="A82" i="43"/>
  <c r="A78" i="43"/>
  <c r="A74" i="43"/>
  <c r="A70" i="43"/>
  <c r="A66" i="43"/>
  <c r="A62" i="43"/>
  <c r="A58" i="43"/>
  <c r="A54" i="43"/>
  <c r="A50" i="43"/>
  <c r="A46" i="43"/>
  <c r="A42" i="43"/>
  <c r="A38" i="43"/>
  <c r="A34" i="43"/>
  <c r="A30" i="43"/>
  <c r="A26" i="43"/>
  <c r="A22" i="43"/>
  <c r="A18" i="43"/>
  <c r="A14" i="43"/>
  <c r="A117" i="43"/>
  <c r="A113" i="43"/>
  <c r="A109" i="43"/>
  <c r="A105" i="43"/>
  <c r="A101" i="43"/>
  <c r="A97" i="43"/>
  <c r="A93" i="43"/>
  <c r="A89" i="43"/>
  <c r="A85" i="43"/>
  <c r="A81" i="43"/>
  <c r="A77" i="43"/>
  <c r="A73" i="43"/>
  <c r="A69" i="43"/>
  <c r="A65" i="43"/>
  <c r="A61" i="43"/>
  <c r="A57" i="43"/>
  <c r="A53" i="43"/>
  <c r="A49" i="43"/>
  <c r="A45" i="43"/>
  <c r="A41" i="43"/>
  <c r="A37" i="43"/>
  <c r="A33" i="43"/>
  <c r="A29" i="43"/>
  <c r="A25" i="43"/>
  <c r="A21" i="43"/>
  <c r="A17" i="43"/>
  <c r="A26" i="56"/>
  <c r="J36" i="14" l="1"/>
  <c r="I36" i="14"/>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D67" i="44"/>
  <c r="D68" i="44" s="1"/>
  <c r="E117" i="42"/>
  <c r="H102" i="42"/>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A125" i="43"/>
  <c r="Z11" i="50"/>
  <c r="Z243" i="50" s="1"/>
  <c r="AF11" i="50"/>
  <c r="AF243" i="50" s="1"/>
  <c r="AH11" i="50"/>
  <c r="AH243" i="50" s="1"/>
  <c r="AD11" i="50"/>
  <c r="AD243" i="50" s="1"/>
  <c r="AJ11" i="50"/>
  <c r="AJ243" i="50" s="1"/>
  <c r="AR11" i="50"/>
  <c r="AR243" i="50" s="1"/>
  <c r="AN11" i="50"/>
  <c r="N11" i="50"/>
  <c r="N243" i="50" s="1"/>
  <c r="AV11" i="50"/>
  <c r="AV243" i="50" s="1"/>
  <c r="AZ11" i="50"/>
  <c r="R11" i="50"/>
  <c r="R243" i="50" s="1"/>
  <c r="P11" i="50"/>
  <c r="P243" i="50" s="1"/>
  <c r="AL11" i="50"/>
  <c r="AL243" i="50" s="1"/>
  <c r="AB11" i="50"/>
  <c r="AB243" i="50" s="1"/>
  <c r="X11" i="50"/>
  <c r="X243" i="50" s="1"/>
  <c r="L11" i="50"/>
  <c r="L243" i="50" s="1"/>
  <c r="AT11" i="50"/>
  <c r="AP11" i="50"/>
  <c r="AP243" i="50" s="1"/>
  <c r="J11" i="50"/>
  <c r="J243" i="50" s="1"/>
  <c r="T11" i="50"/>
  <c r="V11" i="50"/>
  <c r="V243" i="50" s="1"/>
  <c r="AX11" i="50"/>
  <c r="AX243" i="50" s="1"/>
  <c r="Y11" i="48"/>
  <c r="Y74" i="48" s="1"/>
  <c r="AK11" i="48"/>
  <c r="AK74" i="48" s="1"/>
  <c r="K11" i="48"/>
  <c r="K74" i="48" s="1"/>
  <c r="AM11" i="48"/>
  <c r="AM74" i="48" s="1"/>
  <c r="W11" i="48"/>
  <c r="W74" i="48" s="1"/>
  <c r="AA11" i="48"/>
  <c r="AA74" i="48" s="1"/>
  <c r="Q11" i="48"/>
  <c r="Q74" i="48" s="1"/>
  <c r="AS11" i="48"/>
  <c r="AO11" i="48"/>
  <c r="AO74" i="48" s="1"/>
  <c r="AG11" i="48"/>
  <c r="AG74" i="48" s="1"/>
  <c r="S11" i="48"/>
  <c r="S74" i="48" s="1"/>
  <c r="AY11" i="48"/>
  <c r="AY74" i="48" s="1"/>
  <c r="AI11" i="48"/>
  <c r="AI74" i="48" s="1"/>
  <c r="M11" i="48"/>
  <c r="M74" i="48" s="1"/>
  <c r="AE11" i="48"/>
  <c r="AE74" i="48" s="1"/>
  <c r="O11" i="48"/>
  <c r="O74" i="48" s="1"/>
  <c r="AC11" i="48"/>
  <c r="AC74" i="48" s="1"/>
  <c r="U11" i="48"/>
  <c r="U74" i="48" s="1"/>
  <c r="AW11" i="48"/>
  <c r="AQ11" i="48"/>
  <c r="AU11" i="48"/>
  <c r="AU74" i="48" s="1"/>
  <c r="BA11" i="48"/>
  <c r="A148" i="49" a="1"/>
  <c r="A148" i="49" s="1"/>
  <c r="I148" i="49" s="1"/>
  <c r="A151" i="49" a="1"/>
  <c r="A151" i="49" s="1"/>
  <c r="I151" i="49" s="1"/>
  <c r="A153" i="49" a="1"/>
  <c r="A153" i="49" s="1"/>
  <c r="I153" i="49" s="1"/>
  <c r="A150" i="49" a="1"/>
  <c r="A150" i="49" s="1"/>
  <c r="I150" i="49" s="1"/>
  <c r="A11" i="49" a="1"/>
  <c r="A11" i="49" s="1"/>
  <c r="I11" i="49" s="1"/>
  <c r="A152" i="49" a="1"/>
  <c r="A152" i="49" s="1"/>
  <c r="I152" i="49" s="1"/>
  <c r="A149" i="49" a="1"/>
  <c r="A149" i="49" s="1"/>
  <c r="I149" i="49" s="1"/>
  <c r="G122" i="43"/>
  <c r="AO11" i="50"/>
  <c r="AO243" i="50" s="1"/>
  <c r="AM11" i="50"/>
  <c r="AM243" i="50" s="1"/>
  <c r="AU11" i="50"/>
  <c r="AU243" i="50" s="1"/>
  <c r="W11" i="50"/>
  <c r="W243" i="50" s="1"/>
  <c r="AW11" i="50"/>
  <c r="AQ11" i="50"/>
  <c r="AG11" i="50"/>
  <c r="AG243" i="50" s="1"/>
  <c r="Q11" i="50"/>
  <c r="Q243" i="50" s="1"/>
  <c r="O11" i="50"/>
  <c r="O243" i="50" s="1"/>
  <c r="M11" i="50"/>
  <c r="M243" i="50" s="1"/>
  <c r="AE11" i="50"/>
  <c r="AE243" i="50" s="1"/>
  <c r="U11" i="50"/>
  <c r="U243" i="50" s="1"/>
  <c r="BA11" i="50"/>
  <c r="AS11" i="50"/>
  <c r="AC11" i="50"/>
  <c r="AC243" i="50" s="1"/>
  <c r="Y11" i="50"/>
  <c r="Y243" i="50" s="1"/>
  <c r="AI11" i="50"/>
  <c r="AI243" i="50" s="1"/>
  <c r="K11" i="50"/>
  <c r="K243" i="50" s="1"/>
  <c r="AA11" i="50"/>
  <c r="AA243" i="50" s="1"/>
  <c r="S11" i="50"/>
  <c r="S243" i="50" s="1"/>
  <c r="AY11" i="50"/>
  <c r="AY243" i="50" s="1"/>
  <c r="AK11" i="50"/>
  <c r="AK243" i="50" s="1"/>
  <c r="V11" i="49"/>
  <c r="V155" i="49" s="1"/>
  <c r="AR11" i="49"/>
  <c r="AR155" i="49" s="1"/>
  <c r="AH11" i="49"/>
  <c r="AH155" i="49" s="1"/>
  <c r="AL11" i="49"/>
  <c r="AL155" i="49" s="1"/>
  <c r="AJ11" i="49"/>
  <c r="AJ155" i="49" s="1"/>
  <c r="X11" i="49"/>
  <c r="X155" i="49" s="1"/>
  <c r="P11" i="49"/>
  <c r="P155" i="49" s="1"/>
  <c r="Z11" i="49"/>
  <c r="Z155" i="49" s="1"/>
  <c r="AF11" i="49"/>
  <c r="AF155" i="49" s="1"/>
  <c r="J11" i="49"/>
  <c r="J155" i="49" s="1"/>
  <c r="L11" i="49"/>
  <c r="L155" i="49" s="1"/>
  <c r="AD11" i="49"/>
  <c r="AD155" i="49" s="1"/>
  <c r="AB11" i="49"/>
  <c r="AB155" i="49" s="1"/>
  <c r="R11" i="49"/>
  <c r="R155" i="49" s="1"/>
  <c r="AP11" i="49"/>
  <c r="AP155" i="49" s="1"/>
  <c r="AT11" i="49"/>
  <c r="T11" i="49"/>
  <c r="N11" i="49"/>
  <c r="N155" i="49" s="1"/>
  <c r="AV11" i="49"/>
  <c r="AV155" i="49" s="1"/>
  <c r="AX11" i="49"/>
  <c r="AX155" i="49" s="1"/>
  <c r="AZ11" i="49"/>
  <c r="AN11" i="49"/>
  <c r="A11" i="48" a="1"/>
  <c r="A11" i="48" s="1"/>
  <c r="I11" i="48" s="1"/>
  <c r="A67" i="48" a="1"/>
  <c r="A67" i="48" s="1"/>
  <c r="I67" i="48" s="1"/>
  <c r="A69" i="48" a="1"/>
  <c r="A69" i="48" s="1"/>
  <c r="I69" i="48" s="1"/>
  <c r="A66" i="48" a="1"/>
  <c r="A66" i="48" s="1"/>
  <c r="I66" i="48" s="1"/>
  <c r="A71" i="48" a="1"/>
  <c r="A71" i="48" s="1"/>
  <c r="I71" i="48" s="1"/>
  <c r="A68" i="48" a="1"/>
  <c r="A68" i="48" s="1"/>
  <c r="I68" i="48" s="1"/>
  <c r="A70" i="48" a="1"/>
  <c r="A70" i="48" s="1"/>
  <c r="I70" i="48" s="1"/>
  <c r="A72" i="48" a="1"/>
  <c r="A72" i="48" s="1"/>
  <c r="I72" i="48" s="1"/>
  <c r="G102" i="42"/>
  <c r="AF11" i="48"/>
  <c r="AF74" i="48" s="1"/>
  <c r="AD11" i="48"/>
  <c r="AD74" i="48" s="1"/>
  <c r="J11" i="48"/>
  <c r="J74" i="48" s="1"/>
  <c r="R11" i="48"/>
  <c r="R74" i="48" s="1"/>
  <c r="N11" i="48"/>
  <c r="N74" i="48" s="1"/>
  <c r="P11" i="48"/>
  <c r="P74" i="48" s="1"/>
  <c r="AJ11" i="48"/>
  <c r="AJ74" i="48" s="1"/>
  <c r="AB11" i="48"/>
  <c r="AB74" i="48" s="1"/>
  <c r="AL11" i="48"/>
  <c r="AL74" i="48" s="1"/>
  <c r="AX11" i="48"/>
  <c r="AX74" i="48" s="1"/>
  <c r="AZ11" i="48"/>
  <c r="V11" i="48"/>
  <c r="V74" i="48" s="1"/>
  <c r="AP11" i="48"/>
  <c r="AP74" i="48" s="1"/>
  <c r="AT11" i="48"/>
  <c r="AH11" i="48"/>
  <c r="AH74" i="48" s="1"/>
  <c r="AV11" i="48"/>
  <c r="AV74" i="48" s="1"/>
  <c r="AR11" i="48"/>
  <c r="AR74" i="48" s="1"/>
  <c r="T11" i="48"/>
  <c r="Z11" i="48"/>
  <c r="Z74" i="48" s="1"/>
  <c r="L11" i="48"/>
  <c r="L74" i="48" s="1"/>
  <c r="X11" i="48"/>
  <c r="X74" i="48" s="1"/>
  <c r="AN11" i="48"/>
  <c r="AP11" i="51"/>
  <c r="AP356" i="51" s="1"/>
  <c r="AV11" i="51"/>
  <c r="AV356" i="51" s="1"/>
  <c r="AL11" i="51"/>
  <c r="AL356" i="51" s="1"/>
  <c r="AD11" i="51"/>
  <c r="AD356" i="51" s="1"/>
  <c r="X11" i="51"/>
  <c r="X356" i="51" s="1"/>
  <c r="AH11" i="51"/>
  <c r="AH356" i="51" s="1"/>
  <c r="AZ11" i="51"/>
  <c r="Z11" i="51"/>
  <c r="Z356" i="51" s="1"/>
  <c r="AF11" i="51"/>
  <c r="AF356" i="51" s="1"/>
  <c r="AB11" i="51"/>
  <c r="AB356" i="51" s="1"/>
  <c r="P11" i="51"/>
  <c r="P356" i="51" s="1"/>
  <c r="AJ11" i="51"/>
  <c r="AJ356" i="51" s="1"/>
  <c r="AX11" i="51"/>
  <c r="AX356" i="51" s="1"/>
  <c r="R11" i="51"/>
  <c r="R356" i="51" s="1"/>
  <c r="AN11" i="51"/>
  <c r="V11" i="51"/>
  <c r="V356" i="51" s="1"/>
  <c r="AT11" i="51"/>
  <c r="J11" i="51"/>
  <c r="J356" i="51" s="1"/>
  <c r="T11" i="51"/>
  <c r="AR11" i="51"/>
  <c r="AR356" i="51" s="1"/>
  <c r="L11" i="51"/>
  <c r="L356" i="51" s="1"/>
  <c r="N11" i="51"/>
  <c r="N356" i="51" s="1"/>
  <c r="A352" i="51" a="1"/>
  <c r="A352" i="51" s="1"/>
  <c r="I352" i="51" s="1"/>
  <c r="A354" i="51" a="1"/>
  <c r="A354" i="51" s="1"/>
  <c r="I354" i="51" s="1"/>
  <c r="A353" i="51" a="1"/>
  <c r="A353" i="51" s="1"/>
  <c r="I353" i="51" s="1"/>
  <c r="A350" i="51" a="1"/>
  <c r="A350" i="51" s="1"/>
  <c r="I350" i="51" s="1"/>
  <c r="A351" i="51" a="1"/>
  <c r="A351" i="51" s="1"/>
  <c r="I351" i="51" s="1"/>
  <c r="A349" i="51" a="1"/>
  <c r="A349" i="51" s="1"/>
  <c r="I349" i="51" s="1"/>
  <c r="A11" i="51" a="1"/>
  <c r="A11" i="51" s="1"/>
  <c r="I11" i="51" s="1"/>
  <c r="F122" i="43"/>
  <c r="AC11" i="51"/>
  <c r="AC356" i="51" s="1"/>
  <c r="K11" i="51"/>
  <c r="K356" i="51" s="1"/>
  <c r="Q11" i="51"/>
  <c r="Q356" i="51" s="1"/>
  <c r="AA11" i="51"/>
  <c r="AA356" i="51" s="1"/>
  <c r="AM11" i="51"/>
  <c r="AM356" i="51" s="1"/>
  <c r="O11" i="51"/>
  <c r="O356" i="51" s="1"/>
  <c r="AO11" i="51"/>
  <c r="AO356" i="51" s="1"/>
  <c r="AG11" i="51"/>
  <c r="AG356" i="51" s="1"/>
  <c r="M11" i="51"/>
  <c r="M356" i="51" s="1"/>
  <c r="AQ11" i="51"/>
  <c r="AS11" i="51"/>
  <c r="BA11" i="51"/>
  <c r="AI11" i="51"/>
  <c r="AI356" i="51" s="1"/>
  <c r="AK11" i="51"/>
  <c r="AK356" i="51" s="1"/>
  <c r="Y11" i="51"/>
  <c r="Y356" i="51" s="1"/>
  <c r="S11" i="51"/>
  <c r="S356" i="51" s="1"/>
  <c r="W11" i="51"/>
  <c r="W356" i="51" s="1"/>
  <c r="AY11" i="51"/>
  <c r="AY356" i="51" s="1"/>
  <c r="U11" i="51"/>
  <c r="U356" i="51" s="1"/>
  <c r="AU11" i="51"/>
  <c r="AU356" i="51" s="1"/>
  <c r="AW11" i="51"/>
  <c r="AE11" i="51"/>
  <c r="AE356" i="51" s="1"/>
  <c r="AG11" i="49"/>
  <c r="AG155" i="49" s="1"/>
  <c r="AK11" i="49"/>
  <c r="AK155" i="49" s="1"/>
  <c r="AY11" i="49"/>
  <c r="AY155" i="49" s="1"/>
  <c r="M11" i="49"/>
  <c r="M155" i="49" s="1"/>
  <c r="W11" i="49"/>
  <c r="W155" i="49" s="1"/>
  <c r="AC11" i="49"/>
  <c r="AC155" i="49" s="1"/>
  <c r="K11" i="49"/>
  <c r="K155" i="49" s="1"/>
  <c r="Q11" i="49"/>
  <c r="Q155" i="49" s="1"/>
  <c r="AU11" i="49"/>
  <c r="AU155" i="49" s="1"/>
  <c r="AE11" i="49"/>
  <c r="AE155" i="49" s="1"/>
  <c r="U11" i="49"/>
  <c r="U155" i="49" s="1"/>
  <c r="AM11" i="49"/>
  <c r="AM155" i="49" s="1"/>
  <c r="AI11" i="49"/>
  <c r="AI155" i="49" s="1"/>
  <c r="AA11" i="49"/>
  <c r="AA155" i="49" s="1"/>
  <c r="Y11" i="49"/>
  <c r="Y155" i="49" s="1"/>
  <c r="BA11" i="49"/>
  <c r="AQ11" i="49"/>
  <c r="AO11" i="49"/>
  <c r="AO155" i="49" s="1"/>
  <c r="S11" i="49"/>
  <c r="S155" i="49" s="1"/>
  <c r="O11" i="49"/>
  <c r="O155" i="49" s="1"/>
  <c r="AW11" i="49"/>
  <c r="AS11" i="49"/>
  <c r="A239" i="50" a="1"/>
  <c r="A239" i="50" s="1"/>
  <c r="I239" i="50" s="1"/>
  <c r="A237" i="50" a="1"/>
  <c r="A237" i="50" s="1"/>
  <c r="I237" i="50" s="1"/>
  <c r="A241" i="50" a="1"/>
  <c r="A241" i="50" s="1"/>
  <c r="I241" i="50" s="1"/>
  <c r="A240" i="50" a="1"/>
  <c r="A240" i="50" s="1"/>
  <c r="I240" i="50" s="1"/>
  <c r="A11" i="50" a="1"/>
  <c r="A11" i="50" s="1"/>
  <c r="I11" i="50" s="1"/>
  <c r="A238" i="50" a="1"/>
  <c r="A238" i="50" s="1"/>
  <c r="I238" i="50" s="1"/>
  <c r="A236" i="50" a="1"/>
  <c r="A236" i="50" s="1"/>
  <c r="I236" i="50" s="1"/>
  <c r="I37" i="14" l="1"/>
  <c r="J37" i="14"/>
  <c r="J38" i="14" s="1"/>
  <c r="I103" i="42"/>
  <c r="H122" i="43"/>
  <c r="H123" i="43" s="1"/>
  <c r="F349" i="51"/>
  <c r="Z76" i="48"/>
  <c r="Z157" i="49" s="1"/>
  <c r="Z245" i="50" s="1"/>
  <c r="Z358" i="51" s="1"/>
  <c r="Z75" i="48"/>
  <c r="Z10" i="49" s="1"/>
  <c r="AH76" i="48"/>
  <c r="AH157" i="49" s="1"/>
  <c r="AH245" i="50" s="1"/>
  <c r="AH358" i="51" s="1"/>
  <c r="AH75" i="48"/>
  <c r="AH10" i="49" s="1"/>
  <c r="AJ75" i="48"/>
  <c r="AJ10" i="49" s="1"/>
  <c r="AJ76" i="48"/>
  <c r="AJ157" i="49" s="1"/>
  <c r="AJ245" i="50" s="1"/>
  <c r="AJ358" i="51" s="1"/>
  <c r="J75" i="48"/>
  <c r="J10" i="49" s="1"/>
  <c r="J76" i="48"/>
  <c r="J157" i="49" s="1"/>
  <c r="J245" i="50" s="1"/>
  <c r="J358" i="51" s="1"/>
  <c r="F149" i="49"/>
  <c r="O76" i="48"/>
  <c r="O157" i="49" s="1"/>
  <c r="O245" i="50" s="1"/>
  <c r="O358" i="51" s="1"/>
  <c r="O75" i="48"/>
  <c r="O10" i="49" s="1"/>
  <c r="AY75" i="48"/>
  <c r="AY10" i="49" s="1"/>
  <c r="AY76" i="48"/>
  <c r="AY157" i="49" s="1"/>
  <c r="AY245" i="50" s="1"/>
  <c r="AY358" i="51" s="1"/>
  <c r="AM75" i="48"/>
  <c r="AM10" i="49" s="1"/>
  <c r="AM76" i="48"/>
  <c r="AM157" i="49" s="1"/>
  <c r="AM245" i="50" s="1"/>
  <c r="AM358" i="51" s="1"/>
  <c r="F236" i="50"/>
  <c r="F237" i="50"/>
  <c r="F151" i="49"/>
  <c r="F353" i="51"/>
  <c r="F350" i="51"/>
  <c r="AX76" i="48"/>
  <c r="AX157" i="49" s="1"/>
  <c r="AX245" i="50" s="1"/>
  <c r="AX358" i="51" s="1"/>
  <c r="AX75" i="48"/>
  <c r="AX10" i="49" s="1"/>
  <c r="P76" i="48"/>
  <c r="P157" i="49" s="1"/>
  <c r="P245" i="50" s="1"/>
  <c r="P358" i="51" s="1"/>
  <c r="P75" i="48"/>
  <c r="P10" i="49" s="1"/>
  <c r="AD76" i="48"/>
  <c r="AD157" i="49" s="1"/>
  <c r="AD245" i="50" s="1"/>
  <c r="AD358" i="51" s="1"/>
  <c r="AD75" i="48"/>
  <c r="AD10" i="49" s="1"/>
  <c r="F240" i="50"/>
  <c r="AE75" i="48"/>
  <c r="AE10" i="49" s="1"/>
  <c r="AE76" i="48"/>
  <c r="AE157" i="49" s="1"/>
  <c r="AE245" i="50" s="1"/>
  <c r="AE358" i="51" s="1"/>
  <c r="S76" i="48"/>
  <c r="S157" i="49" s="1"/>
  <c r="S245" i="50" s="1"/>
  <c r="S358" i="51" s="1"/>
  <c r="S75" i="48"/>
  <c r="S10" i="49" s="1"/>
  <c r="Q76" i="48"/>
  <c r="Q157" i="49" s="1"/>
  <c r="Q245" i="50" s="1"/>
  <c r="Q358" i="51" s="1"/>
  <c r="Q75" i="48"/>
  <c r="Q10" i="49" s="1"/>
  <c r="K76" i="48"/>
  <c r="K157" i="49" s="1"/>
  <c r="K245" i="50" s="1"/>
  <c r="K358" i="51" s="1"/>
  <c r="K75" i="48"/>
  <c r="K10" i="49" s="1"/>
  <c r="K156" i="49" s="1"/>
  <c r="K10" i="50" s="1"/>
  <c r="F241" i="50"/>
  <c r="F152" i="49"/>
  <c r="F352" i="51"/>
  <c r="X76" i="48"/>
  <c r="X157" i="49" s="1"/>
  <c r="X245" i="50" s="1"/>
  <c r="X358" i="51" s="1"/>
  <c r="X75" i="48"/>
  <c r="X10" i="49" s="1"/>
  <c r="AR76" i="48"/>
  <c r="AR157" i="49" s="1"/>
  <c r="AR245" i="50" s="1"/>
  <c r="AR358" i="51" s="1"/>
  <c r="F68" i="48"/>
  <c r="AP76" i="48"/>
  <c r="AP157" i="49" s="1"/>
  <c r="AP245" i="50" s="1"/>
  <c r="AP358" i="51" s="1"/>
  <c r="F67" i="48"/>
  <c r="AL76" i="48"/>
  <c r="AL157" i="49" s="1"/>
  <c r="AL245" i="50" s="1"/>
  <c r="AL358" i="51" s="1"/>
  <c r="AL75" i="48"/>
  <c r="AL10" i="49" s="1"/>
  <c r="N76" i="48"/>
  <c r="N157" i="49" s="1"/>
  <c r="N245" i="50" s="1"/>
  <c r="N358" i="51" s="1"/>
  <c r="N75" i="48"/>
  <c r="N10" i="49" s="1"/>
  <c r="AF76" i="48"/>
  <c r="AF157" i="49" s="1"/>
  <c r="AF245" i="50" s="1"/>
  <c r="AF358" i="51" s="1"/>
  <c r="AF75" i="48"/>
  <c r="AF10" i="49" s="1"/>
  <c r="U76" i="48"/>
  <c r="U157" i="49" s="1"/>
  <c r="U245" i="50" s="1"/>
  <c r="U358" i="51" s="1"/>
  <c r="M76" i="48"/>
  <c r="M157" i="49" s="1"/>
  <c r="M245" i="50" s="1"/>
  <c r="M358" i="51" s="1"/>
  <c r="M75" i="48"/>
  <c r="M10" i="49" s="1"/>
  <c r="AG76" i="48"/>
  <c r="AG157" i="49" s="1"/>
  <c r="AG245" i="50" s="1"/>
  <c r="AG358" i="51" s="1"/>
  <c r="AG75" i="48"/>
  <c r="AG10" i="49" s="1"/>
  <c r="AA76" i="48"/>
  <c r="AA157" i="49" s="1"/>
  <c r="AA245" i="50" s="1"/>
  <c r="AA358" i="51" s="1"/>
  <c r="AA75" i="48"/>
  <c r="AA10" i="49" s="1"/>
  <c r="AK76" i="48"/>
  <c r="AK157" i="49" s="1"/>
  <c r="AK245" i="50" s="1"/>
  <c r="AK358" i="51" s="1"/>
  <c r="AK75" i="48"/>
  <c r="AK10" i="49" s="1"/>
  <c r="F354" i="51"/>
  <c r="L76" i="48"/>
  <c r="L157" i="49" s="1"/>
  <c r="L245" i="50" s="1"/>
  <c r="L358" i="51" s="1"/>
  <c r="L75" i="48"/>
  <c r="L10" i="49" s="1"/>
  <c r="AV76" i="48"/>
  <c r="F72" i="48"/>
  <c r="V76" i="48"/>
  <c r="V157" i="49" s="1"/>
  <c r="V245" i="50" s="1"/>
  <c r="V358" i="51" s="1"/>
  <c r="V75" i="48"/>
  <c r="V10" i="49" s="1"/>
  <c r="AB76" i="48"/>
  <c r="AB157" i="49" s="1"/>
  <c r="AB245" i="50" s="1"/>
  <c r="AB358" i="51" s="1"/>
  <c r="AB75" i="48"/>
  <c r="AB10" i="49" s="1"/>
  <c r="R76" i="48"/>
  <c r="R157" i="49" s="1"/>
  <c r="R245" i="50" s="1"/>
  <c r="R358" i="51" s="1"/>
  <c r="R75" i="48"/>
  <c r="R10" i="49" s="1"/>
  <c r="AV157" i="49"/>
  <c r="AV245" i="50" s="1"/>
  <c r="AV358" i="51" s="1"/>
  <c r="F153" i="49"/>
  <c r="F148" i="49"/>
  <c r="F239" i="50"/>
  <c r="AU76" i="48"/>
  <c r="AU157" i="49" s="1"/>
  <c r="AU245" i="50" s="1"/>
  <c r="AU358" i="51" s="1"/>
  <c r="F71" i="48"/>
  <c r="AC76" i="48"/>
  <c r="AC157" i="49" s="1"/>
  <c r="AC245" i="50" s="1"/>
  <c r="AC358" i="51" s="1"/>
  <c r="AC75" i="48"/>
  <c r="AC10" i="49" s="1"/>
  <c r="AI76" i="48"/>
  <c r="AI157" i="49" s="1"/>
  <c r="AI245" i="50" s="1"/>
  <c r="AI358" i="51" s="1"/>
  <c r="AI75" i="48"/>
  <c r="AI10" i="49" s="1"/>
  <c r="AO76" i="48"/>
  <c r="AO157" i="49" s="1"/>
  <c r="AO245" i="50" s="1"/>
  <c r="AO358" i="51" s="1"/>
  <c r="F70" i="48"/>
  <c r="W75" i="48"/>
  <c r="W10" i="49" s="1"/>
  <c r="W76" i="48"/>
  <c r="W157" i="49" s="1"/>
  <c r="W245" i="50" s="1"/>
  <c r="W358" i="51" s="1"/>
  <c r="Y76" i="48"/>
  <c r="Y157" i="49" s="1"/>
  <c r="Y245" i="50" s="1"/>
  <c r="Y358" i="51" s="1"/>
  <c r="Y75" i="48"/>
  <c r="Y10" i="49" s="1"/>
  <c r="W156" i="49" l="1"/>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i="50"/>
  <c r="AN239" i="50"/>
  <c r="AN243" i="50" s="1"/>
  <c r="AW72" i="48"/>
  <c r="AW74" i="48" s="1"/>
  <c r="AZ72" i="48"/>
  <c r="AW354" i="51"/>
  <c r="AW356" i="51" s="1"/>
  <c r="AZ354" i="51"/>
  <c r="AQ67" i="48"/>
  <c r="AQ74" i="48" s="1"/>
  <c r="T67" i="48"/>
  <c r="T74" i="48" s="1"/>
  <c r="S156" i="49"/>
  <c r="S10" i="50" s="1"/>
  <c r="AJ156" i="49"/>
  <c r="AJ10" i="50" s="1"/>
  <c r="Z156" i="49"/>
  <c r="Z10" i="50" s="1"/>
  <c r="AW153" i="49"/>
  <c r="AW155" i="49" s="1"/>
  <c r="AZ153" i="49"/>
  <c r="BA71" i="48"/>
  <c r="AT71" i="48"/>
  <c r="AT74" i="48" s="1"/>
  <c r="AQ148" i="49"/>
  <c r="AQ155" i="49" s="1"/>
  <c r="T148" i="49"/>
  <c r="T155" i="49" s="1"/>
  <c r="V156" i="49"/>
  <c r="V10" i="50" s="1"/>
  <c r="V244" i="50" s="1"/>
  <c r="V10" i="51" s="1"/>
  <c r="M156" i="49"/>
  <c r="M10" i="50" s="1"/>
  <c r="AF156" i="49"/>
  <c r="AF10" i="50" s="1"/>
  <c r="X156" i="49"/>
  <c r="X10" i="50" s="1"/>
  <c r="AN352" i="51"/>
  <c r="AN356" i="51" s="1"/>
  <c r="BA352" i="51"/>
  <c r="AT152" i="49"/>
  <c r="AT155" i="49" s="1"/>
  <c r="BA152" i="49"/>
  <c r="AD156" i="49"/>
  <c r="AD10" i="50" s="1"/>
  <c r="BA353" i="51"/>
  <c r="AT353" i="51"/>
  <c r="AT356" i="51" s="1"/>
  <c r="AY156" i="49"/>
  <c r="AY10" i="50" s="1"/>
  <c r="AY244" i="50" s="1"/>
  <c r="AY10" i="51" s="1"/>
  <c r="AN70" i="48"/>
  <c r="AN74" i="48" s="1"/>
  <c r="BA70" i="48"/>
  <c r="AC156" i="49"/>
  <c r="AC10" i="50" s="1"/>
  <c r="AC244" i="50" s="1"/>
  <c r="AC10" i="51" s="1"/>
  <c r="AS68" i="48"/>
  <c r="AS74" i="48" s="1"/>
  <c r="AZ68" i="48"/>
  <c r="BA240" i="50"/>
  <c r="AT240" i="50"/>
  <c r="AT243" i="50" s="1"/>
  <c r="AS350" i="51"/>
  <c r="AS356" i="51" s="1"/>
  <c r="AZ350" i="51"/>
  <c r="BA151" i="49"/>
  <c r="AN151" i="49"/>
  <c r="AN155" i="49" s="1"/>
  <c r="T236" i="50"/>
  <c r="T243" i="50" s="1"/>
  <c r="AQ236" i="50"/>
  <c r="AQ243" i="50" s="1"/>
  <c r="AM156" i="49"/>
  <c r="AM10" i="50" s="1"/>
  <c r="O156" i="49"/>
  <c r="O10" i="50" s="1"/>
  <c r="O244" i="50" s="1"/>
  <c r="O10" i="51" s="1"/>
  <c r="AZ149" i="49"/>
  <c r="AZ155" i="49" s="1"/>
  <c r="AS149" i="49"/>
  <c r="AS155" i="49" s="1"/>
  <c r="J156" i="49"/>
  <c r="J10" i="50" s="1"/>
  <c r="J244" i="50" s="1"/>
  <c r="J10" i="51" s="1"/>
  <c r="AH156" i="49"/>
  <c r="AH10" i="50" s="1"/>
  <c r="AH244" i="50" s="1"/>
  <c r="AH10" i="51" s="1"/>
  <c r="AZ241" i="50"/>
  <c r="AW241" i="50"/>
  <c r="AW243" i="50" s="1"/>
  <c r="P156" i="49"/>
  <c r="P10" i="50" s="1"/>
  <c r="AS237" i="50"/>
  <c r="AS243" i="50" s="1"/>
  <c r="AZ237" i="50"/>
  <c r="T349" i="51"/>
  <c r="T356" i="51" s="1"/>
  <c r="AQ349" i="51"/>
  <c r="AQ356" i="51" s="1"/>
  <c r="S244" i="50" l="1"/>
  <c r="S10" i="51" s="1"/>
  <c r="AK244" i="50"/>
  <c r="AK10" i="51" s="1"/>
  <c r="P244" i="50"/>
  <c r="P10" i="51" s="1"/>
  <c r="M244" i="50"/>
  <c r="M10" i="51" s="1"/>
  <c r="AJ244" i="50"/>
  <c r="AJ10" i="51" s="1"/>
  <c r="X244" i="50"/>
  <c r="X10" i="51" s="1"/>
  <c r="AZ74" i="48"/>
  <c r="AZ76" i="48" s="1"/>
  <c r="AZ157" i="49" s="1"/>
  <c r="L244" i="50"/>
  <c r="L10" i="51" s="1"/>
  <c r="AF244" i="50"/>
  <c r="AF10" i="51" s="1"/>
  <c r="AM244" i="50"/>
  <c r="AM10" i="51" s="1"/>
  <c r="Z244" i="50"/>
  <c r="Z10" i="51" s="1"/>
  <c r="AE244" i="50"/>
  <c r="AE10" i="51" s="1"/>
  <c r="R244" i="50"/>
  <c r="R10" i="51" s="1"/>
  <c r="R357" i="51" s="1"/>
  <c r="AB244" i="50"/>
  <c r="AB10" i="51" s="1"/>
  <c r="AB357" i="51" s="1"/>
  <c r="AX244" i="50"/>
  <c r="AX10" i="51" s="1"/>
  <c r="AX357" i="51" s="1"/>
  <c r="AZ243" i="50"/>
  <c r="BA155" i="49"/>
  <c r="AD244" i="50"/>
  <c r="AD10" i="51" s="1"/>
  <c r="AA244" i="50"/>
  <c r="AA10" i="51" s="1"/>
  <c r="AA357" i="51" s="1"/>
  <c r="BA356" i="51"/>
  <c r="AG244" i="50"/>
  <c r="AG10" i="51" s="1"/>
  <c r="AG357" i="51" s="1"/>
  <c r="AZ356" i="51"/>
  <c r="BA74" i="48"/>
  <c r="BA75" i="48" s="1"/>
  <c r="BA10" i="49" s="1"/>
  <c r="N244" i="50"/>
  <c r="N10" i="51" s="1"/>
  <c r="N357" i="51" s="1"/>
  <c r="W244" i="50"/>
  <c r="W10" i="51" s="1"/>
  <c r="W357" i="51" s="1"/>
  <c r="AQ75" i="48"/>
  <c r="AQ10" i="49" s="1"/>
  <c r="AQ76" i="48"/>
  <c r="AQ157" i="49" s="1"/>
  <c r="AQ245" i="50" s="1"/>
  <c r="AQ358" i="51" s="1"/>
  <c r="AP75" i="48"/>
  <c r="AP10" i="49" s="1"/>
  <c r="AW75" i="48"/>
  <c r="AW10" i="49" s="1"/>
  <c r="AW76" i="48"/>
  <c r="AW157" i="49" s="1"/>
  <c r="AW245" i="50" s="1"/>
  <c r="AW358" i="51" s="1"/>
  <c r="AV75" i="48"/>
  <c r="AV10" i="49" s="1"/>
  <c r="AS76" i="48"/>
  <c r="AS157" i="49" s="1"/>
  <c r="AS245" i="50" s="1"/>
  <c r="AS358" i="51" s="1"/>
  <c r="AS75" i="48"/>
  <c r="AS10" i="49" s="1"/>
  <c r="AR75" i="48"/>
  <c r="AR10" i="49" s="1"/>
  <c r="AN76" i="48"/>
  <c r="AN157" i="49" s="1"/>
  <c r="AN245" i="50" s="1"/>
  <c r="AN358" i="51" s="1"/>
  <c r="AN75" i="48"/>
  <c r="AN10" i="49" s="1"/>
  <c r="AO75" i="48"/>
  <c r="AO10" i="49" s="1"/>
  <c r="AL244" i="50"/>
  <c r="AL10" i="51" s="1"/>
  <c r="AT76" i="48"/>
  <c r="AT157" i="49" s="1"/>
  <c r="AT245" i="50" s="1"/>
  <c r="AT358" i="51" s="1"/>
  <c r="AT75" i="48"/>
  <c r="AT10" i="49" s="1"/>
  <c r="AU75" i="48"/>
  <c r="AU10" i="49" s="1"/>
  <c r="K244" i="50"/>
  <c r="K10" i="51" s="1"/>
  <c r="K357" i="51" s="1"/>
  <c r="BA243" i="50"/>
  <c r="Q244" i="50"/>
  <c r="Q10" i="51" s="1"/>
  <c r="Q357" i="51" s="1"/>
  <c r="Y244" i="50"/>
  <c r="Y10" i="51" s="1"/>
  <c r="T76" i="48"/>
  <c r="T157" i="49" s="1"/>
  <c r="T245" i="50" s="1"/>
  <c r="T358" i="51" s="1"/>
  <c r="T75" i="48"/>
  <c r="T10" i="49" s="1"/>
  <c r="U75" i="48"/>
  <c r="U10" i="49" s="1"/>
  <c r="AI244" i="50"/>
  <c r="AI10" i="51" s="1"/>
  <c r="AI357" i="51" s="1"/>
  <c r="AK357" i="51" l="1"/>
  <c r="L357" i="51"/>
  <c r="AJ357" i="51"/>
  <c r="M357" i="51"/>
  <c r="Y357" i="51"/>
  <c r="AL357" i="51"/>
  <c r="AY357" i="51"/>
  <c r="Z357" i="51"/>
  <c r="AF357" i="51"/>
  <c r="S357" i="51"/>
  <c r="AE357" i="51"/>
  <c r="AC357" i="51"/>
  <c r="AZ245" i="50"/>
  <c r="AZ358" i="51" s="1"/>
  <c r="AD357" i="51"/>
  <c r="AO156" i="49"/>
  <c r="AO10" i="50" s="1"/>
  <c r="V357" i="51"/>
  <c r="AZ75" i="48"/>
  <c r="AZ10" i="49" s="1"/>
  <c r="BA156" i="49" s="1"/>
  <c r="BA10" i="50" s="1"/>
  <c r="BA76" i="48"/>
  <c r="BA157" i="49" s="1"/>
  <c r="BA245" i="50" s="1"/>
  <c r="BA358" i="51" s="1"/>
  <c r="O357" i="51"/>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AS244" i="50" l="1"/>
  <c r="AS10" i="51" s="1"/>
  <c r="AW244" i="50"/>
  <c r="AW10" i="51" s="1"/>
  <c r="AZ156" i="49"/>
  <c r="AZ10" i="50" s="1"/>
  <c r="BA244" i="50" s="1"/>
  <c r="BA10" i="51" s="1"/>
  <c r="AN244" i="50"/>
  <c r="AN10" i="51" s="1"/>
  <c r="AU244" i="50"/>
  <c r="AU10" i="51" s="1"/>
  <c r="T244" i="50"/>
  <c r="T10" i="51" s="1"/>
  <c r="AQ244" i="50"/>
  <c r="AQ10" i="51" s="1"/>
  <c r="AV244" i="50"/>
  <c r="AV10" i="51" s="1"/>
  <c r="AP244" i="50"/>
  <c r="AP10" i="51" s="1"/>
  <c r="U244" i="50"/>
  <c r="U10" i="51" s="1"/>
  <c r="AR244" i="50"/>
  <c r="AR10" i="51" s="1"/>
  <c r="AR357" i="51" s="1"/>
  <c r="AO244" i="50"/>
  <c r="AO10" i="51" s="1"/>
  <c r="AT244" i="50"/>
  <c r="AT10" i="51" s="1"/>
  <c r="AV357" i="51" l="1"/>
  <c r="AZ244" i="50"/>
  <c r="AZ10" i="51" s="1"/>
  <c r="AZ357" i="51" s="1"/>
  <c r="AO357" i="51"/>
  <c r="AT357" i="51"/>
  <c r="U357" i="51"/>
  <c r="AP357" i="51"/>
  <c r="AS357" i="51"/>
  <c r="AQ357" i="51"/>
  <c r="AN357" i="51"/>
  <c r="T357" i="51"/>
  <c r="AW357" i="51"/>
  <c r="AU357" i="51"/>
  <c r="BA357" i="51" l="1"/>
</calcChain>
</file>

<file path=xl/sharedStrings.xml><?xml version="1.0" encoding="utf-8"?>
<sst xmlns="http://schemas.openxmlformats.org/spreadsheetml/2006/main" count="4155" uniqueCount="996">
  <si>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</si>
  <si>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</si>
  <si>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</si>
  <si>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</si>
  <si>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</si>
  <si>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</si>
  <si>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</si>
  <si>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</si>
  <si>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</si>
  <si>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</si>
  <si>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</si>
  <si>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</si>
  <si>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</si>
  <si>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</si>
  <si>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</si>
  <si>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</si>
  <si>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</si>
  <si>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</si>
  <si>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</si>
  <si>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</si>
  <si>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</si>
  <si>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</si>
  <si>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</si>
  <si>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</si>
  <si>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</si>
  <si>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</si>
  <si>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</si>
  <si>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</si>
  <si>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</si>
  <si>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</si>
  <si>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</si>
  <si>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</si>
  <si>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</si>
  <si>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</si>
  <si>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</si>
  <si>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</si>
  <si>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</si>
  <si>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</si>
  <si>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</si>
  <si>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</si>
  <si>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</si>
  <si>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</si>
  <si>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</si>
  <si>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</si>
  <si>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</si>
  <si>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</si>
  <si>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</si>
  <si>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</si>
  <si>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</si>
  <si>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</si>
  <si>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</si>
  <si>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</si>
  <si>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</si>
  <si>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</si>
  <si>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</si>
  <si>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</si>
  <si>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</si>
  <si>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</si>
  <si>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</si>
  <si>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</si>
  <si>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</si>
  <si>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</si>
  <si>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</si>
  <si>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</si>
  <si>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</si>
  <si>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</si>
  <si>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</si>
  <si>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</si>
  <si>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</si>
  <si>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</si>
  <si>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</si>
  <si>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</si>
  <si>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</si>
  <si>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</si>
  <si>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</si>
  <si>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</si>
  <si>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</si>
  <si>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</si>
  <si>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</si>
  <si>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</si>
  <si>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</si>
  <si>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</si>
  <si>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</si>
  <si>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</si>
  <si>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</si>
  <si>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</si>
  <si>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</si>
  <si>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</si>
  <si>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</si>
  <si>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</si>
  <si>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</si>
  <si>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</si>
  <si>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</si>
  <si>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</si>
  <si>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</si>
  <si>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</si>
  <si>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</si>
  <si>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</si>
  <si>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</si>
  <si>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</si>
  <si>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</si>
  <si>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</si>
  <si>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</si>
  <si>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</si>
  <si>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</si>
  <si>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</si>
  <si>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</si>
  <si>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</si>
  <si>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</si>
  <si>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</si>
  <si>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</si>
  <si>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</si>
  <si>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</si>
  <si>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</si>
  <si>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</si>
  <si>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</si>
  <si>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</si>
  <si>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</si>
  <si>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</si>
  <si>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</si>
  <si>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</si>
  <si>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</si>
  <si>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</si>
  <si>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</si>
  <si>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</si>
  <si>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</si>
  <si>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</si>
  <si>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</si>
  <si>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</si>
  <si>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</si>
  <si>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</si>
  <si>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</si>
  <si>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</si>
  <si>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</si>
  <si>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</si>
  <si>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</si>
  <si>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</si>
  <si>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</si>
  <si>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</si>
  <si>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</si>
  <si>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</si>
  <si>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</si>
  <si>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</si>
  <si>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</si>
  <si>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</si>
  <si>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</si>
  <si>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</si>
  <si>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</si>
  <si>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</si>
  <si>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</si>
  <si>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</si>
  <si>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</si>
  <si>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</si>
  <si>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</si>
  <si>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</si>
  <si>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</si>
  <si>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</si>
  <si>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</si>
  <si>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</si>
  <si>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</si>
  <si>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</si>
  <si>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</si>
  <si>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</si>
  <si>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</si>
  <si>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</si>
  <si>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</si>
  <si>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</si>
  <si>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</si>
  <si>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</si>
  <si>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</si>
  <si>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</si>
  <si>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</si>
  <si>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</si>
  <si>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</si>
  <si>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</si>
  <si>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</si>
  <si>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</si>
  <si>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</si>
  <si>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</si>
  <si>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</si>
  <si>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</si>
  <si>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</si>
  <si>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</si>
  <si>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</si>
  <si>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</si>
  <si>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</si>
  <si>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</si>
  <si>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</si>
  <si>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</si>
  <si>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</si>
  <si>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</si>
  <si>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</si>
  <si>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</si>
  <si>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</si>
  <si>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</si>
  <si>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</si>
  <si>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</si>
  <si>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</si>
  <si>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</si>
  <si>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</si>
  <si>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</si>
  <si>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</si>
  <si>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</si>
  <si>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</si>
  <si>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</si>
  <si>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</si>
  <si>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</si>
  <si>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</si>
  <si>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</si>
  <si>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</si>
  <si>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</si>
  <si>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</si>
  <si>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</si>
  <si>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</si>
  <si>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</si>
  <si>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</si>
  <si>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</si>
  <si>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</si>
  <si>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</si>
  <si>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</si>
  <si>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</si>
  <si>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</si>
  <si>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</si>
  <si>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</si>
  <si>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</si>
  <si>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</si>
  <si>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</si>
  <si>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</si>
  <si>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</si>
  <si>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</si>
  <si>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</si>
  <si>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</si>
  <si>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</si>
  <si>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</si>
  <si>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</si>
  <si>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</si>
  <si>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</si>
  <si>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</si>
  <si>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</si>
  <si>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</si>
  <si>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</si>
  <si>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</si>
  <si>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</si>
  <si>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</si>
  <si>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</si>
  <si>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</si>
  <si>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</si>
  <si>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</si>
  <si>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</si>
  <si>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</si>
  <si>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</si>
  <si>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</si>
  <si>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</si>
  <si>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</si>
  <si>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</si>
  <si>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</si>
  <si>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</si>
  <si>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</si>
  <si>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</si>
  <si>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</si>
  <si>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</si>
  <si>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</si>
  <si>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</si>
  <si>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</si>
  <si>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</si>
  <si>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</si>
  <si>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</si>
  <si>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</si>
  <si>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</si>
  <si>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</si>
  <si>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</si>
  <si>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</si>
  <si>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</si>
  <si>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</si>
  <si>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</si>
  <si>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</si>
  <si>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</si>
  <si>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</si>
  <si>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</si>
  <si>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</si>
  <si>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</si>
  <si>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</si>
  <si>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</si>
  <si>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</si>
  <si>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</si>
  <si>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</si>
  <si>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</si>
  <si>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</si>
  <si>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</si>
  <si>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</si>
  <si>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</si>
  <si>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</si>
  <si>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</si>
  <si>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</si>
  <si>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</si>
  <si>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</si>
  <si>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</si>
  <si>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</si>
  <si>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</si>
  <si>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</si>
  <si>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</si>
  <si>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</si>
  <si>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</si>
  <si>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</si>
  <si>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</si>
  <si>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</si>
  <si>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</si>
  <si>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</si>
  <si>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</si>
  <si>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</si>
  <si>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</si>
  <si>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</si>
  <si>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</si>
  <si>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</si>
  <si>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</si>
  <si>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</si>
  <si>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</si>
  <si>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</si>
  <si>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</si>
  <si>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</si>
  <si>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</si>
  <si>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</si>
  <si>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</si>
  <si>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</si>
  <si>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</si>
  <si>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</si>
  <si>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</si>
  <si>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</si>
  <si>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</si>
  <si>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</si>
  <si>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</si>
  <si>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</si>
  <si>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</si>
  <si>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</si>
  <si>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</si>
  <si>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</si>
  <si>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</si>
  <si>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</si>
  <si>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</si>
  <si>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</si>
  <si>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</si>
  <si>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</si>
  <si>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</si>
  <si>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</si>
  <si>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</si>
  <si>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</si>
  <si>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</si>
  <si>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</si>
  <si>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</si>
  <si>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</si>
  <si>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</si>
  <si>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</si>
  <si>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</si>
  <si>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</si>
  <si>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</si>
  <si>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</si>
  <si>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</si>
  <si>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</si>
  <si>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</si>
  <si>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</si>
  <si>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</si>
  <si>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</si>
  <si>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</si>
  <si>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</si>
  <si>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</si>
  <si>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</si>
  <si>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</si>
  <si>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</si>
  <si>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</si>
  <si>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</si>
  <si>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</si>
  <si>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</si>
  <si>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</si>
  <si>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</si>
  <si>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</si>
  <si>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</si>
  <si>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</si>
  <si>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</si>
  <si>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</si>
  <si>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</si>
  <si>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</si>
  <si>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</si>
  <si>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</si>
  <si>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</si>
  <si>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</si>
  <si>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</si>
  <si>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</si>
  <si>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</si>
  <si>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</si>
  <si>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</si>
  <si>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</si>
  <si>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</si>
  <si>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</si>
  <si>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</si>
  <si>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</si>
  <si>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</si>
  <si>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</si>
  <si>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</si>
  <si>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</si>
  <si>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</si>
  <si>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</si>
  <si>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</si>
  <si>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</si>
  <si>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</si>
  <si>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</si>
  <si>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</si>
  <si>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</si>
  <si>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</si>
  <si>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</si>
  <si>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</si>
  <si>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</si>
  <si>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</si>
  <si>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</si>
  <si>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</si>
  <si>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</si>
  <si>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</si>
  <si>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</si>
  <si>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</si>
  <si>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</si>
  <si>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</si>
  <si>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</si>
  <si>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</si>
  <si>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</si>
  <si>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</si>
  <si>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</si>
  <si>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</si>
  <si>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</si>
  <si>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</si>
  <si>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</si>
  <si>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</si>
  <si>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</si>
  <si>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</si>
  <si>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</si>
  <si>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</si>
  <si>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</si>
  <si>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</si>
  <si>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</si>
  <si>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</si>
  <si>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</si>
  <si>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</si>
  <si>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</si>
  <si>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</si>
  <si>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</si>
  <si>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</si>
  <si>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</si>
  <si>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</si>
  <si>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</si>
  <si>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</si>
  <si>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</si>
  <si>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</si>
  <si>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</si>
  <si>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</si>
  <si>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</si>
  <si>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</si>
  <si>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</si>
  <si>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</si>
  <si>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</si>
  <si>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</si>
  <si>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</si>
  <si>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</si>
  <si>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</si>
  <si>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</si>
  <si>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</si>
  <si>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</si>
  <si>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</si>
  <si>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</si>
  <si>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</si>
  <si>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</si>
  <si>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</si>
  <si>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</si>
  <si>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</si>
  <si>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</si>
  <si>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</si>
  <si>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</si>
  <si>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</si>
  <si>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</si>
  <si>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</si>
  <si>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</si>
  <si>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</si>
  <si>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</si>
  <si>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</si>
  <si>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</si>
  <si>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</si>
  <si>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</si>
  <si>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</si>
  <si>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</si>
  <si>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</si>
  <si>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</si>
  <si>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</si>
  <si>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</si>
  <si>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</si>
  <si>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</si>
  <si>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</si>
  <si>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</si>
  <si>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</si>
  <si>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</si>
  <si>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</si>
  <si>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</si>
  <si>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</si>
  <si>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</si>
  <si>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</si>
  <si>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</si>
  <si>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</si>
  <si>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</si>
  <si>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</si>
  <si>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</si>
  <si>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</si>
  <si>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</si>
  <si>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</si>
  <si>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</si>
  <si>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</si>
  <si>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</si>
  <si>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</si>
  <si>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</si>
  <si>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</si>
  <si>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</si>
  <si>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</si>
  <si>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</si>
  <si>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</si>
  <si>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</si>
  <si>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</si>
  <si>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</si>
  <si>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</si>
  <si>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</si>
  <si>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</si>
  <si>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</si>
  <si>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</si>
  <si>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</si>
  <si>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</si>
  <si>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</si>
  <si>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</si>
  <si>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</si>
  <si>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</si>
  <si>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</si>
  <si>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</si>
  <si>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</si>
  <si>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</si>
  <si>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</si>
  <si>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</si>
  <si>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</si>
  <si>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</si>
  <si>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</si>
  <si>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</si>
  <si>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</si>
  <si>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</si>
  <si>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</si>
  <si>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</si>
  <si>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</si>
  <si>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</si>
  <si>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</si>
  <si>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</si>
  <si>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</si>
  <si>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</si>
  <si>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</si>
  <si>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</si>
  <si>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</si>
  <si>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</si>
  <si>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</si>
  <si>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</si>
  <si>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</si>
  <si>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</si>
  <si>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</si>
  <si>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</si>
  <si>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</si>
  <si>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</si>
  <si>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</si>
  <si>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</si>
  <si>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</si>
  <si>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</si>
  <si>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</si>
  <si>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</si>
  <si>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</si>
  <si>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</si>
  <si>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</si>
  <si>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</si>
  <si>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</si>
  <si>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</si>
  <si>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</si>
  <si>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</si>
  <si>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</si>
  <si>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</si>
  <si>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</si>
  <si>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</si>
  <si>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</si>
  <si>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</si>
  <si>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</si>
  <si>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</si>
  <si>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</si>
  <si>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</si>
  <si>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</si>
  <si>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</si>
  <si>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</si>
  <si>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</si>
  <si>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</si>
  <si>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</si>
  <si>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</si>
  <si>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</si>
  <si>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</si>
  <si>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</si>
  <si>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</si>
  <si>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</si>
  <si>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</si>
  <si>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</si>
  <si>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</si>
  <si>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</si>
  <si>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</si>
  <si>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</si>
  <si>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</si>
  <si>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</si>
  <si>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</si>
  <si>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</si>
  <si>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</si>
  <si>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</si>
  <si>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</si>
  <si>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</si>
  <si>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</si>
  <si>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</si>
  <si>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</si>
  <si>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</si>
  <si>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</si>
  <si>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</si>
  <si>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</si>
  <si>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</si>
  <si>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</si>
  <si>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</si>
  <si>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</si>
  <si>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</si>
  <si>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</si>
  <si>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</si>
  <si>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</si>
  <si>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</si>
  <si>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</si>
  <si>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</si>
  <si>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</si>
  <si>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</si>
  <si>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</si>
  <si>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</si>
  <si>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</si>
  <si>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</si>
  <si>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</si>
  <si>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</si>
  <si>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</si>
  <si>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</si>
  <si>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</si>
  <si>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</si>
  <si>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</si>
  <si>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</si>
  <si>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</si>
  <si>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</si>
  <si>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</si>
  <si>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</si>
  <si>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</si>
  <si>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</si>
  <si>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</si>
  <si>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</si>
  <si>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</si>
  <si>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</si>
  <si>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</si>
  <si>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</si>
  <si>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</si>
  <si>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</si>
  <si>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</si>
  <si>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</si>
  <si>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</si>
  <si>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</si>
  <si>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</si>
  <si>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</si>
  <si>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</si>
  <si>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</si>
  <si>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</si>
  <si>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</si>
  <si>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</si>
  <si>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</si>
  <si>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</si>
  <si>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</si>
  <si>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</si>
  <si>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</si>
  <si>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</si>
  <si>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</si>
  <si>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</si>
  <si>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</si>
  <si>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</si>
  <si>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</si>
  <si>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</si>
  <si>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</si>
  <si>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</si>
  <si>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</si>
  <si>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</si>
  <si>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</si>
  <si>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</si>
  <si>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</si>
  <si>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</si>
  <si>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</si>
  <si>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</si>
  <si>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</si>
  <si>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</si>
  <si>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</si>
  <si>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</si>
  <si>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</si>
  <si>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</si>
  <si>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</si>
  <si>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</si>
  <si>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</si>
  <si>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</si>
  <si>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</si>
  <si>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</si>
  <si>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</si>
  <si>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</si>
  <si>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</si>
  <si>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</si>
  <si>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</si>
  <si>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</si>
  <si>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</si>
  <si>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</si>
  <si>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</si>
  <si>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</si>
  <si>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</si>
  <si>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</si>
  <si>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</si>
  <si>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</si>
  <si>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</si>
  <si>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</si>
  <si>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</si>
  <si>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</si>
  <si>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</si>
  <si>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</si>
  <si>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</si>
  <si>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</si>
  <si>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</si>
  <si>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</si>
  <si>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</si>
  <si>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</si>
  <si>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</si>
  <si>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</si>
  <si>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</si>
  <si>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</si>
  <si>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</si>
  <si>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</si>
  <si>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</si>
  <si>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</si>
  <si>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</si>
  <si>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</si>
  <si>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</si>
  <si>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</si>
  <si>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</si>
  <si>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</si>
  <si>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</si>
  <si>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</si>
  <si>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</si>
  <si>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</si>
  <si>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</si>
  <si>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</si>
  <si>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</si>
  <si>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</si>
  <si>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</si>
  <si>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</si>
  <si>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</si>
  <si>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</si>
  <si>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</si>
  <si>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</si>
  <si>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</si>
  <si>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</si>
  <si>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</si>
  <si>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</si>
  <si>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</si>
  <si>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</si>
  <si>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</si>
  <si>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</si>
  <si>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</si>
  <si>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</si>
  <si>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</si>
  <si>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</si>
  <si>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</si>
  <si>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</si>
  <si>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</si>
  <si>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</si>
  <si>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</si>
  <si>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</si>
  <si>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</si>
  <si>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</si>
  <si>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</si>
  <si>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</si>
  <si>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</si>
  <si>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</si>
  <si>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</si>
  <si>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</si>
  <si>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</si>
  <si>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</si>
  <si>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</si>
  <si>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</si>
  <si>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</si>
  <si>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</si>
  <si>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</si>
  <si>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</si>
  <si>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</si>
  <si>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</si>
  <si>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</si>
  <si>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</si>
  <si>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</si>
  <si>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</si>
  <si>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</si>
  <si>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</si>
  <si>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</si>
  <si>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</si>
  <si>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</si>
  <si>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</si>
  <si>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</si>
  <si>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</si>
  <si>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</si>
  <si>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</si>
  <si>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</si>
  <si>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</si>
  <si>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</si>
  <si>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</si>
  <si>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</si>
  <si>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</si>
  <si>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</si>
  <si>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</si>
  <si>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</si>
  <si>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</si>
  <si>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</si>
  <si>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</si>
  <si>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</si>
  <si>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</si>
  <si>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</si>
  <si>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</si>
  <si>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</si>
  <si>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</si>
  <si>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</si>
  <si>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</si>
  <si>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</si>
  <si>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</si>
  <si>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</si>
  <si>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</si>
  <si>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</si>
  <si>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</si>
  <si>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</si>
  <si>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</si>
  <si>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</si>
  <si>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</si>
  <si>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</si>
  <si>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</si>
  <si>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</si>
  <si>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</si>
  <si>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</si>
  <si>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</si>
  <si>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</si>
  <si>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</si>
  <si>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</si>
  <si>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</si>
  <si>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</si>
  <si>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</si>
  <si>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</si>
  <si>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</si>
  <si>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</si>
  <si>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</si>
  <si>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</si>
  <si>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</si>
  <si>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</si>
  <si>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</si>
  <si>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</si>
  <si>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</si>
  <si>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</si>
  <si>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</si>
  <si>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</si>
  <si>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</si>
  <si>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</si>
  <si>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</si>
  <si>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</si>
  <si>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</si>
  <si>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</si>
  <si>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</si>
  <si>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</si>
  <si>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</si>
  <si>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</si>
  <si>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</si>
  <si>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</si>
  <si>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</si>
  <si>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</si>
  <si>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</si>
  <si>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</si>
  <si>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</si>
  <si>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</si>
  <si>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</si>
  <si>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</si>
  <si>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</si>
  <si>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</si>
  <si>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</si>
  <si>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</si>
  <si>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</si>
  <si>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</si>
  <si>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</si>
  <si>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</si>
  <si>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</si>
  <si>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</si>
  <si>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</si>
  <si>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</si>
  <si>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</si>
  <si>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</si>
  <si>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</si>
  <si>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</si>
  <si>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</si>
  <si>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</si>
  <si>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</si>
  <si>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</si>
  <si>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T</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</si>
  <si>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</si>
  <si>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</si>
  <si>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</si>
  <si>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</si>
  <si>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</si>
  <si>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</si>
  <si>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</si>
  <si>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</si>
  <si>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</si>
  <si>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</si>
  <si>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</si>
  <si>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</si>
  <si>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</si>
  <si>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</si>
  <si>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</si>
  <si>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</si>
  <si>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</si>
  <si>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</si>
  <si>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</si>
  <si>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</si>
  <si>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</si>
  <si>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</si>
  <si>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</si>
  <si>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</si>
  <si>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</si>
  <si>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</si>
  <si>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</si>
  <si>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</si>
  <si>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</si>
  <si>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</si>
  <si>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</si>
  <si>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</si>
  <si>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</si>
  <si>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</si>
  <si>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</si>
  <si>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</si>
  <si>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</si>
  <si>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</si>
  <si>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</si>
  <si>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</si>
  <si>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</si>
  <si>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</si>
  <si>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</si>
  <si>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</si>
  <si>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</si>
  <si>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</si>
  <si>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</si>
  <si>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</si>
  <si>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</si>
  <si>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</si>
  <si>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</si>
  <si>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</si>
  <si>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</si>
  <si>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</si>
  <si>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</si>
  <si>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</si>
  <si>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</si>
  <si>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</si>
  <si>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</si>
  <si>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</si>
  <si>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</si>
  <si>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</si>
  <si>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</si>
  <si>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</si>
  <si>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</si>
  <si>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</si>
  <si>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</si>
  <si>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</si>
  <si>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</si>
  <si>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</si>
  <si>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</si>
  <si>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</si>
  <si>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</si>
  <si>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</si>
  <si>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AL - Q4</t>
  </si>
  <si>
    <t>Hoàn vốn AL - Q11</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</si>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</sst>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69">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164" fontId="51" fillId="0" borderId="16" xfId="76" quotePrefix="1" applyNumberFormat="1" applyFont="1" applyFill="1" applyBorder="1" applyAlignment="1">
      <alignment horizontal="center" vertical="center" wrapText="1"/>
    </xf>
    <xf numFmtId="0" fontId="100" fillId="0" borderId="0" xfId="58" applyFont="1">
      <alignment horizontal="centerContinuous"/>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ySplit="2" topLeftCell="A10" activePane="bottomLeft" state="frozen"/>
      <selection activeCell="A8" sqref="A8"/>
      <selection pane="bottomLeft" activeCell="A31" sqref="A31:XFD3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102" t="s">
        <v>213</v>
      </c>
      <c r="B1" s="31"/>
    </row>
    <row r="2" spans="1:12">
      <c r="A2" s="113" t="s">
        <v>214</v>
      </c>
      <c r="B2" s="31"/>
    </row>
    <row r="3" spans="1:12">
      <c r="A3" s="31"/>
      <c r="B3" s="31"/>
    </row>
    <row r="5" spans="1:12" ht="18">
      <c r="A5" s="1051" t="s">
        <v>90</v>
      </c>
      <c r="B5" s="34"/>
      <c r="C5" s="35"/>
      <c r="D5" s="35"/>
      <c r="E5" s="34"/>
      <c r="F5" s="34"/>
      <c r="G5" s="34"/>
      <c r="H5" s="34"/>
    </row>
    <row r="6" spans="1:12" ht="15.75">
      <c r="A6" s="36" t="s">
        <v>968</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4470000000</v>
      </c>
      <c r="F10" s="43">
        <f t="array" ref="F10">SUM(IF(A10=KHC,TH))</f>
        <v>5040068996</v>
      </c>
      <c r="G10" s="44">
        <f>MAX(C10+E10-D10-F10,0)</f>
        <v>772096414</v>
      </c>
      <c r="H10" s="44">
        <f>MAX(D10+F10-E10-C10,0)</f>
        <v>0</v>
      </c>
      <c r="K10" s="45"/>
      <c r="L10" s="45"/>
    </row>
    <row r="11" spans="1:12" s="32" customFormat="1">
      <c r="A11" s="46" t="s">
        <v>21</v>
      </c>
      <c r="B11" s="47" t="s">
        <v>100</v>
      </c>
      <c r="C11" s="48">
        <v>1342165410</v>
      </c>
      <c r="D11" s="48">
        <v>0</v>
      </c>
      <c r="E11" s="48">
        <f>E10</f>
        <v>4470000000</v>
      </c>
      <c r="F11" s="48">
        <f>F10</f>
        <v>5040068996</v>
      </c>
      <c r="G11" s="48">
        <f>G10</f>
        <v>772096414</v>
      </c>
      <c r="H11" s="48">
        <f>H10</f>
        <v>0</v>
      </c>
    </row>
    <row r="12" spans="1:12" s="32" customFormat="1">
      <c r="A12" s="49" t="s">
        <v>31</v>
      </c>
      <c r="B12" s="42" t="s">
        <v>101</v>
      </c>
      <c r="C12" s="43">
        <v>1694774692</v>
      </c>
      <c r="D12" s="43">
        <v>0</v>
      </c>
      <c r="E12" s="43">
        <f t="array" ref="E12">SUM(IF(A12=KHN,TH))</f>
        <v>6534698278</v>
      </c>
      <c r="F12" s="43">
        <f t="array" ref="F12">SUM(IF(A12=KHC,TH))</f>
        <v>8227168025</v>
      </c>
      <c r="G12" s="44">
        <f>MAX(C12+E12-D12-F12,0)</f>
        <v>2304945</v>
      </c>
      <c r="H12" s="44">
        <f>MAX(D12+F12-E12-C12,0)</f>
        <v>0</v>
      </c>
      <c r="K12" s="45"/>
      <c r="L12" s="45"/>
    </row>
    <row r="13" spans="1:12" s="32" customFormat="1">
      <c r="A13" s="49" t="s">
        <v>464</v>
      </c>
      <c r="B13" s="42" t="s">
        <v>465</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8497538278</v>
      </c>
      <c r="F14" s="48">
        <f t="shared" si="0"/>
        <v>10190008025</v>
      </c>
      <c r="G14" s="48">
        <f t="shared" si="0"/>
        <v>2304945</v>
      </c>
      <c r="H14" s="48">
        <f t="shared" si="0"/>
        <v>0</v>
      </c>
    </row>
    <row r="15" spans="1:12" s="32" customFormat="1">
      <c r="A15" s="46" t="s">
        <v>784</v>
      </c>
      <c r="B15" s="47" t="s">
        <v>785</v>
      </c>
      <c r="C15" s="48"/>
      <c r="D15" s="48">
        <v>0</v>
      </c>
      <c r="E15" s="88">
        <f t="array" ref="E15">SUM(IF(A15=KHN,TH))</f>
        <v>0</v>
      </c>
      <c r="F15" s="88">
        <f t="array" ref="F15">SUM(IF(A15=KHC,TH))</f>
        <v>0</v>
      </c>
      <c r="G15" s="48">
        <f>MAX(C15+E15-D15-F15,0)</f>
        <v>0</v>
      </c>
      <c r="H15" s="48">
        <f>MAX(D15+F15-E15-C15,0)</f>
        <v>0</v>
      </c>
    </row>
    <row r="16" spans="1:12" s="32" customFormat="1">
      <c r="A16" s="49" t="s">
        <v>10</v>
      </c>
      <c r="B16" s="42" t="s">
        <v>104</v>
      </c>
      <c r="C16" s="43">
        <v>452614594</v>
      </c>
      <c r="D16" s="43">
        <v>0</v>
      </c>
      <c r="E16" s="43">
        <f t="array" ref="E16">SUM(IF(A16=KHN,TH))</f>
        <v>823732997</v>
      </c>
      <c r="F16" s="43">
        <f t="array" ref="F16">SUM(IF(A16=KHC,TH))</f>
        <v>0</v>
      </c>
      <c r="G16" s="44">
        <f>MAX(C16+E16-D16-F16,0)</f>
        <v>1276347591</v>
      </c>
      <c r="H16" s="44">
        <f>MAX(D16+F16-E16-C16,0)</f>
        <v>0</v>
      </c>
    </row>
    <row r="17" spans="1:8" s="32" customFormat="1">
      <c r="A17" s="46" t="s">
        <v>105</v>
      </c>
      <c r="B17" s="47" t="s">
        <v>106</v>
      </c>
      <c r="C17" s="48">
        <v>452614594</v>
      </c>
      <c r="D17" s="48">
        <v>0</v>
      </c>
      <c r="E17" s="48">
        <f>E16</f>
        <v>823732997</v>
      </c>
      <c r="F17" s="48">
        <f>F16</f>
        <v>0</v>
      </c>
      <c r="G17" s="48">
        <f>G16</f>
        <v>1276347591</v>
      </c>
      <c r="H17" s="48">
        <f>H16</f>
        <v>0</v>
      </c>
    </row>
    <row r="18" spans="1:8" s="32" customFormat="1">
      <c r="A18" s="49" t="s">
        <v>107</v>
      </c>
      <c r="B18" s="42" t="s">
        <v>108</v>
      </c>
      <c r="C18" s="43">
        <v>0</v>
      </c>
      <c r="D18" s="43">
        <v>0</v>
      </c>
      <c r="E18" s="43">
        <f t="array" ref="E18">SUM(IF(A18=KHN,TH))</f>
        <v>2374000000</v>
      </c>
      <c r="F18" s="43">
        <f t="array" ref="F18">SUM(IF(A18=KHC,TH))</f>
        <v>2374000000</v>
      </c>
      <c r="G18" s="44">
        <f t="shared" ref="G18:G35" si="1">MAX(C18+E18-D18-F18,0)</f>
        <v>0</v>
      </c>
      <c r="H18" s="44">
        <f t="shared" ref="H18:H35" si="2">MAX(D18+F18-E18-C18,0)</f>
        <v>0</v>
      </c>
    </row>
    <row r="19" spans="1:8" s="32" customFormat="1">
      <c r="A19" s="46" t="s">
        <v>109</v>
      </c>
      <c r="B19" s="47" t="s">
        <v>110</v>
      </c>
      <c r="C19" s="48">
        <v>0</v>
      </c>
      <c r="D19" s="48">
        <v>0</v>
      </c>
      <c r="E19" s="48">
        <f>E18</f>
        <v>2374000000</v>
      </c>
      <c r="F19" s="48">
        <f>F18</f>
        <v>2374000000</v>
      </c>
      <c r="G19" s="48">
        <f t="shared" si="1"/>
        <v>0</v>
      </c>
      <c r="H19" s="48">
        <f t="shared" si="2"/>
        <v>0</v>
      </c>
    </row>
    <row r="20" spans="1:8" s="32" customFormat="1">
      <c r="A20" s="46" t="s">
        <v>470</v>
      </c>
      <c r="B20" s="47" t="s">
        <v>471</v>
      </c>
      <c r="C20" s="48"/>
      <c r="D20" s="48">
        <v>0</v>
      </c>
      <c r="E20" s="88">
        <f t="array" ref="E20">SUM(IF(A20=KHN,TH))</f>
        <v>0</v>
      </c>
      <c r="F20" s="88">
        <f t="array" ref="F20">SUM(IF(A20=KHC,TH))</f>
        <v>0</v>
      </c>
      <c r="G20" s="48">
        <f t="shared" si="1"/>
        <v>0</v>
      </c>
      <c r="H20" s="48">
        <f t="shared" si="2"/>
        <v>0</v>
      </c>
    </row>
    <row r="21" spans="1:8" s="32" customFormat="1">
      <c r="A21" s="49" t="s">
        <v>472</v>
      </c>
      <c r="B21" s="42" t="s">
        <v>473</v>
      </c>
      <c r="C21" s="43"/>
      <c r="D21" s="43">
        <v>0</v>
      </c>
      <c r="E21" s="43">
        <f t="array" ref="E21">SUM(IF(A21=KHN,TH))</f>
        <v>0</v>
      </c>
      <c r="F21" s="43">
        <f t="array" ref="F21">SUM(IF(A21=KHC,TH))</f>
        <v>0</v>
      </c>
      <c r="G21" s="44">
        <f t="shared" si="1"/>
        <v>0</v>
      </c>
      <c r="H21" s="44">
        <f t="shared" si="2"/>
        <v>0</v>
      </c>
    </row>
    <row r="22" spans="1:8" s="32" customFormat="1">
      <c r="A22" s="49" t="s">
        <v>474</v>
      </c>
      <c r="B22" s="42" t="s">
        <v>475</v>
      </c>
      <c r="C22" s="43"/>
      <c r="D22" s="43">
        <v>0</v>
      </c>
      <c r="E22" s="43">
        <f t="array" ref="E22">SUM(IF(A22=KHN,TH))</f>
        <v>37200000</v>
      </c>
      <c r="F22" s="43">
        <f t="array" ref="F22">SUM(IF(A22=KHC,TH))</f>
        <v>0</v>
      </c>
      <c r="G22" s="43">
        <f t="shared" si="1"/>
        <v>37200000</v>
      </c>
      <c r="H22" s="43">
        <f t="shared" si="2"/>
        <v>0</v>
      </c>
    </row>
    <row r="23" spans="1:8" s="32" customFormat="1">
      <c r="A23" s="46" t="s">
        <v>476</v>
      </c>
      <c r="B23" s="47" t="s">
        <v>477</v>
      </c>
      <c r="C23" s="48"/>
      <c r="D23" s="48">
        <v>0</v>
      </c>
      <c r="E23" s="48">
        <f>E21+E22</f>
        <v>37200000</v>
      </c>
      <c r="F23" s="48">
        <f>F21+F22</f>
        <v>0</v>
      </c>
      <c r="G23" s="48">
        <f t="shared" si="1"/>
        <v>37200000</v>
      </c>
      <c r="H23" s="48">
        <f t="shared" si="2"/>
        <v>0</v>
      </c>
    </row>
    <row r="24" spans="1:8" s="32" customFormat="1">
      <c r="A24" s="46" t="s">
        <v>478</v>
      </c>
      <c r="B24" s="47" t="s">
        <v>479</v>
      </c>
      <c r="C24" s="48"/>
      <c r="D24" s="48">
        <v>0</v>
      </c>
      <c r="E24" s="88">
        <f t="array" ref="E24">SUM(IF(A24=KHN,TH))</f>
        <v>0</v>
      </c>
      <c r="F24" s="88">
        <f t="array" ref="F24">SUM(IF(A24=KHC,TH))</f>
        <v>0</v>
      </c>
      <c r="G24" s="48">
        <f t="shared" si="1"/>
        <v>0</v>
      </c>
      <c r="H24" s="48">
        <f t="shared" si="2"/>
        <v>0</v>
      </c>
    </row>
    <row r="25" spans="1:8" s="32" customFormat="1">
      <c r="A25" s="46" t="s">
        <v>480</v>
      </c>
      <c r="B25" s="47" t="s">
        <v>481</v>
      </c>
      <c r="C25" s="48"/>
      <c r="D25" s="48">
        <v>0</v>
      </c>
      <c r="E25" s="88">
        <f t="array" ref="E25">SUM(IF(A25=KHN,TH))</f>
        <v>0</v>
      </c>
      <c r="F25" s="88">
        <f t="array" ref="F25">SUM(IF(A25=KHC,TH))</f>
        <v>0</v>
      </c>
      <c r="G25" s="48">
        <f t="shared" si="1"/>
        <v>0</v>
      </c>
      <c r="H25" s="48">
        <f t="shared" si="2"/>
        <v>0</v>
      </c>
    </row>
    <row r="26" spans="1:8" s="32" customFormat="1">
      <c r="A26" s="46" t="s">
        <v>482</v>
      </c>
      <c r="B26" s="47" t="s">
        <v>483</v>
      </c>
      <c r="C26" s="48"/>
      <c r="D26" s="48">
        <v>0</v>
      </c>
      <c r="E26" s="88">
        <f t="array" ref="E26">SUM(IF(A26=KHN,TH))</f>
        <v>0</v>
      </c>
      <c r="F26" s="88">
        <f t="array" ref="F26">SUM(IF(A26=KHC,TH))</f>
        <v>0</v>
      </c>
      <c r="G26" s="48">
        <f t="shared" si="1"/>
        <v>0</v>
      </c>
      <c r="H26" s="48">
        <f t="shared" si="2"/>
        <v>0</v>
      </c>
    </row>
    <row r="27" spans="1:8" s="32" customFormat="1">
      <c r="A27" s="527" t="s">
        <v>484</v>
      </c>
      <c r="B27" s="528" t="s">
        <v>485</v>
      </c>
      <c r="C27" s="529"/>
      <c r="D27" s="529">
        <v>0</v>
      </c>
      <c r="E27" s="43">
        <f t="array" ref="E27">SUM(IF(A27=KHN,TH))</f>
        <v>0</v>
      </c>
      <c r="F27" s="43">
        <f t="array" ref="F27">SUM(IF(A27=KHC,TH))</f>
        <v>0</v>
      </c>
      <c r="G27" s="529">
        <f t="shared" si="1"/>
        <v>0</v>
      </c>
      <c r="H27" s="529">
        <f t="shared" si="2"/>
        <v>0</v>
      </c>
    </row>
    <row r="28" spans="1:8" s="32" customFormat="1">
      <c r="A28" s="530" t="s">
        <v>486</v>
      </c>
      <c r="B28" s="531" t="s">
        <v>487</v>
      </c>
      <c r="C28" s="532"/>
      <c r="D28" s="532">
        <v>0</v>
      </c>
      <c r="E28" s="43">
        <f t="array" ref="E28">SUM(IF(A28=KHN,TH))</f>
        <v>0</v>
      </c>
      <c r="F28" s="43">
        <f t="array" ref="F28">SUM(IF(A28=KHC,TH))</f>
        <v>0</v>
      </c>
      <c r="G28" s="532">
        <f t="shared" si="1"/>
        <v>0</v>
      </c>
      <c r="H28" s="532">
        <f t="shared" si="2"/>
        <v>0</v>
      </c>
    </row>
    <row r="29" spans="1:8" s="32" customFormat="1">
      <c r="A29" s="530" t="s">
        <v>488</v>
      </c>
      <c r="B29" s="531" t="s">
        <v>489</v>
      </c>
      <c r="C29" s="532"/>
      <c r="D29" s="532">
        <v>0</v>
      </c>
      <c r="E29" s="43">
        <f t="array" ref="E29">SUM(IF(A29=KHN,TH))</f>
        <v>0</v>
      </c>
      <c r="F29" s="43">
        <f t="array" ref="F29">SUM(IF(A29=KHC,TH))</f>
        <v>0</v>
      </c>
      <c r="G29" s="532">
        <f t="shared" si="1"/>
        <v>0</v>
      </c>
      <c r="H29" s="532">
        <f t="shared" si="2"/>
        <v>0</v>
      </c>
    </row>
    <row r="30" spans="1:8" s="32" customFormat="1">
      <c r="A30" s="46" t="s">
        <v>490</v>
      </c>
      <c r="B30" s="47" t="s">
        <v>491</v>
      </c>
      <c r="C30" s="48"/>
      <c r="D30" s="48">
        <v>0</v>
      </c>
      <c r="E30" s="48">
        <f>SUM(E27:E29)</f>
        <v>0</v>
      </c>
      <c r="F30" s="48">
        <f>SUM(F27:F29)</f>
        <v>0</v>
      </c>
      <c r="G30" s="48">
        <f>SUM(G27:G29)</f>
        <v>0</v>
      </c>
      <c r="H30" s="48">
        <f>SUM(H27:H29)</f>
        <v>0</v>
      </c>
    </row>
    <row r="31" spans="1:8" s="32" customFormat="1">
      <c r="A31" s="41" t="s">
        <v>243</v>
      </c>
      <c r="B31" s="42" t="s">
        <v>244</v>
      </c>
      <c r="C31" s="43">
        <v>22599987302</v>
      </c>
      <c r="D31" s="43">
        <v>0</v>
      </c>
      <c r="E31" s="43">
        <f t="array" ref="E31">SUM(IF(A31=KHN,TH))</f>
        <v>8748192551</v>
      </c>
      <c r="F31" s="43">
        <f t="array" ref="F31">SUM(IF(A31=KHC,TH))</f>
        <v>0</v>
      </c>
      <c r="G31" s="44">
        <f t="shared" si="1"/>
        <v>31348179853</v>
      </c>
      <c r="H31" s="44">
        <f t="shared" si="2"/>
        <v>0</v>
      </c>
    </row>
    <row r="32" spans="1:8" s="32" customFormat="1">
      <c r="A32" s="50" t="s">
        <v>320</v>
      </c>
      <c r="B32" s="47" t="s">
        <v>245</v>
      </c>
      <c r="C32" s="48">
        <v>22599987302</v>
      </c>
      <c r="D32" s="48">
        <v>0</v>
      </c>
      <c r="E32" s="48">
        <f>E31</f>
        <v>8748192551</v>
      </c>
      <c r="F32" s="48">
        <f>F31</f>
        <v>0</v>
      </c>
      <c r="G32" s="48">
        <f t="shared" si="1"/>
        <v>31348179853</v>
      </c>
      <c r="H32" s="48">
        <f t="shared" si="2"/>
        <v>0</v>
      </c>
    </row>
    <row r="33" spans="1:9" s="32" customFormat="1">
      <c r="A33" s="46" t="s">
        <v>9</v>
      </c>
      <c r="B33" s="47" t="s">
        <v>111</v>
      </c>
      <c r="C33" s="48">
        <v>4310031764</v>
      </c>
      <c r="D33" s="48">
        <v>0</v>
      </c>
      <c r="E33" s="88">
        <f t="array" ref="E33">SUM(IF(A33=KHN,TH))</f>
        <v>2770342344</v>
      </c>
      <c r="F33" s="88">
        <f t="array" ref="F33">SUM(IF(A33=KHC,TH))</f>
        <v>8677221539</v>
      </c>
      <c r="G33" s="48">
        <f t="shared" si="1"/>
        <v>0</v>
      </c>
      <c r="H33" s="48">
        <f t="shared" si="2"/>
        <v>1596847431</v>
      </c>
    </row>
    <row r="34" spans="1:9" s="32" customFormat="1">
      <c r="A34" s="49" t="s">
        <v>112</v>
      </c>
      <c r="B34" s="42" t="s">
        <v>113</v>
      </c>
      <c r="C34" s="43">
        <v>0</v>
      </c>
      <c r="D34" s="43">
        <v>0</v>
      </c>
      <c r="E34" s="43">
        <f t="array" ref="E34">SUM(IF(A34=KHN,TH))</f>
        <v>0</v>
      </c>
      <c r="F34" s="43">
        <f t="array" ref="F34">SUM(IF(A34=KHC,TH))</f>
        <v>0</v>
      </c>
      <c r="G34" s="43">
        <f t="shared" si="1"/>
        <v>0</v>
      </c>
      <c r="H34" s="43">
        <f t="shared" si="2"/>
        <v>0</v>
      </c>
      <c r="I34" s="32">
        <f>E34-F34</f>
        <v>0</v>
      </c>
    </row>
    <row r="35" spans="1:9" s="32" customFormat="1">
      <c r="A35" s="52" t="s">
        <v>114</v>
      </c>
      <c r="B35" s="53" t="s">
        <v>115</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116</v>
      </c>
      <c r="C36" s="43">
        <v>0</v>
      </c>
      <c r="D36" s="43">
        <v>0</v>
      </c>
      <c r="E36" s="43">
        <f>E35</f>
        <v>1500000</v>
      </c>
      <c r="F36" s="43">
        <f>F35</f>
        <v>1500000</v>
      </c>
      <c r="G36" s="43">
        <f>G35</f>
        <v>0</v>
      </c>
      <c r="H36" s="43">
        <f>H35</f>
        <v>0</v>
      </c>
      <c r="I36" s="32">
        <f>E36-F36</f>
        <v>0</v>
      </c>
    </row>
    <row r="37" spans="1:9" s="32" customFormat="1">
      <c r="A37" s="46" t="s">
        <v>117</v>
      </c>
      <c r="B37" s="47" t="s">
        <v>118</v>
      </c>
      <c r="C37" s="48">
        <v>0</v>
      </c>
      <c r="D37" s="48">
        <v>0</v>
      </c>
      <c r="E37" s="48">
        <f>E34+E36</f>
        <v>1500000</v>
      </c>
      <c r="F37" s="48">
        <f>F34+F36</f>
        <v>1500000</v>
      </c>
      <c r="G37" s="48">
        <f>G34+G36</f>
        <v>0</v>
      </c>
      <c r="H37" s="48">
        <f>H34+H36</f>
        <v>0</v>
      </c>
      <c r="I37" s="32">
        <f>E37-F37</f>
        <v>0</v>
      </c>
    </row>
    <row r="38" spans="1:9" s="32" customFormat="1">
      <c r="A38" s="49" t="s">
        <v>24</v>
      </c>
      <c r="B38" s="42" t="s">
        <v>119</v>
      </c>
      <c r="C38" s="43">
        <v>0</v>
      </c>
      <c r="D38" s="43">
        <v>5000000000</v>
      </c>
      <c r="E38" s="43">
        <f t="array" ref="E38">SUM(IF(A38=KHN,TH))</f>
        <v>0</v>
      </c>
      <c r="F38" s="43">
        <f t="array" ref="F38">SUM(IF(A38=KHC,TH))</f>
        <v>2000000000</v>
      </c>
      <c r="G38" s="43">
        <f>MAX(C38+E38-D38-F38,0)</f>
        <v>0</v>
      </c>
      <c r="H38" s="43">
        <f>MAX(D38+F38-E38-C38,0)</f>
        <v>7000000000</v>
      </c>
    </row>
    <row r="39" spans="1:9" s="32" customFormat="1">
      <c r="A39" s="46" t="s">
        <v>120</v>
      </c>
      <c r="B39" s="47" t="s">
        <v>121</v>
      </c>
      <c r="C39" s="48">
        <v>0</v>
      </c>
      <c r="D39" s="48">
        <v>5000000000</v>
      </c>
      <c r="E39" s="48">
        <f>E38</f>
        <v>0</v>
      </c>
      <c r="F39" s="48">
        <f>F38</f>
        <v>2000000000</v>
      </c>
      <c r="G39" s="48">
        <f>G38</f>
        <v>0</v>
      </c>
      <c r="H39" s="48">
        <f>H38</f>
        <v>7000000000</v>
      </c>
    </row>
    <row r="40" spans="1:9" s="32" customFormat="1">
      <c r="A40" s="41" t="s">
        <v>122</v>
      </c>
      <c r="B40" s="42" t="s">
        <v>453</v>
      </c>
      <c r="C40" s="43">
        <v>0</v>
      </c>
      <c r="D40" s="43">
        <v>20000000000</v>
      </c>
      <c r="E40" s="43">
        <f>SUM(IF(A40=KHN,TH))</f>
        <v>0</v>
      </c>
      <c r="F40" s="43">
        <f t="array" ref="F40">SUM(IF(A40=KHC,TH))</f>
        <v>1961520000</v>
      </c>
      <c r="G40" s="44">
        <f>MAX(C40+E40-D40-F40,0)</f>
        <v>0</v>
      </c>
      <c r="H40" s="44">
        <f>MAX(D40+F40-E40-C40,0)</f>
        <v>21961520000</v>
      </c>
    </row>
    <row r="41" spans="1:9" s="32" customFormat="1">
      <c r="A41" s="41" t="s">
        <v>452</v>
      </c>
      <c r="B41" s="42" t="s">
        <v>454</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123</v>
      </c>
      <c r="C42" s="48">
        <f t="shared" ref="C42:H42" si="3">SUM(C40:C41)</f>
        <v>0</v>
      </c>
      <c r="D42" s="48">
        <f t="shared" si="3"/>
        <v>21982640000</v>
      </c>
      <c r="E42" s="48">
        <f t="shared" si="3"/>
        <v>0</v>
      </c>
      <c r="F42" s="48">
        <f t="shared" si="3"/>
        <v>1961520000</v>
      </c>
      <c r="G42" s="48">
        <f t="shared" si="3"/>
        <v>0</v>
      </c>
      <c r="H42" s="48">
        <f t="shared" si="3"/>
        <v>23944160000</v>
      </c>
    </row>
    <row r="43" spans="1:9" s="32" customFormat="1">
      <c r="A43" s="49" t="s">
        <v>32</v>
      </c>
      <c r="B43" s="42" t="s">
        <v>124</v>
      </c>
      <c r="C43" s="43">
        <v>0</v>
      </c>
      <c r="D43" s="43">
        <v>4000000000</v>
      </c>
      <c r="E43" s="43">
        <f t="array" ref="E43">SUM(IF(A43=KHN,TH))</f>
        <v>0</v>
      </c>
      <c r="F43" s="43">
        <f t="array" ref="F43">SUM(IF(A43=KHC,TH))</f>
        <v>0</v>
      </c>
      <c r="G43" s="44">
        <f>MAX(C43+E43-D43-F43,0)</f>
        <v>0</v>
      </c>
      <c r="H43" s="44">
        <f>MAX(D43+F43-E43-C43,0)</f>
        <v>4000000000</v>
      </c>
    </row>
    <row r="44" spans="1:9" s="32" customFormat="1">
      <c r="A44" s="46" t="s">
        <v>125</v>
      </c>
      <c r="B44" s="47" t="s">
        <v>126</v>
      </c>
      <c r="C44" s="48">
        <v>0</v>
      </c>
      <c r="D44" s="48">
        <v>4000000000</v>
      </c>
      <c r="E44" s="48">
        <f>E43</f>
        <v>0</v>
      </c>
      <c r="F44" s="48">
        <f>F43</f>
        <v>0</v>
      </c>
      <c r="G44" s="48">
        <f>MAX(C44+E44-D44-F44,0)</f>
        <v>0</v>
      </c>
      <c r="H44" s="48">
        <f>MAX(D44+F44-E44-C44,0)</f>
        <v>4000000000</v>
      </c>
    </row>
    <row r="45" spans="1:9" s="32" customFormat="1">
      <c r="A45" s="41" t="s">
        <v>127</v>
      </c>
      <c r="B45" s="42" t="s">
        <v>128</v>
      </c>
      <c r="C45" s="43">
        <v>223589505</v>
      </c>
      <c r="D45" s="43">
        <v>0</v>
      </c>
      <c r="E45" s="43">
        <f t="array" ref="E45">SUM(IF(A45=KHN,TH))</f>
        <v>0</v>
      </c>
      <c r="F45" s="43">
        <f t="array" ref="F45">SUM(IF(A45=KHC,TH))</f>
        <v>223589505</v>
      </c>
      <c r="G45" s="44">
        <f>MAX(C45+E45-D45-F45,0)</f>
        <v>0</v>
      </c>
      <c r="H45" s="44">
        <f>MAX(D45+F45-E45-C45,0)</f>
        <v>0</v>
      </c>
    </row>
    <row r="46" spans="1:9" s="32" customFormat="1">
      <c r="A46" s="49" t="s">
        <v>129</v>
      </c>
      <c r="B46" s="42" t="s">
        <v>130</v>
      </c>
      <c r="C46" s="43">
        <v>359476733</v>
      </c>
      <c r="D46" s="43">
        <v>0</v>
      </c>
      <c r="E46" s="43">
        <f t="array" ref="E46">SUM(IF(A46=TH!$N$10:$N$808,TH!$M$10:$M$808))</f>
        <v>762761895</v>
      </c>
      <c r="F46" s="43">
        <f t="array" ref="F46">SUM(IF(A46=TH!$O$10:$O$808,TH!$M$10:$M$808))</f>
        <v>0</v>
      </c>
      <c r="G46" s="43">
        <f>MAX(C46+E46-D46-F46,0)</f>
        <v>1122238628</v>
      </c>
      <c r="H46" s="43">
        <f>MAX(D46+F46-E46-C46,0)</f>
        <v>0</v>
      </c>
    </row>
    <row r="47" spans="1:9" s="32" customFormat="1">
      <c r="A47" s="46" t="s">
        <v>131</v>
      </c>
      <c r="B47" s="47" t="s">
        <v>132</v>
      </c>
      <c r="C47" s="48">
        <v>583066238</v>
      </c>
      <c r="D47" s="48">
        <v>0</v>
      </c>
      <c r="E47" s="48">
        <f>E46+E45</f>
        <v>762761895</v>
      </c>
      <c r="F47" s="48">
        <f>F46+F45</f>
        <v>223589505</v>
      </c>
      <c r="G47" s="48">
        <f>G46+G45</f>
        <v>1122238628</v>
      </c>
      <c r="H47" s="48">
        <f>H46+H45</f>
        <v>0</v>
      </c>
    </row>
    <row r="48" spans="1:9" s="32" customFormat="1" ht="12.75" customHeight="1">
      <c r="A48" s="533" t="s">
        <v>494</v>
      </c>
      <c r="B48" s="534" t="s">
        <v>495</v>
      </c>
      <c r="C48" s="535"/>
      <c r="D48" s="535"/>
      <c r="E48" s="536">
        <f t="array" ref="E48">SUM(IF(A48=KHN,TH))</f>
        <v>0</v>
      </c>
      <c r="F48" s="536">
        <f t="array" ref="F48">SUM(IF(A48=KHC,TH))</f>
        <v>0</v>
      </c>
      <c r="G48" s="535"/>
      <c r="H48" s="535"/>
      <c r="I48" s="32">
        <f>E48-F48</f>
        <v>0</v>
      </c>
    </row>
    <row r="49" spans="1:9" s="32" customFormat="1">
      <c r="A49" s="533" t="s">
        <v>496</v>
      </c>
      <c r="B49" s="534" t="s">
        <v>497</v>
      </c>
      <c r="C49" s="535"/>
      <c r="D49" s="535"/>
      <c r="E49" s="536">
        <f t="array" ref="E49">SUM(IF(A49=KHN,TH))</f>
        <v>0</v>
      </c>
      <c r="F49" s="536">
        <f t="array" ref="F49">SUM(IF(A49=KHC,TH))</f>
        <v>0</v>
      </c>
      <c r="G49" s="535"/>
      <c r="H49" s="535"/>
      <c r="I49" s="32">
        <f>E49-F49</f>
        <v>0</v>
      </c>
    </row>
    <row r="50" spans="1:9" s="32" customFormat="1">
      <c r="A50" s="41" t="s">
        <v>498</v>
      </c>
      <c r="B50" s="42" t="s">
        <v>499</v>
      </c>
      <c r="C50" s="43"/>
      <c r="D50" s="43"/>
      <c r="E50" s="43">
        <f>E48+E49</f>
        <v>0</v>
      </c>
      <c r="F50" s="43">
        <f>F48+F49</f>
        <v>0</v>
      </c>
      <c r="G50" s="43"/>
      <c r="H50" s="43"/>
      <c r="I50" s="32">
        <f>E50-F50</f>
        <v>0</v>
      </c>
    </row>
    <row r="51" spans="1:9" s="32" customFormat="1">
      <c r="A51" s="46" t="s">
        <v>500</v>
      </c>
      <c r="B51" s="47" t="s">
        <v>501</v>
      </c>
      <c r="C51" s="48"/>
      <c r="D51" s="48"/>
      <c r="E51" s="48">
        <f>E50</f>
        <v>0</v>
      </c>
      <c r="F51" s="48">
        <f>F50</f>
        <v>0</v>
      </c>
      <c r="G51" s="48"/>
      <c r="H51" s="48"/>
      <c r="I51" s="32">
        <f>E51-F51</f>
        <v>0</v>
      </c>
    </row>
    <row r="52" spans="1:9" s="32" customFormat="1">
      <c r="A52" s="46" t="s">
        <v>59</v>
      </c>
      <c r="B52" s="47" t="s">
        <v>133</v>
      </c>
      <c r="C52" s="48"/>
      <c r="D52" s="48"/>
      <c r="E52" s="88">
        <f t="array" ref="E52">SUM(IF(A52=KHN,TH))</f>
        <v>19978278</v>
      </c>
      <c r="F52" s="88">
        <f t="array" ref="F52">SUM(IF(A52=KHC,TH))</f>
        <v>19978278</v>
      </c>
      <c r="G52" s="48"/>
      <c r="H52" s="48"/>
      <c r="I52" s="32">
        <f t="shared" ref="I52:I59" si="4">E52-F52</f>
        <v>0</v>
      </c>
    </row>
    <row r="53" spans="1:9" s="32" customFormat="1" ht="12.75" customHeight="1">
      <c r="A53" s="46" t="s">
        <v>492</v>
      </c>
      <c r="B53" s="47" t="s">
        <v>493</v>
      </c>
      <c r="C53" s="48"/>
      <c r="D53" s="48"/>
      <c r="E53" s="88">
        <f t="array" ref="E53">SUM(IF(A53=KHN,TH))</f>
        <v>0</v>
      </c>
      <c r="F53" s="88">
        <f t="array" ref="F53">SUM(IF(A53=KHC,TH))</f>
        <v>0</v>
      </c>
      <c r="G53" s="48"/>
      <c r="H53" s="48"/>
      <c r="I53" s="32">
        <f t="shared" si="4"/>
        <v>0</v>
      </c>
    </row>
    <row r="54" spans="1:9" s="32" customFormat="1" ht="12.75" customHeight="1">
      <c r="A54" s="46" t="s">
        <v>134</v>
      </c>
      <c r="B54" s="47" t="s">
        <v>135</v>
      </c>
      <c r="C54" s="48"/>
      <c r="D54" s="48"/>
      <c r="E54" s="88">
        <f t="array" ref="E54">SUM(IF(A54=KHN,TH))</f>
        <v>1005486220</v>
      </c>
      <c r="F54" s="88">
        <f t="array" ref="F54">SUM(IF(A54=KHC,TH))</f>
        <v>1005486220</v>
      </c>
      <c r="G54" s="48"/>
      <c r="H54" s="48"/>
      <c r="I54" s="32">
        <f t="shared" si="4"/>
        <v>0</v>
      </c>
    </row>
    <row r="55" spans="1:9" s="32" customFormat="1" ht="12.75" customHeight="1">
      <c r="A55" s="46" t="s">
        <v>136</v>
      </c>
      <c r="B55" s="47" t="s">
        <v>137</v>
      </c>
      <c r="C55" s="48"/>
      <c r="D55" s="48"/>
      <c r="E55" s="88">
        <f t="array" ref="E55">SUM(IF(A55=KHN,TH))</f>
        <v>559150668</v>
      </c>
      <c r="F55" s="88">
        <f t="array" ref="F55">SUM(IF(A55=KHC,TH))</f>
        <v>559150668</v>
      </c>
      <c r="G55" s="48"/>
      <c r="H55" s="48"/>
      <c r="I55" s="32">
        <f t="shared" si="4"/>
        <v>0</v>
      </c>
    </row>
    <row r="56" spans="1:9" s="32" customFormat="1" ht="12.75" customHeight="1">
      <c r="A56" s="50" t="s">
        <v>138</v>
      </c>
      <c r="B56" s="47" t="s">
        <v>139</v>
      </c>
      <c r="C56" s="48"/>
      <c r="D56" s="48"/>
      <c r="E56" s="88">
        <f t="array" ref="E56">SUM(IF(A56=KHN,TH))</f>
        <v>0</v>
      </c>
      <c r="F56" s="88">
        <f t="array" ref="F56">SUM(IF(A56=KHC,TH))</f>
        <v>0</v>
      </c>
      <c r="G56" s="48"/>
      <c r="H56" s="48"/>
      <c r="I56" s="32">
        <f t="shared" si="4"/>
        <v>0</v>
      </c>
    </row>
    <row r="57" spans="1:9" s="32" customFormat="1" ht="12.75" customHeight="1">
      <c r="A57" s="46" t="s">
        <v>140</v>
      </c>
      <c r="B57" s="47" t="s">
        <v>141</v>
      </c>
      <c r="C57" s="48"/>
      <c r="D57" s="48"/>
      <c r="E57" s="88">
        <f t="array" ref="E57">SUM(IF(A57=KHN,TH))</f>
        <v>0</v>
      </c>
      <c r="F57" s="88">
        <f t="array" ref="F57">SUM(IF(A57=KHC,TH))</f>
        <v>0</v>
      </c>
      <c r="G57" s="48"/>
      <c r="H57" s="48"/>
      <c r="I57" s="32">
        <f t="shared" si="4"/>
        <v>0</v>
      </c>
    </row>
    <row r="58" spans="1:9" s="32" customFormat="1" ht="12.75" customHeight="1">
      <c r="A58" s="50" t="s">
        <v>142</v>
      </c>
      <c r="B58" s="47" t="s">
        <v>143</v>
      </c>
      <c r="C58" s="48"/>
      <c r="D58" s="48"/>
      <c r="E58" s="88">
        <f t="array" ref="E58">SUM(IF(A58=KHN,TH))</f>
        <v>0</v>
      </c>
      <c r="F58" s="88">
        <f t="array" ref="F58">SUM(IF(A58=KHC,TH))</f>
        <v>0</v>
      </c>
      <c r="G58" s="48"/>
      <c r="H58" s="48"/>
      <c r="I58" s="32">
        <f t="shared" si="4"/>
        <v>0</v>
      </c>
    </row>
    <row r="59" spans="1:9" s="32" customFormat="1">
      <c r="A59" s="46" t="s">
        <v>144</v>
      </c>
      <c r="B59" s="47" t="s">
        <v>145</v>
      </c>
      <c r="C59" s="48"/>
      <c r="D59" s="48"/>
      <c r="E59" s="89">
        <f t="array" ref="E59">SUM(IF(A59=KHN,TH))</f>
        <v>559150668</v>
      </c>
      <c r="F59" s="89">
        <f t="array" ref="F59">SUM(IF(A59=TH!$O$10:$O$808,TH!$M$10:$M$808))</f>
        <v>559150668</v>
      </c>
      <c r="G59" s="48"/>
      <c r="H59" s="48"/>
      <c r="I59" s="32">
        <f t="shared" si="4"/>
        <v>0</v>
      </c>
    </row>
    <row r="60" spans="1:9" s="32" customFormat="1">
      <c r="A60" s="54" t="s">
        <v>146</v>
      </c>
      <c r="B60" s="54"/>
      <c r="C60" s="54">
        <f>C11+C14+C15+C17+C19+C20+C23+C24+C25+C26+C30+C32+C33+C37+C39+C42+C44+C47+C51+C52+C53+C54+C55+C56+C57+C58+C59</f>
        <v>30982640000</v>
      </c>
      <c r="D60" s="54">
        <f t="shared" ref="D60:G60" si="5">D11+D14+D15+D17+D19+D20+D23+D24+D25+D26+D30+D32+D33+D37+D39+D42+D44+D47+D51+D52+D53+D54+D55+D56+D57+D58+D59</f>
        <v>30982640000</v>
      </c>
      <c r="E60" s="54">
        <f t="shared" si="5"/>
        <v>30629033899</v>
      </c>
      <c r="F60" s="54">
        <f t="shared" si="5"/>
        <v>32611673899</v>
      </c>
      <c r="G60" s="54">
        <f t="shared" si="5"/>
        <v>34558367431</v>
      </c>
      <c r="H60" s="54">
        <f>H11+H14+H15+H17+H19+H20+H23+H24+H25+H26+H30+H32+H33+H37+H39+H42+H44+H47+H51+H52+H53+H54+H55+H56+H57+H58+H59</f>
        <v>36541007431</v>
      </c>
    </row>
    <row r="61" spans="1:9">
      <c r="E61" s="55"/>
      <c r="F61" s="56"/>
    </row>
    <row r="62" spans="1:9">
      <c r="E62" s="56">
        <f>E60-F60</f>
        <v>-1982640000</v>
      </c>
      <c r="H62" s="56">
        <f>G60-H60</f>
        <v>-1982640000</v>
      </c>
    </row>
    <row r="63" spans="1:9">
      <c r="E63" s="57"/>
      <c r="F63" s="57"/>
    </row>
    <row r="64" spans="1:9">
      <c r="E64" s="57"/>
      <c r="F64"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H808"/>
  <sheetViews>
    <sheetView topLeftCell="A7" workbookViewId="0">
      <pane xSplit="8" ySplit="3" topLeftCell="I384" activePane="bottomRight" state="frozen"/>
      <selection activeCell="A7" sqref="A7"/>
      <selection pane="topRight" activeCell="I7" sqref="I7"/>
      <selection pane="bottomLeft" activeCell="A10" sqref="A10"/>
      <selection pane="bottomRight" activeCell="C17" sqref="C17:O407"/>
    </sheetView>
  </sheetViews>
  <sheetFormatPr defaultRowHeight="12.75"/>
  <cols>
    <col min="1" max="1" width="4.5703125" style="399" customWidth="1"/>
    <col min="2" max="2" width="4.85546875" style="387" customWidth="1"/>
    <col min="3" max="3" width="9.140625" style="387" customWidth="1"/>
    <col min="4" max="4" width="6.85546875" style="387" customWidth="1"/>
    <col min="5" max="5" width="9.140625" style="387" customWidth="1"/>
    <col min="6" max="6" width="33.7109375" style="387" customWidth="1"/>
    <col min="7" max="7" width="10" style="412" customWidth="1"/>
    <col min="8" max="8" width="41.42578125" style="413" customWidth="1"/>
    <col min="9" max="10" width="7.7109375" style="413" customWidth="1"/>
    <col min="11" max="11" width="8.85546875" style="413" customWidth="1"/>
    <col min="12" max="12" width="7.28515625" style="413" customWidth="1"/>
    <col min="13" max="13" width="13.140625" style="387" customWidth="1"/>
    <col min="14" max="15" width="7" style="387" customWidth="1"/>
    <col min="16" max="16" width="3.5703125" style="387" hidden="1" customWidth="1"/>
    <col min="17" max="22" width="2.7109375" style="387" hidden="1" customWidth="1"/>
    <col min="23" max="23" width="3.5703125" style="387" hidden="1" customWidth="1"/>
    <col min="24" max="26" width="2.7109375" style="387" hidden="1" customWidth="1"/>
    <col min="27" max="28" width="3.28515625" style="387" hidden="1" customWidth="1"/>
    <col min="29" max="29" width="4.140625" style="387" hidden="1" customWidth="1"/>
    <col min="30" max="33" width="2.7109375" style="387" hidden="1" customWidth="1"/>
    <col min="34" max="34" width="9.140625" style="387" hidden="1" customWidth="1"/>
    <col min="35" max="16384" width="9.140625" style="387"/>
  </cols>
  <sheetData>
    <row r="1" spans="1:33">
      <c r="B1" s="58"/>
      <c r="C1" s="58" t="s">
        <v>157</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58" t="s">
        <v>147</v>
      </c>
      <c r="D4" s="1058"/>
      <c r="E4" s="1058"/>
      <c r="F4" s="1058"/>
      <c r="G4" s="1058"/>
      <c r="H4" s="1058"/>
      <c r="I4" s="1058"/>
      <c r="J4" s="1058"/>
      <c r="K4" s="1058"/>
      <c r="L4" s="1058"/>
      <c r="M4" s="1058"/>
      <c r="N4" s="1058"/>
      <c r="O4" s="1058"/>
    </row>
    <row r="5" spans="1:33" ht="14.25">
      <c r="B5" s="72"/>
      <c r="C5" s="1059"/>
      <c r="D5" s="1059"/>
      <c r="E5" s="1059"/>
      <c r="F5" s="1059"/>
      <c r="G5" s="1059"/>
      <c r="H5" s="1059"/>
      <c r="I5" s="1059"/>
      <c r="J5" s="1059"/>
      <c r="K5" s="1059"/>
      <c r="L5" s="1059"/>
      <c r="M5" s="1059"/>
      <c r="N5" s="1059"/>
      <c r="O5" s="1059"/>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6" t="s">
        <v>217</v>
      </c>
      <c r="B7" s="1068" t="s">
        <v>159</v>
      </c>
      <c r="C7" s="1060" t="s">
        <v>27</v>
      </c>
      <c r="D7" s="1061" t="s">
        <v>1</v>
      </c>
      <c r="E7" s="1062"/>
      <c r="F7" s="1060" t="s">
        <v>0</v>
      </c>
      <c r="G7" s="1064" t="s">
        <v>215</v>
      </c>
      <c r="H7" s="1070" t="s">
        <v>84</v>
      </c>
      <c r="I7" s="1077" t="s">
        <v>755</v>
      </c>
      <c r="J7" s="1078"/>
      <c r="K7" s="1060" t="s">
        <v>463</v>
      </c>
      <c r="L7" s="1060"/>
      <c r="M7" s="1060" t="s">
        <v>462</v>
      </c>
      <c r="N7" s="1063" t="s">
        <v>149</v>
      </c>
      <c r="O7" s="1063"/>
      <c r="P7" s="1075" t="s">
        <v>9</v>
      </c>
      <c r="Q7" s="1052" t="s">
        <v>98</v>
      </c>
      <c r="R7" s="1053"/>
      <c r="S7" s="1054"/>
      <c r="T7" s="1052" t="s">
        <v>102</v>
      </c>
      <c r="U7" s="1053"/>
      <c r="V7" s="1054"/>
      <c r="W7" s="1075" t="s">
        <v>784</v>
      </c>
      <c r="X7" s="1052" t="s">
        <v>10</v>
      </c>
      <c r="Y7" s="1053"/>
      <c r="Z7" s="1054"/>
      <c r="AA7" s="1075" t="s">
        <v>57</v>
      </c>
      <c r="AB7" s="1073" t="str">
        <f>CTTK!$E$7</f>
        <v>1388</v>
      </c>
      <c r="AC7" s="1071" t="s">
        <v>319</v>
      </c>
      <c r="AD7" s="1052" t="s">
        <v>476</v>
      </c>
      <c r="AE7" s="1053"/>
      <c r="AF7" s="1053"/>
      <c r="AG7" s="1054"/>
    </row>
    <row r="8" spans="1:33" ht="24.75" customHeight="1">
      <c r="A8" s="1067"/>
      <c r="B8" s="1069"/>
      <c r="C8" s="1060"/>
      <c r="D8" s="396" t="s">
        <v>20</v>
      </c>
      <c r="E8" s="395" t="s">
        <v>39</v>
      </c>
      <c r="F8" s="1060"/>
      <c r="G8" s="1065"/>
      <c r="H8" s="1070"/>
      <c r="I8" s="523" t="s">
        <v>645</v>
      </c>
      <c r="J8" s="523" t="s">
        <v>646</v>
      </c>
      <c r="K8" s="502" t="s">
        <v>469</v>
      </c>
      <c r="L8" s="502" t="s">
        <v>467</v>
      </c>
      <c r="M8" s="1060"/>
      <c r="N8" s="397" t="s">
        <v>29</v>
      </c>
      <c r="O8" s="397" t="s">
        <v>30</v>
      </c>
      <c r="P8" s="1076"/>
      <c r="Q8" s="1055"/>
      <c r="R8" s="1056"/>
      <c r="S8" s="1057"/>
      <c r="T8" s="1055"/>
      <c r="U8" s="1056"/>
      <c r="V8" s="1057"/>
      <c r="W8" s="1076"/>
      <c r="X8" s="1055"/>
      <c r="Y8" s="1056"/>
      <c r="Z8" s="1057"/>
      <c r="AA8" s="1076"/>
      <c r="AB8" s="1074"/>
      <c r="AC8" s="1072"/>
      <c r="AD8" s="1055"/>
      <c r="AE8" s="1056"/>
      <c r="AF8" s="1056"/>
      <c r="AG8" s="1057"/>
    </row>
    <row r="9" spans="1:33">
      <c r="A9" s="400">
        <v>1</v>
      </c>
      <c r="B9" s="401">
        <v>2</v>
      </c>
      <c r="C9" s="401">
        <v>3</v>
      </c>
      <c r="D9" s="401">
        <v>4</v>
      </c>
      <c r="E9" s="401">
        <v>5</v>
      </c>
      <c r="F9" s="401">
        <v>6</v>
      </c>
      <c r="G9" s="402">
        <v>7</v>
      </c>
      <c r="H9" s="401">
        <v>8</v>
      </c>
      <c r="I9" s="402">
        <v>9</v>
      </c>
      <c r="J9" s="401">
        <v>10</v>
      </c>
      <c r="K9" s="402">
        <v>11</v>
      </c>
      <c r="L9" s="401">
        <v>12</v>
      </c>
      <c r="M9" s="402">
        <v>13</v>
      </c>
      <c r="N9" s="401">
        <v>14</v>
      </c>
      <c r="O9" s="402">
        <v>15</v>
      </c>
      <c r="P9" s="401">
        <v>16</v>
      </c>
      <c r="Q9" s="402">
        <v>17</v>
      </c>
      <c r="R9" s="401">
        <v>18</v>
      </c>
      <c r="S9" s="402">
        <v>19</v>
      </c>
      <c r="T9" s="401">
        <v>20</v>
      </c>
      <c r="U9" s="402">
        <v>21</v>
      </c>
      <c r="V9" s="401">
        <v>22</v>
      </c>
      <c r="W9" s="401"/>
      <c r="X9" s="402">
        <v>23</v>
      </c>
      <c r="Y9" s="401">
        <v>24</v>
      </c>
      <c r="Z9" s="402">
        <v>25</v>
      </c>
      <c r="AA9" s="401">
        <v>26</v>
      </c>
      <c r="AB9" s="402">
        <v>27</v>
      </c>
      <c r="AC9" s="401">
        <v>24</v>
      </c>
      <c r="AD9" s="401">
        <v>19</v>
      </c>
      <c r="AE9" s="401">
        <v>20</v>
      </c>
      <c r="AF9" s="401"/>
      <c r="AG9" s="401">
        <v>21</v>
      </c>
    </row>
    <row r="10" spans="1:33" s="403" customFormat="1" ht="15.75" customHeight="1">
      <c r="A10" s="398" t="str">
        <f>IF(B10&lt;&gt;"",IF(AND(B10&gt;=_TM1,B10&lt;=_TM2,OR(TH!N10="1111",TH!O10="1111")),TH!D10,""),"")</f>
        <v/>
      </c>
      <c r="B10" s="63">
        <f t="shared" ref="B10:B15" si="0">IF(C10&lt;&gt;"",MONTH(C10),"")</f>
        <v>12</v>
      </c>
      <c r="C10" s="82">
        <v>42369</v>
      </c>
      <c r="D10" s="82" t="s">
        <v>150</v>
      </c>
      <c r="E10" s="82">
        <v>42369</v>
      </c>
      <c r="F10" s="83" t="s">
        <v>153</v>
      </c>
      <c r="G10" s="376"/>
      <c r="H10" s="84"/>
      <c r="I10" s="513"/>
      <c r="J10" s="513"/>
      <c r="K10" s="505"/>
      <c r="L10" s="513"/>
      <c r="M10" s="85">
        <f>MAX(SUMIF(KHN,"911",TH)-SUMIF(KHC,"911",TH),SUMIF(KHC,"911",TH)-SUMIF(KHN,"911",TH))</f>
        <v>539172390</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3" customFormat="1" ht="15.75" customHeight="1">
      <c r="A11" s="398" t="str">
        <f>IF(B11&lt;&gt;"",IF(AND(B11&gt;=_TM1,B11&lt;=_TM2,OR(TH!N11="1111",TH!O11="1111")),TH!D11,""),"")</f>
        <v/>
      </c>
      <c r="B11" s="63">
        <f t="shared" si="0"/>
        <v>12</v>
      </c>
      <c r="C11" s="82">
        <v>42369</v>
      </c>
      <c r="D11" s="82" t="s">
        <v>150</v>
      </c>
      <c r="E11" s="82">
        <v>42369</v>
      </c>
      <c r="F11" s="83" t="s">
        <v>151</v>
      </c>
      <c r="G11" s="376"/>
      <c r="H11" s="84"/>
      <c r="I11" s="513"/>
      <c r="J11" s="513"/>
      <c r="K11" s="505"/>
      <c r="L11" s="513"/>
      <c r="M11" s="85">
        <f>SUMIF(KHN,O11,TH)</f>
        <v>1005486220</v>
      </c>
      <c r="N11" s="90"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3" customFormat="1" ht="15.75" customHeight="1">
      <c r="A12" s="398" t="str">
        <f>IF(B12&lt;&gt;"",IF(AND(B12&gt;=_TM1,B12&lt;=_TM2,OR(TH!N12="1111",TH!O12="1111")),TH!D12,""),"")</f>
        <v/>
      </c>
      <c r="B12" s="63">
        <f t="shared" si="0"/>
        <v>12</v>
      </c>
      <c r="C12" s="82">
        <v>42369</v>
      </c>
      <c r="D12" s="82" t="s">
        <v>150</v>
      </c>
      <c r="E12" s="82">
        <v>42369</v>
      </c>
      <c r="F12" s="83" t="s">
        <v>152</v>
      </c>
      <c r="G12" s="376"/>
      <c r="H12" s="84"/>
      <c r="I12" s="513"/>
      <c r="J12" s="513"/>
      <c r="K12" s="505"/>
      <c r="L12" s="513"/>
      <c r="M12" s="85">
        <f>SUMIF(KHN,O12,TH)</f>
        <v>559150668</v>
      </c>
      <c r="N12" s="90"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3" customFormat="1" ht="15.75" customHeight="1">
      <c r="A13" s="398" t="str">
        <f>IF(B13&lt;&gt;"",IF(AND(B13&gt;=_TM1,B13&lt;=_TM2,OR(TH!N13="1111",TH!O13="1111")),TH!D13,""),"")</f>
        <v/>
      </c>
      <c r="B13" s="63">
        <f t="shared" si="0"/>
        <v>12</v>
      </c>
      <c r="C13" s="82">
        <v>42369</v>
      </c>
      <c r="D13" s="82" t="s">
        <v>150</v>
      </c>
      <c r="E13" s="82">
        <v>42369</v>
      </c>
      <c r="F13" s="83" t="s">
        <v>154</v>
      </c>
      <c r="G13" s="376"/>
      <c r="H13" s="91"/>
      <c r="I13" s="514"/>
      <c r="J13" s="514"/>
      <c r="K13" s="506"/>
      <c r="L13" s="514"/>
      <c r="M13" s="85">
        <f>SUMIF(KHC,N13,TH)</f>
        <v>19978278</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3" customFormat="1" ht="15.75" customHeight="1">
      <c r="A14" s="398" t="str">
        <f>IF(B14&lt;&gt;"",IF(AND(B14&gt;=_TM1,B14&lt;=_TM2,OR(TH!N14="1111",TH!O14="1111")),TH!D14,""),"")</f>
        <v/>
      </c>
      <c r="B14" s="63">
        <f t="shared" si="0"/>
        <v>12</v>
      </c>
      <c r="C14" s="82">
        <v>42369</v>
      </c>
      <c r="D14" s="82" t="s">
        <v>150</v>
      </c>
      <c r="E14" s="82">
        <v>42369</v>
      </c>
      <c r="F14" s="83" t="s">
        <v>155</v>
      </c>
      <c r="G14" s="376"/>
      <c r="H14" s="84"/>
      <c r="I14" s="513"/>
      <c r="J14" s="513"/>
      <c r="K14" s="505"/>
      <c r="L14" s="513"/>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3" customFormat="1" ht="15.75" customHeight="1">
      <c r="A15" s="398" t="str">
        <f>IF(B15&lt;&gt;"",IF(AND(B15&gt;=_TM1,B15&lt;=_TM2,OR(TH!N15="1111",TH!O15="1111")),TH!D15,""),"")</f>
        <v/>
      </c>
      <c r="B15" s="63">
        <f t="shared" si="0"/>
        <v>12</v>
      </c>
      <c r="C15" s="82">
        <v>42369</v>
      </c>
      <c r="D15" s="82" t="s">
        <v>150</v>
      </c>
      <c r="E15" s="82">
        <v>42369</v>
      </c>
      <c r="F15" s="83" t="s">
        <v>156</v>
      </c>
      <c r="G15" s="376"/>
      <c r="H15" s="84"/>
      <c r="I15" s="513"/>
      <c r="J15" s="513"/>
      <c r="K15" s="505"/>
      <c r="L15" s="513"/>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3" customFormat="1" ht="15.75" customHeight="1">
      <c r="A16" s="398" t="str">
        <f>IF(B16&lt;&gt;"",IF(AND(B16&gt;=_TM1,B16&lt;=_TM2,OR(TH!N16="1111",TH!O16="1111")),TH!D16,""),"")</f>
        <v/>
      </c>
      <c r="B16" s="63">
        <f t="shared" ref="B16:B82" si="1">IF(C16&lt;&gt;"",MONTH(C16),"")</f>
        <v>12</v>
      </c>
      <c r="C16" s="82">
        <v>42369</v>
      </c>
      <c r="D16" s="82" t="s">
        <v>150</v>
      </c>
      <c r="E16" s="82">
        <v>42369</v>
      </c>
      <c r="F16" s="83" t="s">
        <v>305</v>
      </c>
      <c r="G16" s="376"/>
      <c r="H16" s="84"/>
      <c r="I16" s="513"/>
      <c r="J16" s="513"/>
      <c r="K16" s="505"/>
      <c r="L16" s="513"/>
      <c r="M16" s="85">
        <f>CDPS!$C$45</f>
        <v>223589505</v>
      </c>
      <c r="N16" s="90"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3" s="1049" customFormat="1" ht="15.75" customHeight="1">
      <c r="A17" s="398" t="str">
        <f>IF(B17&lt;&gt;"",IF(AND(B17&gt;=_TM1,B17&lt;=_TM2,OR(TH!N17="1111",TH!O17="1111")),TH!D17,""),"")</f>
        <v/>
      </c>
      <c r="B17" s="63">
        <f t="shared" si="1"/>
        <v>1</v>
      </c>
      <c r="C17" s="404">
        <v>42370</v>
      </c>
      <c r="D17" s="64" t="s">
        <v>45</v>
      </c>
      <c r="E17" s="64">
        <v>42370</v>
      </c>
      <c r="F17" s="67" t="s">
        <v>316</v>
      </c>
      <c r="G17" s="361" t="s">
        <v>369</v>
      </c>
      <c r="H17" s="74" t="s">
        <v>317</v>
      </c>
      <c r="I17" s="515"/>
      <c r="J17" s="515"/>
      <c r="K17" s="507"/>
      <c r="L17" s="515"/>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row>
    <row r="18" spans="1:33" s="1049" customFormat="1" ht="15.75" customHeight="1">
      <c r="A18" s="398" t="str">
        <f>IF(B18&lt;&gt;"",IF(AND(B18&gt;=_TM1,B18&lt;=_TM2,OR(TH!N18="1111",TH!O18="1111")),TH!D18,""),"")</f>
        <v/>
      </c>
      <c r="B18" s="63">
        <f t="shared" si="1"/>
        <v>1</v>
      </c>
      <c r="C18" s="64">
        <v>42370</v>
      </c>
      <c r="D18" s="64" t="s">
        <v>45</v>
      </c>
      <c r="E18" s="64">
        <v>42370</v>
      </c>
      <c r="F18" s="67" t="s">
        <v>318</v>
      </c>
      <c r="G18" s="361" t="s">
        <v>369</v>
      </c>
      <c r="H18" s="74" t="s">
        <v>317</v>
      </c>
      <c r="I18" s="515"/>
      <c r="J18" s="515"/>
      <c r="K18" s="507"/>
      <c r="L18" s="515"/>
      <c r="M18" s="65">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5"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row>
    <row r="19" spans="1:33" s="1049" customFormat="1" ht="15.75" customHeight="1">
      <c r="A19" s="398" t="str">
        <f>IF(B19&lt;&gt;"",IF(AND(B19&gt;=_TM1,B19&lt;=_TM2,OR(TH!N19="1111",TH!O19="1111")),TH!D19,""),"")</f>
        <v/>
      </c>
      <c r="B19" s="63">
        <f t="shared" si="1"/>
        <v>1</v>
      </c>
      <c r="C19" s="64">
        <v>42371</v>
      </c>
      <c r="D19" s="64" t="s">
        <v>42</v>
      </c>
      <c r="E19" s="64">
        <v>42371</v>
      </c>
      <c r="F19" s="67" t="s">
        <v>370</v>
      </c>
      <c r="G19" s="361" t="s">
        <v>220</v>
      </c>
      <c r="H19" s="74" t="s">
        <v>184</v>
      </c>
      <c r="I19" s="515"/>
      <c r="J19" s="515"/>
      <c r="K19" s="507"/>
      <c r="L19" s="515"/>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row>
    <row r="20" spans="1:33" s="1049" customFormat="1" ht="15.75" customHeight="1">
      <c r="A20" s="398" t="str">
        <f>IF(B20&lt;&gt;"",IF(AND(B20&gt;=_TM1,B20&lt;=_TM2,OR(TH!N20="1111",TH!O20="1111")),TH!D20,""),"")</f>
        <v/>
      </c>
      <c r="B20" s="63">
        <f t="shared" si="1"/>
        <v>1</v>
      </c>
      <c r="C20" s="64">
        <v>42371</v>
      </c>
      <c r="D20" s="64" t="s">
        <v>42</v>
      </c>
      <c r="E20" s="64">
        <v>42371</v>
      </c>
      <c r="F20" s="67" t="s">
        <v>371</v>
      </c>
      <c r="G20" s="361" t="s">
        <v>220</v>
      </c>
      <c r="H20" s="74" t="s">
        <v>184</v>
      </c>
      <c r="I20" s="515"/>
      <c r="J20" s="515"/>
      <c r="K20" s="507"/>
      <c r="L20" s="515"/>
      <c r="M20" s="65">
        <v>450000</v>
      </c>
      <c r="N20" s="66" t="s">
        <v>10</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x</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row>
    <row r="21" spans="1:33" s="1049" customFormat="1" ht="15.75" customHeight="1">
      <c r="A21" s="398" t="str">
        <f>IF(B21&lt;&gt;"",IF(AND(B21&gt;=_TM1,B21&lt;=_TM2,OR(TH!N21="1111",TH!O21="1111")),TH!D21,""),"")</f>
        <v/>
      </c>
      <c r="B21" s="63">
        <f t="shared" si="1"/>
        <v>1</v>
      </c>
      <c r="C21" s="404">
        <v>42373</v>
      </c>
      <c r="D21" s="64" t="s">
        <v>54</v>
      </c>
      <c r="E21" s="64">
        <v>42373</v>
      </c>
      <c r="F21" s="67" t="s">
        <v>370</v>
      </c>
      <c r="G21" s="361" t="s">
        <v>221</v>
      </c>
      <c r="H21" s="74" t="s">
        <v>184</v>
      </c>
      <c r="I21" s="515"/>
      <c r="J21" s="515"/>
      <c r="K21" s="507"/>
      <c r="L21" s="515"/>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row>
    <row r="22" spans="1:33" s="1049" customFormat="1" ht="15.75" customHeight="1">
      <c r="A22" s="398" t="str">
        <f>IF(B22&lt;&gt;"",IF(AND(B22&gt;=_TM1,B22&lt;=_TM2,OR(TH!N22="1111",TH!O22="1111")),TH!D22,""),"")</f>
        <v/>
      </c>
      <c r="B22" s="63">
        <f t="shared" si="1"/>
        <v>1</v>
      </c>
      <c r="C22" s="64">
        <v>42373</v>
      </c>
      <c r="D22" s="64" t="s">
        <v>54</v>
      </c>
      <c r="E22" s="64">
        <v>42373</v>
      </c>
      <c r="F22" s="67" t="s">
        <v>371</v>
      </c>
      <c r="G22" s="361" t="s">
        <v>221</v>
      </c>
      <c r="H22" s="74" t="s">
        <v>184</v>
      </c>
      <c r="I22" s="515"/>
      <c r="J22" s="515"/>
      <c r="K22" s="507"/>
      <c r="L22" s="515"/>
      <c r="M22" s="65">
        <v>1800000</v>
      </c>
      <c r="N22" s="66" t="s">
        <v>10</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x</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row>
    <row r="23" spans="1:33" s="1049" customFormat="1" ht="15.75" customHeight="1">
      <c r="A23" s="398" t="str">
        <f>IF(B23&lt;&gt;"",IF(AND(B23&gt;=_TM1,B23&lt;=_TM2,OR(TH!N23="1111",TH!O23="1111")),TH!D23,""),"")</f>
        <v/>
      </c>
      <c r="B23" s="63">
        <f t="shared" si="1"/>
        <v>1</v>
      </c>
      <c r="C23" s="64">
        <v>42374</v>
      </c>
      <c r="D23" s="64" t="s">
        <v>8</v>
      </c>
      <c r="E23" s="64">
        <v>42374</v>
      </c>
      <c r="F23" s="67" t="s">
        <v>164</v>
      </c>
      <c r="G23" s="361" t="s">
        <v>810</v>
      </c>
      <c r="H23" s="74" t="s">
        <v>166</v>
      </c>
      <c r="I23" s="515"/>
      <c r="J23" s="515"/>
      <c r="K23" s="507"/>
      <c r="L23" s="515"/>
      <c r="M23" s="65">
        <v>300000000</v>
      </c>
      <c r="N23" s="66" t="s">
        <v>9</v>
      </c>
      <c r="O23" s="66" t="s">
        <v>31</v>
      </c>
      <c r="P23" s="66" t="str">
        <f>IF(AND('331-CT'!$E$7=TH!H23,OR(N23="331",O23="331")),"x","")</f>
        <v>x</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3" s="1049" customFormat="1" ht="15.75" customHeight="1">
      <c r="A24" s="398" t="str">
        <f>IF(B24&lt;&gt;"",IF(AND(B24&gt;=_TM1,B24&lt;=_TM2,OR(TH!N24="1111",TH!O24="1111")),TH!D24,""),"")</f>
        <v/>
      </c>
      <c r="B24" s="63">
        <f t="shared" si="1"/>
        <v>1</v>
      </c>
      <c r="C24" s="64">
        <v>42374</v>
      </c>
      <c r="D24" s="64" t="s">
        <v>8</v>
      </c>
      <c r="E24" s="64">
        <v>42374</v>
      </c>
      <c r="F24" s="67" t="s">
        <v>22</v>
      </c>
      <c r="G24" s="361" t="s">
        <v>810</v>
      </c>
      <c r="H24" s="74"/>
      <c r="I24" s="515"/>
      <c r="J24" s="515"/>
      <c r="K24" s="507"/>
      <c r="L24" s="515"/>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row>
    <row r="25" spans="1:33" s="1049" customFormat="1" ht="15.75" customHeight="1">
      <c r="A25" s="398" t="str">
        <f>IF(B25&lt;&gt;"",IF(AND(B25&gt;=_TM1,B25&lt;=_TM2,OR(TH!N25="1111",TH!O25="1111")),TH!D25,""),"")</f>
        <v/>
      </c>
      <c r="B25" s="63">
        <f t="shared" si="1"/>
        <v>1</v>
      </c>
      <c r="C25" s="64">
        <v>42374</v>
      </c>
      <c r="D25" s="64" t="s">
        <v>8</v>
      </c>
      <c r="E25" s="64">
        <v>42374</v>
      </c>
      <c r="F25" s="67" t="s">
        <v>23</v>
      </c>
      <c r="G25" s="361" t="s">
        <v>810</v>
      </c>
      <c r="H25" s="74"/>
      <c r="I25" s="515"/>
      <c r="J25" s="515"/>
      <c r="K25" s="507"/>
      <c r="L25" s="515"/>
      <c r="M25" s="65">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row>
    <row r="26" spans="1:33" s="1049" customFormat="1" ht="15.75" customHeight="1">
      <c r="A26" s="398" t="str">
        <f>IF(B26&lt;&gt;"",IF(AND(B26&gt;=_TM1,B26&lt;=_TM2,OR(TH!N26="1111",TH!O26="1111")),TH!D26,""),"")</f>
        <v/>
      </c>
      <c r="B26" s="63">
        <f t="shared" si="1"/>
        <v>1</v>
      </c>
      <c r="C26" s="64">
        <v>42374</v>
      </c>
      <c r="D26" s="64" t="s">
        <v>55</v>
      </c>
      <c r="E26" s="64">
        <v>42374</v>
      </c>
      <c r="F26" s="67" t="s">
        <v>372</v>
      </c>
      <c r="G26" s="361" t="s">
        <v>373</v>
      </c>
      <c r="H26" s="74" t="s">
        <v>178</v>
      </c>
      <c r="I26" s="515"/>
      <c r="J26" s="515"/>
      <c r="K26" s="507"/>
      <c r="L26" s="515"/>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row>
    <row r="27" spans="1:33" s="1049" customFormat="1" ht="15.75" customHeight="1">
      <c r="A27" s="398" t="str">
        <f>IF(B27&lt;&gt;"",IF(AND(B27&gt;=_TM1,B27&lt;=_TM2,OR(TH!N27="1111",TH!O27="1111")),TH!D27,""),"")</f>
        <v/>
      </c>
      <c r="B27" s="63">
        <f t="shared" si="1"/>
        <v>1</v>
      </c>
      <c r="C27" s="64">
        <v>42374</v>
      </c>
      <c r="D27" s="64" t="s">
        <v>55</v>
      </c>
      <c r="E27" s="64">
        <v>42374</v>
      </c>
      <c r="F27" s="67" t="s">
        <v>374</v>
      </c>
      <c r="G27" s="361" t="s">
        <v>373</v>
      </c>
      <c r="H27" s="74" t="s">
        <v>178</v>
      </c>
      <c r="I27" s="515"/>
      <c r="J27" s="515"/>
      <c r="K27" s="507"/>
      <c r="L27" s="515"/>
      <c r="M27" s="65">
        <v>165359</v>
      </c>
      <c r="N27" s="66" t="s">
        <v>10</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x</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row>
    <row r="28" spans="1:33" s="1049" customFormat="1" ht="15.75" customHeight="1">
      <c r="A28" s="398" t="str">
        <f>IF(B28&lt;&gt;"",IF(AND(B28&gt;=_TM1,B28&lt;=_TM2,OR(TH!N28="1111",TH!O28="1111")),TH!D28,""),"")</f>
        <v/>
      </c>
      <c r="B28" s="63">
        <f t="shared" si="1"/>
        <v>1</v>
      </c>
      <c r="C28" s="64">
        <v>42374</v>
      </c>
      <c r="D28" s="64" t="s">
        <v>45</v>
      </c>
      <c r="E28" s="64">
        <v>42374</v>
      </c>
      <c r="F28" s="67" t="s">
        <v>375</v>
      </c>
      <c r="G28" s="361" t="s">
        <v>376</v>
      </c>
      <c r="H28" s="74" t="s">
        <v>83</v>
      </c>
      <c r="I28" s="515"/>
      <c r="J28" s="515"/>
      <c r="K28" s="507"/>
      <c r="L28" s="515"/>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row>
    <row r="29" spans="1:33" s="1049" customFormat="1" ht="15.75" customHeight="1">
      <c r="A29" s="398" t="str">
        <f>IF(B29&lt;&gt;"",IF(AND(B29&gt;=_TM1,B29&lt;=_TM2,OR(TH!N29="1111",TH!O29="1111")),TH!D29,""),"")</f>
        <v/>
      </c>
      <c r="B29" s="63">
        <f t="shared" si="1"/>
        <v>1</v>
      </c>
      <c r="C29" s="64">
        <v>42374</v>
      </c>
      <c r="D29" s="64" t="s">
        <v>45</v>
      </c>
      <c r="E29" s="64">
        <v>42374</v>
      </c>
      <c r="F29" s="67" t="s">
        <v>377</v>
      </c>
      <c r="G29" s="361" t="s">
        <v>376</v>
      </c>
      <c r="H29" s="74" t="s">
        <v>83</v>
      </c>
      <c r="I29" s="515"/>
      <c r="J29" s="515"/>
      <c r="K29" s="507"/>
      <c r="L29" s="515"/>
      <c r="M29" s="65">
        <v>80909091</v>
      </c>
      <c r="N29" s="66" t="s">
        <v>10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x</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row>
    <row r="30" spans="1:33" s="1049" customFormat="1" ht="15.75" customHeight="1">
      <c r="A30" s="398" t="str">
        <f>IF(B30&lt;&gt;"",IF(AND(B30&gt;=_TM1,B30&lt;=_TM2,OR(TH!N30="1111",TH!O30="1111")),TH!D30,""),"")</f>
        <v/>
      </c>
      <c r="B30" s="63">
        <f t="shared" si="1"/>
        <v>1</v>
      </c>
      <c r="C30" s="64">
        <v>42375</v>
      </c>
      <c r="D30" s="64" t="s">
        <v>8</v>
      </c>
      <c r="E30" s="64">
        <v>42375</v>
      </c>
      <c r="F30" s="67" t="s">
        <v>164</v>
      </c>
      <c r="G30" s="361" t="s">
        <v>810</v>
      </c>
      <c r="H30" s="74" t="s">
        <v>69</v>
      </c>
      <c r="I30" s="515"/>
      <c r="J30" s="515"/>
      <c r="K30" s="507"/>
      <c r="L30" s="515"/>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3" s="1049" customFormat="1" ht="15.75" customHeight="1">
      <c r="A31" s="398" t="str">
        <f>IF(B31&lt;&gt;"",IF(AND(B31&gt;=_TM1,B31&lt;=_TM2,OR(TH!N31="1111",TH!O31="1111")),TH!D31,""),"")</f>
        <v/>
      </c>
      <c r="B31" s="63">
        <f t="shared" si="1"/>
        <v>1</v>
      </c>
      <c r="C31" s="64">
        <v>42375</v>
      </c>
      <c r="D31" s="64" t="s">
        <v>8</v>
      </c>
      <c r="E31" s="64">
        <v>42375</v>
      </c>
      <c r="F31" s="67" t="s">
        <v>22</v>
      </c>
      <c r="G31" s="361" t="s">
        <v>810</v>
      </c>
      <c r="H31" s="74"/>
      <c r="I31" s="515"/>
      <c r="J31" s="515"/>
      <c r="K31" s="507"/>
      <c r="L31" s="515"/>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row>
    <row r="32" spans="1:33" s="1049" customFormat="1" ht="15.75" customHeight="1">
      <c r="A32" s="398" t="str">
        <f>IF(B32&lt;&gt;"",IF(AND(B32&gt;=_TM1,B32&lt;=_TM2,OR(TH!N32="1111",TH!O32="1111")),TH!D32,""),"")</f>
        <v/>
      </c>
      <c r="B32" s="63">
        <f t="shared" si="1"/>
        <v>1</v>
      </c>
      <c r="C32" s="404">
        <v>42375</v>
      </c>
      <c r="D32" s="64" t="s">
        <v>8</v>
      </c>
      <c r="E32" s="64">
        <v>42375</v>
      </c>
      <c r="F32" s="67" t="s">
        <v>23</v>
      </c>
      <c r="G32" s="361" t="s">
        <v>810</v>
      </c>
      <c r="H32" s="74"/>
      <c r="I32" s="515"/>
      <c r="J32" s="515"/>
      <c r="K32" s="507"/>
      <c r="L32" s="515"/>
      <c r="M32" s="65">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row>
    <row r="33" spans="1:33" s="1049" customFormat="1" ht="15.75" customHeight="1">
      <c r="A33" s="398" t="str">
        <f>IF(B33&lt;&gt;"",IF(AND(B33&gt;=_TM1,B33&lt;=_TM2,OR(TH!N33="1111",TH!O33="1111")),TH!D33,""),"")</f>
        <v/>
      </c>
      <c r="B33" s="63">
        <f t="shared" si="1"/>
        <v>1</v>
      </c>
      <c r="C33" s="404">
        <v>42375</v>
      </c>
      <c r="D33" s="64" t="s">
        <v>45</v>
      </c>
      <c r="E33" s="64">
        <v>42375</v>
      </c>
      <c r="F33" s="67" t="s">
        <v>378</v>
      </c>
      <c r="G33" s="361" t="s">
        <v>379</v>
      </c>
      <c r="H33" s="74" t="s">
        <v>165</v>
      </c>
      <c r="I33" s="515"/>
      <c r="J33" s="515"/>
      <c r="K33" s="507"/>
      <c r="L33" s="515"/>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row>
    <row r="34" spans="1:33" s="1049" customFormat="1" ht="15.75" customHeight="1">
      <c r="A34" s="398" t="str">
        <f>IF(B34&lt;&gt;"",IF(AND(B34&gt;=_TM1,B34&lt;=_TM2,OR(TH!N34="1111",TH!O34="1111")),TH!D34,""),"")</f>
        <v/>
      </c>
      <c r="B34" s="63">
        <f t="shared" si="1"/>
        <v>1</v>
      </c>
      <c r="C34" s="404">
        <v>42375</v>
      </c>
      <c r="D34" s="64" t="s">
        <v>45</v>
      </c>
      <c r="E34" s="64">
        <v>42375</v>
      </c>
      <c r="F34" s="67" t="s">
        <v>380</v>
      </c>
      <c r="G34" s="361" t="s">
        <v>379</v>
      </c>
      <c r="H34" s="74" t="s">
        <v>165</v>
      </c>
      <c r="I34" s="515"/>
      <c r="J34" s="515"/>
      <c r="K34" s="507"/>
      <c r="L34" s="515"/>
      <c r="M34" s="65">
        <v>15545455</v>
      </c>
      <c r="N34" s="66" t="s">
        <v>10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x</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row>
    <row r="35" spans="1:33" s="1049" customFormat="1" ht="15.75" customHeight="1">
      <c r="A35" s="398" t="str">
        <f>IF(B35&lt;&gt;"",IF(AND(B35&gt;=_TM1,B35&lt;=_TM2,OR(TH!N35="1111",TH!O35="1111")),TH!D35,""),"")</f>
        <v/>
      </c>
      <c r="B35" s="63">
        <f t="shared" si="1"/>
        <v>1</v>
      </c>
      <c r="C35" s="64">
        <v>42379</v>
      </c>
      <c r="D35" s="64" t="s">
        <v>41</v>
      </c>
      <c r="E35" s="64">
        <v>42379</v>
      </c>
      <c r="F35" s="67" t="s">
        <v>381</v>
      </c>
      <c r="G35" s="361" t="s">
        <v>382</v>
      </c>
      <c r="H35" s="74" t="s">
        <v>323</v>
      </c>
      <c r="I35" s="515"/>
      <c r="J35" s="515"/>
      <c r="K35" s="507"/>
      <c r="L35" s="515"/>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row>
    <row r="36" spans="1:33" s="1049" customFormat="1" ht="15.75" customHeight="1">
      <c r="A36" s="398" t="str">
        <f>IF(B36&lt;&gt;"",IF(AND(B36&gt;=_TM1,B36&lt;=_TM2,OR(TH!N36="1111",TH!O36="1111")),TH!D36,""),"")</f>
        <v/>
      </c>
      <c r="B36" s="63">
        <f t="shared" si="1"/>
        <v>1</v>
      </c>
      <c r="C36" s="64">
        <v>42379</v>
      </c>
      <c r="D36" s="64" t="s">
        <v>41</v>
      </c>
      <c r="E36" s="64">
        <v>42379</v>
      </c>
      <c r="F36" s="67" t="s">
        <v>383</v>
      </c>
      <c r="G36" s="361" t="s">
        <v>382</v>
      </c>
      <c r="H36" s="74" t="s">
        <v>323</v>
      </c>
      <c r="I36" s="515"/>
      <c r="J36" s="515"/>
      <c r="K36" s="507"/>
      <c r="L36" s="515"/>
      <c r="M36" s="65">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row>
    <row r="37" spans="1:33" s="1049" customFormat="1" ht="15.75" customHeight="1">
      <c r="A37" s="398" t="str">
        <f>IF(B37&lt;&gt;"",IF(AND(B37&gt;=_TM1,B37&lt;=_TM2,OR(TH!N37="1111",TH!O37="1111")),TH!D37,""),"")</f>
        <v/>
      </c>
      <c r="B37" s="63">
        <f t="shared" si="1"/>
        <v>1</v>
      </c>
      <c r="C37" s="404">
        <v>42380</v>
      </c>
      <c r="D37" s="64" t="s">
        <v>40</v>
      </c>
      <c r="E37" s="64">
        <v>42380</v>
      </c>
      <c r="F37" s="67" t="s">
        <v>332</v>
      </c>
      <c r="G37" s="361" t="s">
        <v>384</v>
      </c>
      <c r="H37" s="74" t="s">
        <v>162</v>
      </c>
      <c r="I37" s="515"/>
      <c r="J37" s="515"/>
      <c r="K37" s="507"/>
      <c r="L37" s="515"/>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row>
    <row r="38" spans="1:33" s="1049" customFormat="1" ht="15.75" customHeight="1">
      <c r="A38" s="398" t="str">
        <f>IF(B38&lt;&gt;"",IF(AND(B38&gt;=_TM1,B38&lt;=_TM2,OR(TH!N38="1111",TH!O38="1111")),TH!D38,""),"")</f>
        <v/>
      </c>
      <c r="B38" s="63">
        <f t="shared" si="1"/>
        <v>1</v>
      </c>
      <c r="C38" s="64">
        <v>42380</v>
      </c>
      <c r="D38" s="64" t="s">
        <v>40</v>
      </c>
      <c r="E38" s="64">
        <v>42380</v>
      </c>
      <c r="F38" s="67" t="s">
        <v>334</v>
      </c>
      <c r="G38" s="361" t="s">
        <v>384</v>
      </c>
      <c r="H38" s="74" t="s">
        <v>162</v>
      </c>
      <c r="I38" s="515"/>
      <c r="J38" s="515"/>
      <c r="K38" s="507"/>
      <c r="L38" s="515"/>
      <c r="M38" s="65">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row>
    <row r="39" spans="1:33" s="1049" customFormat="1" ht="15.75" customHeight="1">
      <c r="A39" s="398" t="str">
        <f>IF(B39&lt;&gt;"",IF(AND(B39&gt;=_TM1,B39&lt;=_TM2,OR(TH!N39="1111",TH!O39="1111")),TH!D39,""),"")</f>
        <v/>
      </c>
      <c r="B39" s="63">
        <f>IF(C39&lt;&gt;"",MONTH(C39),"")</f>
        <v>1</v>
      </c>
      <c r="C39" s="64">
        <v>42380</v>
      </c>
      <c r="D39" s="501" t="s">
        <v>45</v>
      </c>
      <c r="E39" s="64">
        <v>42380</v>
      </c>
      <c r="F39" s="67" t="s">
        <v>458</v>
      </c>
      <c r="G39" s="501" t="s">
        <v>456</v>
      </c>
      <c r="H39" s="74" t="s">
        <v>222</v>
      </c>
      <c r="I39" s="515"/>
      <c r="J39" s="515"/>
      <c r="K39" s="507"/>
      <c r="L39" s="515"/>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row>
    <row r="40" spans="1:33" s="1049" customFormat="1" ht="15.75" customHeight="1">
      <c r="A40" s="398" t="str">
        <f>IF(B40&lt;&gt;"",IF(AND(B40&gt;=_TM1,B40&lt;=_TM2,OR(TH!N40="1111",TH!O40="1111")),TH!D40,""),"")</f>
        <v/>
      </c>
      <c r="B40" s="63">
        <f>IF(C40&lt;&gt;"",MONTH(C40),"")</f>
        <v>1</v>
      </c>
      <c r="C40" s="64">
        <v>42380</v>
      </c>
      <c r="D40" s="501" t="s">
        <v>45</v>
      </c>
      <c r="E40" s="64">
        <v>42380</v>
      </c>
      <c r="F40" s="67" t="s">
        <v>459</v>
      </c>
      <c r="G40" s="501" t="s">
        <v>456</v>
      </c>
      <c r="H40" s="74" t="s">
        <v>222</v>
      </c>
      <c r="I40" s="515"/>
      <c r="J40" s="515"/>
      <c r="K40" s="507"/>
      <c r="L40" s="515"/>
      <c r="M40" s="65">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row>
    <row r="41" spans="1:33" s="1049" customFormat="1" ht="15.75" customHeight="1">
      <c r="A41" s="398" t="str">
        <f>IF(B41&lt;&gt;"",IF(AND(B41&gt;=_TM1,B41&lt;=_TM2,OR(TH!N41="1111",TH!O41="1111")),TH!D41,""),"")</f>
        <v/>
      </c>
      <c r="B41" s="63">
        <f>IF(C41&lt;&gt;"",MONTH(C41),"")</f>
        <v>1</v>
      </c>
      <c r="C41" s="64">
        <v>42395</v>
      </c>
      <c r="D41" s="501" t="s">
        <v>45</v>
      </c>
      <c r="E41" s="64">
        <v>42395</v>
      </c>
      <c r="F41" s="67" t="s">
        <v>461</v>
      </c>
      <c r="G41" s="501" t="s">
        <v>457</v>
      </c>
      <c r="H41" s="74" t="s">
        <v>222</v>
      </c>
      <c r="I41" s="515"/>
      <c r="J41" s="515"/>
      <c r="K41" s="507"/>
      <c r="L41" s="515"/>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row>
    <row r="42" spans="1:33" s="1049" customFormat="1" ht="15.75" customHeight="1">
      <c r="A42" s="398" t="str">
        <f>IF(B42&lt;&gt;"",IF(AND(B42&gt;=_TM1,B42&lt;=_TM2,OR(TH!N42="1111",TH!O42="1111")),TH!D42,""),"")</f>
        <v/>
      </c>
      <c r="B42" s="63">
        <f>IF(C42&lt;&gt;"",MONTH(C42),"")</f>
        <v>1</v>
      </c>
      <c r="C42" s="64">
        <v>42395</v>
      </c>
      <c r="D42" s="501" t="s">
        <v>45</v>
      </c>
      <c r="E42" s="64">
        <v>42395</v>
      </c>
      <c r="F42" s="67" t="s">
        <v>460</v>
      </c>
      <c r="G42" s="501" t="s">
        <v>457</v>
      </c>
      <c r="H42" s="74" t="s">
        <v>222</v>
      </c>
      <c r="I42" s="515"/>
      <c r="J42" s="515"/>
      <c r="K42" s="507"/>
      <c r="L42" s="515"/>
      <c r="M42" s="65">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row>
    <row r="43" spans="1:33" s="1049" customFormat="1" ht="15.75" customHeight="1">
      <c r="A43" s="398" t="str">
        <f>IF(B43&lt;&gt;"",IF(AND(B43&gt;=_TM1,B43&lt;=_TM2,OR(TH!N43="1111",TH!O43="1111")),TH!D43,""),"")</f>
        <v/>
      </c>
      <c r="B43" s="63">
        <f t="shared" si="1"/>
        <v>1</v>
      </c>
      <c r="C43" s="64">
        <v>42381</v>
      </c>
      <c r="D43" s="64" t="s">
        <v>45</v>
      </c>
      <c r="E43" s="64">
        <v>42381</v>
      </c>
      <c r="F43" s="67" t="s">
        <v>385</v>
      </c>
      <c r="G43" s="361" t="s">
        <v>386</v>
      </c>
      <c r="H43" s="74" t="s">
        <v>70</v>
      </c>
      <c r="I43" s="515"/>
      <c r="J43" s="515"/>
      <c r="K43" s="507"/>
      <c r="L43" s="515"/>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row>
    <row r="44" spans="1:33" s="1049" customFormat="1" ht="15.75" customHeight="1">
      <c r="A44" s="398" t="str">
        <f>IF(B44&lt;&gt;"",IF(AND(B44&gt;=_TM1,B44&lt;=_TM2,OR(TH!N44="1111",TH!O44="1111")),TH!D44,""),"")</f>
        <v/>
      </c>
      <c r="B44" s="63">
        <f t="shared" si="1"/>
        <v>1</v>
      </c>
      <c r="C44" s="404">
        <v>42381</v>
      </c>
      <c r="D44" s="64" t="s">
        <v>45</v>
      </c>
      <c r="E44" s="64">
        <v>42381</v>
      </c>
      <c r="F44" s="67" t="s">
        <v>387</v>
      </c>
      <c r="G44" s="361" t="s">
        <v>386</v>
      </c>
      <c r="H44" s="74" t="s">
        <v>70</v>
      </c>
      <c r="I44" s="515"/>
      <c r="J44" s="515"/>
      <c r="K44" s="507"/>
      <c r="L44" s="515"/>
      <c r="M44" s="65">
        <v>35827273</v>
      </c>
      <c r="N44" s="69" t="s">
        <v>10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x</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row>
    <row r="45" spans="1:33" s="1049" customFormat="1" ht="15.75" customHeight="1">
      <c r="A45" s="398" t="str">
        <f>IF(B45&lt;&gt;"",IF(AND(B45&gt;=_TM1,B45&lt;=_TM2,OR(TH!N45="1111",TH!O45="1111")),TH!D45,""),"")</f>
        <v/>
      </c>
      <c r="B45" s="63">
        <f t="shared" si="1"/>
        <v>1</v>
      </c>
      <c r="C45" s="64">
        <v>42381</v>
      </c>
      <c r="D45" s="64" t="s">
        <v>8</v>
      </c>
      <c r="E45" s="64">
        <v>42381</v>
      </c>
      <c r="F45" s="67" t="s">
        <v>164</v>
      </c>
      <c r="G45" s="361" t="s">
        <v>810</v>
      </c>
      <c r="H45" s="74" t="s">
        <v>68</v>
      </c>
      <c r="I45" s="515"/>
      <c r="J45" s="515"/>
      <c r="K45" s="507"/>
      <c r="L45" s="515"/>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3" s="1049" customFormat="1" ht="15.75" customHeight="1">
      <c r="A46" s="398" t="str">
        <f>IF(B46&lt;&gt;"",IF(AND(B46&gt;=_TM1,B46&lt;=_TM2,OR(TH!N46="1111",TH!O46="1111")),TH!D46,""),"")</f>
        <v/>
      </c>
      <c r="B46" s="63">
        <f t="shared" si="1"/>
        <v>1</v>
      </c>
      <c r="C46" s="64">
        <v>42381</v>
      </c>
      <c r="D46" s="64" t="s">
        <v>8</v>
      </c>
      <c r="E46" s="64">
        <v>42381</v>
      </c>
      <c r="F46" s="67" t="s">
        <v>164</v>
      </c>
      <c r="G46" s="361" t="s">
        <v>810</v>
      </c>
      <c r="H46" s="74" t="s">
        <v>70</v>
      </c>
      <c r="I46" s="515"/>
      <c r="J46" s="515"/>
      <c r="K46" s="507"/>
      <c r="L46" s="515"/>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3" s="1049" customFormat="1" ht="15.75" customHeight="1">
      <c r="A47" s="398" t="str">
        <f>IF(B47&lt;&gt;"",IF(AND(B47&gt;=_TM1,B47&lt;=_TM2,OR(TH!N47="1111",TH!O47="1111")),TH!D47,""),"")</f>
        <v/>
      </c>
      <c r="B47" s="63">
        <f t="shared" si="1"/>
        <v>1</v>
      </c>
      <c r="C47" s="404">
        <v>42381</v>
      </c>
      <c r="D47" s="64" t="s">
        <v>8</v>
      </c>
      <c r="E47" s="64">
        <v>42381</v>
      </c>
      <c r="F47" s="67" t="s">
        <v>22</v>
      </c>
      <c r="G47" s="361" t="s">
        <v>810</v>
      </c>
      <c r="H47" s="74"/>
      <c r="I47" s="515"/>
      <c r="J47" s="515"/>
      <c r="K47" s="507"/>
      <c r="L47" s="515"/>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row>
    <row r="48" spans="1:33" s="1049" customFormat="1" ht="15.75" customHeight="1">
      <c r="A48" s="398" t="str">
        <f>IF(B48&lt;&gt;"",IF(AND(B48&gt;=_TM1,B48&lt;=_TM2,OR(TH!N48="1111",TH!O48="1111")),TH!D48,""),"")</f>
        <v/>
      </c>
      <c r="B48" s="63">
        <f t="shared" si="1"/>
        <v>1</v>
      </c>
      <c r="C48" s="64">
        <v>42381</v>
      </c>
      <c r="D48" s="64" t="s">
        <v>8</v>
      </c>
      <c r="E48" s="64">
        <v>42381</v>
      </c>
      <c r="F48" s="67" t="s">
        <v>23</v>
      </c>
      <c r="G48" s="361" t="s">
        <v>810</v>
      </c>
      <c r="H48" s="74"/>
      <c r="I48" s="515"/>
      <c r="J48" s="515"/>
      <c r="K48" s="507"/>
      <c r="L48" s="515"/>
      <c r="M48" s="65">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row>
    <row r="49" spans="1:33" s="1049" customFormat="1" ht="15.75" customHeight="1">
      <c r="A49" s="398" t="str">
        <f>IF(B49&lt;&gt;"",IF(AND(B49&gt;=_TM1,B49&lt;=_TM2,OR(TH!N49="1111",TH!O49="1111")),TH!D49,""),"")</f>
        <v/>
      </c>
      <c r="B49" s="63">
        <f t="shared" si="1"/>
        <v>1</v>
      </c>
      <c r="C49" s="404">
        <v>42381</v>
      </c>
      <c r="D49" s="64" t="s">
        <v>64</v>
      </c>
      <c r="E49" s="64">
        <v>42381</v>
      </c>
      <c r="F49" s="67" t="s">
        <v>325</v>
      </c>
      <c r="G49" s="361" t="s">
        <v>388</v>
      </c>
      <c r="H49" s="74" t="s">
        <v>324</v>
      </c>
      <c r="I49" s="515"/>
      <c r="J49" s="515"/>
      <c r="K49" s="507"/>
      <c r="L49" s="515"/>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row>
    <row r="50" spans="1:33" s="1049" customFormat="1" ht="15.75" customHeight="1">
      <c r="A50" s="398" t="str">
        <f>IF(B50&lt;&gt;"",IF(AND(B50&gt;=_TM1,B50&lt;=_TM2,OR(TH!N50="1111",TH!O50="1111")),TH!D50,""),"")</f>
        <v/>
      </c>
      <c r="B50" s="63">
        <f t="shared" si="1"/>
        <v>1</v>
      </c>
      <c r="C50" s="64">
        <v>42381</v>
      </c>
      <c r="D50" s="64" t="s">
        <v>64</v>
      </c>
      <c r="E50" s="64">
        <v>42381</v>
      </c>
      <c r="F50" s="67" t="s">
        <v>326</v>
      </c>
      <c r="G50" s="361" t="s">
        <v>388</v>
      </c>
      <c r="H50" s="74" t="s">
        <v>324</v>
      </c>
      <c r="I50" s="515"/>
      <c r="J50" s="515"/>
      <c r="K50" s="507"/>
      <c r="L50" s="515"/>
      <c r="M50" s="65">
        <v>1215000</v>
      </c>
      <c r="N50" s="66" t="s">
        <v>10</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x</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row>
    <row r="51" spans="1:33" s="1049" customFormat="1" ht="15.75" customHeight="1">
      <c r="A51" s="398" t="str">
        <f>IF(B51&lt;&gt;"",IF(AND(B51&gt;=_TM1,B51&lt;=_TM2,OR(TH!N51="1111",TH!O51="1111")),TH!D51,""),"")</f>
        <v/>
      </c>
      <c r="B51" s="63">
        <f t="shared" si="1"/>
        <v>1</v>
      </c>
      <c r="C51" s="64">
        <v>42381</v>
      </c>
      <c r="D51" s="64" t="s">
        <v>65</v>
      </c>
      <c r="E51" s="64">
        <v>42381</v>
      </c>
      <c r="F51" s="67" t="s">
        <v>389</v>
      </c>
      <c r="G51" s="361" t="s">
        <v>390</v>
      </c>
      <c r="H51" s="74" t="s">
        <v>391</v>
      </c>
      <c r="I51" s="515"/>
      <c r="J51" s="515"/>
      <c r="K51" s="507"/>
      <c r="L51" s="515"/>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3" s="1049" customFormat="1" ht="15.75" customHeight="1">
      <c r="A52" s="398" t="str">
        <f>IF(B52&lt;&gt;"",IF(AND(B52&gt;=_TM1,B52&lt;=_TM2,OR(TH!N52="1111",TH!O52="1111")),TH!D52,""),"")</f>
        <v/>
      </c>
      <c r="B52" s="63">
        <f t="shared" si="1"/>
        <v>1</v>
      </c>
      <c r="C52" s="64">
        <v>42382</v>
      </c>
      <c r="D52" s="64" t="s">
        <v>45</v>
      </c>
      <c r="E52" s="64">
        <v>42382</v>
      </c>
      <c r="F52" s="67" t="s">
        <v>392</v>
      </c>
      <c r="G52" s="361" t="s">
        <v>393</v>
      </c>
      <c r="H52" s="74" t="s">
        <v>52</v>
      </c>
      <c r="I52" s="515"/>
      <c r="J52" s="515"/>
      <c r="K52" s="507"/>
      <c r="L52" s="515"/>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row>
    <row r="53" spans="1:33" s="1049" customFormat="1" ht="15.75" customHeight="1">
      <c r="A53" s="398" t="str">
        <f>IF(B53&lt;&gt;"",IF(AND(B53&gt;=_TM1,B53&lt;=_TM2,OR(TH!N53="1111",TH!O53="1111")),TH!D53,""),"")</f>
        <v/>
      </c>
      <c r="B53" s="63">
        <f t="shared" si="1"/>
        <v>1</v>
      </c>
      <c r="C53" s="64">
        <v>42382</v>
      </c>
      <c r="D53" s="64" t="s">
        <v>45</v>
      </c>
      <c r="E53" s="64">
        <v>42382</v>
      </c>
      <c r="F53" s="67" t="s">
        <v>394</v>
      </c>
      <c r="G53" s="361" t="s">
        <v>393</v>
      </c>
      <c r="H53" s="74" t="s">
        <v>52</v>
      </c>
      <c r="I53" s="515"/>
      <c r="J53" s="515"/>
      <c r="K53" s="507"/>
      <c r="L53" s="515"/>
      <c r="M53" s="65">
        <v>38909091</v>
      </c>
      <c r="N53" s="66" t="s">
        <v>10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x</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row>
    <row r="54" spans="1:33" s="1049" customFormat="1" ht="15.75" customHeight="1">
      <c r="A54" s="398" t="str">
        <f>IF(B54&lt;&gt;"",IF(AND(B54&gt;=_TM1,B54&lt;=_TM2,OR(TH!N54="1111",TH!O54="1111")),TH!D54,""),"")</f>
        <v/>
      </c>
      <c r="B54" s="63">
        <f t="shared" si="1"/>
        <v>1</v>
      </c>
      <c r="C54" s="64">
        <v>42383</v>
      </c>
      <c r="D54" s="64" t="s">
        <v>8</v>
      </c>
      <c r="E54" s="64">
        <v>42383</v>
      </c>
      <c r="F54" s="67" t="s">
        <v>395</v>
      </c>
      <c r="G54" s="361" t="s">
        <v>810</v>
      </c>
      <c r="H54" s="74"/>
      <c r="I54" s="515"/>
      <c r="J54" s="515"/>
      <c r="K54" s="507"/>
      <c r="L54" s="515"/>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3" s="1049" customFormat="1" ht="15.75" customHeight="1">
      <c r="A55" s="398" t="str">
        <f>IF(B55&lt;&gt;"",IF(AND(B55&gt;=_TM1,B55&lt;=_TM2,OR(TH!N55="1111",TH!O55="1111")),TH!D55,""),"")</f>
        <v/>
      </c>
      <c r="B55" s="63">
        <f t="shared" si="1"/>
        <v>1</v>
      </c>
      <c r="C55" s="64">
        <v>42383</v>
      </c>
      <c r="D55" s="64" t="s">
        <v>45</v>
      </c>
      <c r="E55" s="64">
        <v>42383</v>
      </c>
      <c r="F55" s="67" t="s">
        <v>395</v>
      </c>
      <c r="G55" s="361"/>
      <c r="H55" s="74"/>
      <c r="I55" s="515"/>
      <c r="J55" s="515"/>
      <c r="K55" s="507"/>
      <c r="L55" s="515"/>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3" s="1049" customFormat="1" ht="15.75" customHeight="1">
      <c r="A56" s="398" t="str">
        <f>IF(B56&lt;&gt;"",IF(AND(B56&gt;=_TM1,B56&lt;=_TM2,OR(TH!N56="1111",TH!O56="1111")),TH!D56,""),"")</f>
        <v/>
      </c>
      <c r="B56" s="63">
        <f t="shared" si="1"/>
        <v>1</v>
      </c>
      <c r="C56" s="404">
        <v>42384</v>
      </c>
      <c r="D56" s="64" t="s">
        <v>66</v>
      </c>
      <c r="E56" s="64">
        <v>42384</v>
      </c>
      <c r="F56" s="67" t="s">
        <v>186</v>
      </c>
      <c r="G56" s="361" t="s">
        <v>396</v>
      </c>
      <c r="H56" s="74" t="s">
        <v>327</v>
      </c>
      <c r="I56" s="515"/>
      <c r="J56" s="515"/>
      <c r="K56" s="507"/>
      <c r="L56" s="515"/>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3" s="1049" customFormat="1" ht="15.75" customHeight="1">
      <c r="A57" s="398" t="str">
        <f>IF(B57&lt;&gt;"",IF(AND(B57&gt;=_TM1,B57&lt;=_TM2,OR(TH!N57="1111",TH!O57="1111")),TH!D57,""),"")</f>
        <v/>
      </c>
      <c r="B57" s="63">
        <f t="shared" si="1"/>
        <v>1</v>
      </c>
      <c r="C57" s="64">
        <v>42384</v>
      </c>
      <c r="D57" s="64" t="s">
        <v>11</v>
      </c>
      <c r="E57" s="64">
        <v>42384</v>
      </c>
      <c r="F57" s="67" t="s">
        <v>397</v>
      </c>
      <c r="G57" s="361" t="s">
        <v>810</v>
      </c>
      <c r="H57" s="74" t="s">
        <v>161</v>
      </c>
      <c r="I57" s="515"/>
      <c r="J57" s="515"/>
      <c r="K57" s="507"/>
      <c r="L57" s="515"/>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3" s="1049" customFormat="1" ht="15.75" customHeight="1">
      <c r="A58" s="398" t="str">
        <f>IF(B58&lt;&gt;"",IF(AND(B58&gt;=_TM1,B58&lt;=_TM2,OR(TH!N58="1111",TH!O58="1111")),TH!D58,""),"")</f>
        <v/>
      </c>
      <c r="B58" s="63">
        <f t="shared" si="1"/>
        <v>1</v>
      </c>
      <c r="C58" s="64">
        <v>42385</v>
      </c>
      <c r="D58" s="64" t="s">
        <v>71</v>
      </c>
      <c r="E58" s="64">
        <v>42385</v>
      </c>
      <c r="F58" s="67" t="s">
        <v>398</v>
      </c>
      <c r="G58" s="361" t="s">
        <v>218</v>
      </c>
      <c r="H58" s="74" t="s">
        <v>399</v>
      </c>
      <c r="I58" s="515"/>
      <c r="J58" s="515"/>
      <c r="K58" s="507"/>
      <c r="L58" s="515"/>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row>
    <row r="59" spans="1:33" s="1049" customFormat="1" ht="15.75" customHeight="1">
      <c r="A59" s="398" t="str">
        <f>IF(B59&lt;&gt;"",IF(AND(B59&gt;=_TM1,B59&lt;=_TM2,OR(TH!N59="1111",TH!O59="1111")),TH!D59,""),"")</f>
        <v/>
      </c>
      <c r="B59" s="63">
        <f t="shared" si="1"/>
        <v>1</v>
      </c>
      <c r="C59" s="64">
        <v>42385</v>
      </c>
      <c r="D59" s="64" t="s">
        <v>71</v>
      </c>
      <c r="E59" s="64">
        <v>42385</v>
      </c>
      <c r="F59" s="67" t="s">
        <v>400</v>
      </c>
      <c r="G59" s="361" t="s">
        <v>218</v>
      </c>
      <c r="H59" s="74" t="s">
        <v>399</v>
      </c>
      <c r="I59" s="515"/>
      <c r="J59" s="515"/>
      <c r="K59" s="507"/>
      <c r="L59" s="515"/>
      <c r="M59" s="65">
        <v>1275000</v>
      </c>
      <c r="N59" s="66" t="s">
        <v>10</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x</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row>
    <row r="60" spans="1:33" s="1049" customFormat="1" ht="15.75" customHeight="1">
      <c r="A60" s="398" t="str">
        <f>IF(B60&lt;&gt;"",IF(AND(B60&gt;=_TM1,B60&lt;=_TM2,OR(TH!N60="1111",TH!O60="1111")),TH!D60,""),"")</f>
        <v/>
      </c>
      <c r="B60" s="63">
        <f t="shared" si="1"/>
        <v>1</v>
      </c>
      <c r="C60" s="64">
        <v>42387</v>
      </c>
      <c r="D60" s="64" t="s">
        <v>72</v>
      </c>
      <c r="E60" s="64">
        <v>42387</v>
      </c>
      <c r="F60" s="67" t="s">
        <v>401</v>
      </c>
      <c r="G60" s="361" t="s">
        <v>402</v>
      </c>
      <c r="H60" s="74" t="s">
        <v>399</v>
      </c>
      <c r="I60" s="515"/>
      <c r="J60" s="515"/>
      <c r="K60" s="507"/>
      <c r="L60" s="515"/>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row>
    <row r="61" spans="1:33" s="1049" customFormat="1" ht="15.75" customHeight="1">
      <c r="A61" s="398" t="str">
        <f>IF(B61&lt;&gt;"",IF(AND(B61&gt;=_TM1,B61&lt;=_TM2,OR(TH!N61="1111",TH!O61="1111")),TH!D61,""),"")</f>
        <v/>
      </c>
      <c r="B61" s="63">
        <f t="shared" si="1"/>
        <v>1</v>
      </c>
      <c r="C61" s="64">
        <v>42387</v>
      </c>
      <c r="D61" s="64" t="s">
        <v>72</v>
      </c>
      <c r="E61" s="64">
        <v>42387</v>
      </c>
      <c r="F61" s="67" t="s">
        <v>403</v>
      </c>
      <c r="G61" s="361" t="s">
        <v>402</v>
      </c>
      <c r="H61" s="74" t="s">
        <v>399</v>
      </c>
      <c r="I61" s="515"/>
      <c r="J61" s="515"/>
      <c r="K61" s="507"/>
      <c r="L61" s="515"/>
      <c r="M61" s="65">
        <v>1660000</v>
      </c>
      <c r="N61" s="66" t="s">
        <v>10</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x</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row>
    <row r="62" spans="1:33" s="1049" customFormat="1" ht="15.75" customHeight="1">
      <c r="A62" s="398" t="str">
        <f>IF(B62&lt;&gt;"",IF(AND(B62&gt;=_TM1,B62&lt;=_TM2,OR(TH!N62="1111",TH!O62="1111")),TH!D62,""),"")</f>
        <v/>
      </c>
      <c r="B62" s="63">
        <f t="shared" si="1"/>
        <v>1</v>
      </c>
      <c r="C62" s="64">
        <v>42388</v>
      </c>
      <c r="D62" s="64" t="s">
        <v>73</v>
      </c>
      <c r="E62" s="64">
        <v>42388</v>
      </c>
      <c r="F62" s="67" t="s">
        <v>404</v>
      </c>
      <c r="G62" s="361" t="s">
        <v>405</v>
      </c>
      <c r="H62" s="74" t="s">
        <v>399</v>
      </c>
      <c r="I62" s="515"/>
      <c r="J62" s="515"/>
      <c r="K62" s="507"/>
      <c r="L62" s="515"/>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row>
    <row r="63" spans="1:33" s="1049" customFormat="1" ht="15.75" customHeight="1">
      <c r="A63" s="398" t="str">
        <f>IF(B63&lt;&gt;"",IF(AND(B63&gt;=_TM1,B63&lt;=_TM2,OR(TH!N63="1111",TH!O63="1111")),TH!D63,""),"")</f>
        <v/>
      </c>
      <c r="B63" s="63">
        <f t="shared" si="1"/>
        <v>1</v>
      </c>
      <c r="C63" s="64">
        <v>42388</v>
      </c>
      <c r="D63" s="64" t="s">
        <v>73</v>
      </c>
      <c r="E63" s="64">
        <v>42388</v>
      </c>
      <c r="F63" s="67" t="s">
        <v>406</v>
      </c>
      <c r="G63" s="361" t="s">
        <v>405</v>
      </c>
      <c r="H63" s="74" t="s">
        <v>399</v>
      </c>
      <c r="I63" s="515"/>
      <c r="J63" s="515"/>
      <c r="K63" s="507"/>
      <c r="L63" s="515"/>
      <c r="M63" s="65">
        <v>1620000</v>
      </c>
      <c r="N63" s="66" t="s">
        <v>10</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x</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row>
    <row r="64" spans="1:33" s="1049" customFormat="1" ht="15.75" customHeight="1">
      <c r="A64" s="398" t="str">
        <f>IF(B64&lt;&gt;"",IF(AND(B64&gt;=_TM1,B64&lt;=_TM2,OR(TH!N64="1111",TH!O64="1111")),TH!D64,""),"")</f>
        <v/>
      </c>
      <c r="B64" s="63">
        <f t="shared" si="1"/>
        <v>1</v>
      </c>
      <c r="C64" s="64">
        <v>42389</v>
      </c>
      <c r="D64" s="64" t="s">
        <v>74</v>
      </c>
      <c r="E64" s="64">
        <v>42389</v>
      </c>
      <c r="F64" s="67" t="s">
        <v>186</v>
      </c>
      <c r="G64" s="361" t="s">
        <v>407</v>
      </c>
      <c r="H64" s="74" t="s">
        <v>327</v>
      </c>
      <c r="I64" s="515"/>
      <c r="J64" s="515"/>
      <c r="K64" s="507"/>
      <c r="L64" s="515"/>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3" s="1049" customFormat="1" ht="15.75" customHeight="1">
      <c r="A65" s="398" t="str">
        <f>IF(B65&lt;&gt;"",IF(AND(B65&gt;=_TM1,B65&lt;=_TM2,OR(TH!N65="1111",TH!O65="1111")),TH!D65,""),"")</f>
        <v/>
      </c>
      <c r="B65" s="63">
        <f t="shared" si="1"/>
        <v>1</v>
      </c>
      <c r="C65" s="64">
        <v>42389</v>
      </c>
      <c r="D65" s="64" t="s">
        <v>75</v>
      </c>
      <c r="E65" s="64">
        <v>42389</v>
      </c>
      <c r="F65" s="67" t="s">
        <v>408</v>
      </c>
      <c r="G65" s="361" t="s">
        <v>409</v>
      </c>
      <c r="H65" s="74" t="s">
        <v>330</v>
      </c>
      <c r="I65" s="515"/>
      <c r="J65" s="515"/>
      <c r="K65" s="507"/>
      <c r="L65" s="515"/>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3" s="1049" customFormat="1" ht="15.75" customHeight="1">
      <c r="A66" s="398" t="str">
        <f>IF(B66&lt;&gt;"",IF(AND(B66&gt;=_TM1,B66&lt;=_TM2,OR(TH!N66="1111",TH!O66="1111")),TH!D66,""),"")</f>
        <v/>
      </c>
      <c r="B66" s="63">
        <f t="shared" si="1"/>
        <v>1</v>
      </c>
      <c r="C66" s="64">
        <v>42390</v>
      </c>
      <c r="D66" s="64" t="s">
        <v>76</v>
      </c>
      <c r="E66" s="64">
        <v>42343</v>
      </c>
      <c r="F66" s="67" t="s">
        <v>410</v>
      </c>
      <c r="G66" s="361" t="s">
        <v>411</v>
      </c>
      <c r="H66" s="74" t="s">
        <v>412</v>
      </c>
      <c r="I66" s="515"/>
      <c r="J66" s="515"/>
      <c r="K66" s="507"/>
      <c r="L66" s="515"/>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row>
    <row r="67" spans="1:33" s="1049" customFormat="1" ht="15.75" customHeight="1">
      <c r="A67" s="398" t="str">
        <f>IF(B67&lt;&gt;"",IF(AND(B67&gt;=_TM1,B67&lt;=_TM2,OR(TH!N67="1111",TH!O67="1111")),TH!D67,""),"")</f>
        <v/>
      </c>
      <c r="B67" s="63">
        <f t="shared" si="1"/>
        <v>1</v>
      </c>
      <c r="C67" s="404">
        <v>42390</v>
      </c>
      <c r="D67" s="64" t="s">
        <v>76</v>
      </c>
      <c r="E67" s="64">
        <v>42343</v>
      </c>
      <c r="F67" s="67" t="s">
        <v>413</v>
      </c>
      <c r="G67" s="361" t="s">
        <v>411</v>
      </c>
      <c r="H67" s="74" t="s">
        <v>412</v>
      </c>
      <c r="I67" s="515"/>
      <c r="J67" s="515"/>
      <c r="K67" s="507"/>
      <c r="L67" s="515"/>
      <c r="M67" s="65">
        <v>1380400</v>
      </c>
      <c r="N67" s="66" t="s">
        <v>10</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x</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row>
    <row r="68" spans="1:33" s="1049" customFormat="1" ht="15.75" customHeight="1">
      <c r="A68" s="398" t="str">
        <f>IF(B68&lt;&gt;"",IF(AND(B68&gt;=_TM1,B68&lt;=_TM2,OR(TH!N68="1111",TH!O68="1111")),TH!D68,""),"")</f>
        <v/>
      </c>
      <c r="B68" s="63">
        <f t="shared" si="1"/>
        <v>1</v>
      </c>
      <c r="C68" s="404">
        <v>42390</v>
      </c>
      <c r="D68" s="64" t="s">
        <v>8</v>
      </c>
      <c r="E68" s="64">
        <v>42390</v>
      </c>
      <c r="F68" s="67" t="s">
        <v>414</v>
      </c>
      <c r="G68" s="361" t="s">
        <v>810</v>
      </c>
      <c r="H68" s="74" t="s">
        <v>167</v>
      </c>
      <c r="I68" s="515"/>
      <c r="J68" s="515"/>
      <c r="K68" s="507"/>
      <c r="L68" s="515"/>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3" s="1049" customFormat="1" ht="15.75" customHeight="1">
      <c r="A69" s="398" t="str">
        <f>IF(B69&lt;&gt;"",IF(AND(B69&gt;=_TM1,B69&lt;=_TM2,OR(TH!N69="1111",TH!O69="1111")),TH!D69,""),"")</f>
        <v/>
      </c>
      <c r="B69" s="63">
        <f t="shared" si="1"/>
        <v>1</v>
      </c>
      <c r="C69" s="404">
        <v>42390</v>
      </c>
      <c r="D69" s="64" t="s">
        <v>8</v>
      </c>
      <c r="E69" s="64">
        <v>42390</v>
      </c>
      <c r="F69" s="67" t="s">
        <v>414</v>
      </c>
      <c r="G69" s="361" t="s">
        <v>810</v>
      </c>
      <c r="H69" s="74" t="s">
        <v>168</v>
      </c>
      <c r="I69" s="515"/>
      <c r="J69" s="515"/>
      <c r="K69" s="507"/>
      <c r="L69" s="515"/>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3" s="1049" customFormat="1" ht="15.75" customHeight="1">
      <c r="A70" s="398" t="str">
        <f>IF(B70&lt;&gt;"",IF(AND(B70&gt;=_TM1,B70&lt;=_TM2,OR(TH!N70="1111",TH!O70="1111")),TH!D70,""),"")</f>
        <v/>
      </c>
      <c r="B70" s="63">
        <f t="shared" si="1"/>
        <v>1</v>
      </c>
      <c r="C70" s="64">
        <v>42390</v>
      </c>
      <c r="D70" s="64" t="s">
        <v>77</v>
      </c>
      <c r="E70" s="64">
        <v>42390</v>
      </c>
      <c r="F70" s="67" t="s">
        <v>408</v>
      </c>
      <c r="G70" s="361" t="s">
        <v>415</v>
      </c>
      <c r="H70" s="74" t="s">
        <v>327</v>
      </c>
      <c r="I70" s="515"/>
      <c r="J70" s="515"/>
      <c r="K70" s="507"/>
      <c r="L70" s="515"/>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3" s="1049" customFormat="1" ht="15.75" customHeight="1">
      <c r="A71" s="398" t="str">
        <f>IF(B71&lt;&gt;"",IF(AND(B71&gt;=_TM1,B71&lt;=_TM2,OR(TH!N71="1111",TH!O71="1111")),TH!D71,""),"")</f>
        <v/>
      </c>
      <c r="B71" s="63">
        <f t="shared" si="1"/>
        <v>1</v>
      </c>
      <c r="C71" s="64">
        <v>42390</v>
      </c>
      <c r="D71" s="64" t="s">
        <v>78</v>
      </c>
      <c r="E71" s="64">
        <v>42390</v>
      </c>
      <c r="F71" s="67" t="s">
        <v>416</v>
      </c>
      <c r="G71" s="361" t="s">
        <v>417</v>
      </c>
      <c r="H71" s="74" t="s">
        <v>88</v>
      </c>
      <c r="I71" s="515"/>
      <c r="J71" s="515"/>
      <c r="K71" s="507"/>
      <c r="L71" s="515"/>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row>
    <row r="72" spans="1:33" s="1049" customFormat="1" ht="15.75" customHeight="1">
      <c r="A72" s="398" t="str">
        <f>IF(B72&lt;&gt;"",IF(AND(B72&gt;=_TM1,B72&lt;=_TM2,OR(TH!N72="1111",TH!O72="1111")),TH!D72,""),"")</f>
        <v/>
      </c>
      <c r="B72" s="63">
        <f t="shared" si="1"/>
        <v>1</v>
      </c>
      <c r="C72" s="404">
        <v>42390</v>
      </c>
      <c r="D72" s="64" t="s">
        <v>78</v>
      </c>
      <c r="E72" s="64">
        <v>42390</v>
      </c>
      <c r="F72" s="67" t="s">
        <v>418</v>
      </c>
      <c r="G72" s="361" t="s">
        <v>417</v>
      </c>
      <c r="H72" s="74" t="s">
        <v>88</v>
      </c>
      <c r="I72" s="515"/>
      <c r="J72" s="515"/>
      <c r="K72" s="507"/>
      <c r="L72" s="515"/>
      <c r="M72" s="65">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row>
    <row r="73" spans="1:33" s="1049" customFormat="1" ht="15.75" customHeight="1">
      <c r="A73" s="398" t="str">
        <f>IF(B73&lt;&gt;"",IF(AND(B73&gt;=_TM1,B73&lt;=_TM2,OR(TH!N73="1111",TH!O73="1111")),TH!D73,""),"")</f>
        <v/>
      </c>
      <c r="B73" s="63">
        <f t="shared" si="1"/>
        <v>1</v>
      </c>
      <c r="C73" s="404">
        <v>42391</v>
      </c>
      <c r="D73" s="64" t="s">
        <v>79</v>
      </c>
      <c r="E73" s="64">
        <v>42391</v>
      </c>
      <c r="F73" s="67" t="s">
        <v>419</v>
      </c>
      <c r="G73" s="361" t="s">
        <v>810</v>
      </c>
      <c r="H73" s="74" t="s">
        <v>161</v>
      </c>
      <c r="I73" s="515"/>
      <c r="J73" s="515"/>
      <c r="K73" s="507"/>
      <c r="L73" s="515"/>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3" s="1049" customFormat="1" ht="15.75" customHeight="1">
      <c r="A74" s="398" t="str">
        <f>IF(B74&lt;&gt;"",IF(AND(B74&gt;=_TM1,B74&lt;=_TM2,OR(TH!N74="1111",TH!O74="1111")),TH!D74,""),"")</f>
        <v/>
      </c>
      <c r="B74" s="63">
        <f t="shared" si="1"/>
        <v>1</v>
      </c>
      <c r="C74" s="64">
        <v>42391</v>
      </c>
      <c r="D74" s="64" t="s">
        <v>8</v>
      </c>
      <c r="E74" s="64">
        <v>42391</v>
      </c>
      <c r="F74" s="67" t="s">
        <v>414</v>
      </c>
      <c r="G74" s="361" t="s">
        <v>810</v>
      </c>
      <c r="H74" s="74" t="s">
        <v>170</v>
      </c>
      <c r="I74" s="515"/>
      <c r="J74" s="515"/>
      <c r="K74" s="507"/>
      <c r="L74" s="515"/>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3" s="1049" customFormat="1" ht="15.75" customHeight="1">
      <c r="A75" s="398" t="str">
        <f>IF(B75&lt;&gt;"",IF(AND(B75&gt;=_TM1,B75&lt;=_TM2,OR(TH!N75="1111",TH!O75="1111")),TH!D75,""),"")</f>
        <v/>
      </c>
      <c r="B75" s="63">
        <f t="shared" si="1"/>
        <v>1</v>
      </c>
      <c r="C75" s="64">
        <v>42391</v>
      </c>
      <c r="D75" s="64" t="s">
        <v>8</v>
      </c>
      <c r="E75" s="64">
        <v>42391</v>
      </c>
      <c r="F75" s="67" t="s">
        <v>414</v>
      </c>
      <c r="G75" s="361" t="s">
        <v>810</v>
      </c>
      <c r="H75" s="74" t="s">
        <v>169</v>
      </c>
      <c r="I75" s="515"/>
      <c r="J75" s="515"/>
      <c r="K75" s="507"/>
      <c r="L75" s="515"/>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3" s="1049" customFormat="1" ht="15.75" customHeight="1">
      <c r="A76" s="398" t="str">
        <f>IF(B76&lt;&gt;"",IF(AND(B76&gt;=_TM1,B76&lt;=_TM2,OR(TH!N76="1111",TH!O76="1111")),TH!D76,""),"")</f>
        <v/>
      </c>
      <c r="B76" s="63">
        <f t="shared" si="1"/>
        <v>1</v>
      </c>
      <c r="C76" s="64">
        <v>42391</v>
      </c>
      <c r="D76" s="64" t="s">
        <v>8</v>
      </c>
      <c r="E76" s="64">
        <v>42391</v>
      </c>
      <c r="F76" s="67" t="s">
        <v>414</v>
      </c>
      <c r="G76" s="361" t="s">
        <v>810</v>
      </c>
      <c r="H76" s="74" t="s">
        <v>171</v>
      </c>
      <c r="I76" s="515"/>
      <c r="J76" s="515"/>
      <c r="K76" s="507"/>
      <c r="L76" s="515"/>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3" s="1049" customFormat="1" ht="15.75" customHeight="1">
      <c r="A77" s="398" t="str">
        <f>IF(B77&lt;&gt;"",IF(AND(B77&gt;=_TM1,B77&lt;=_TM2,OR(TH!N77="1111",TH!O77="1111")),TH!D77,""),"")</f>
        <v/>
      </c>
      <c r="B77" s="63">
        <f t="shared" si="1"/>
        <v>1</v>
      </c>
      <c r="C77" s="64">
        <v>42391</v>
      </c>
      <c r="D77" s="64" t="s">
        <v>8</v>
      </c>
      <c r="E77" s="64">
        <v>42391</v>
      </c>
      <c r="F77" s="67" t="s">
        <v>414</v>
      </c>
      <c r="G77" s="361" t="s">
        <v>810</v>
      </c>
      <c r="H77" s="74" t="s">
        <v>172</v>
      </c>
      <c r="I77" s="515"/>
      <c r="J77" s="515"/>
      <c r="K77" s="507"/>
      <c r="L77" s="515"/>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3" s="1049" customFormat="1" ht="15.75" customHeight="1">
      <c r="A78" s="398" t="str">
        <f>IF(B78&lt;&gt;"",IF(AND(B78&gt;=_TM1,B78&lt;=_TM2,OR(TH!N78="1111",TH!O78="1111")),TH!D78,""),"")</f>
        <v/>
      </c>
      <c r="B78" s="63">
        <f t="shared" si="1"/>
        <v>1</v>
      </c>
      <c r="C78" s="404">
        <v>42391</v>
      </c>
      <c r="D78" s="64" t="s">
        <v>8</v>
      </c>
      <c r="E78" s="64">
        <v>42391</v>
      </c>
      <c r="F78" s="67" t="s">
        <v>414</v>
      </c>
      <c r="G78" s="361" t="s">
        <v>810</v>
      </c>
      <c r="H78" s="74" t="s">
        <v>173</v>
      </c>
      <c r="I78" s="515"/>
      <c r="J78" s="515"/>
      <c r="K78" s="507"/>
      <c r="L78" s="515"/>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3" s="1049" customFormat="1" ht="15.75" customHeight="1">
      <c r="A79" s="398" t="str">
        <f>IF(B79&lt;&gt;"",IF(AND(B79&gt;=_TM1,B79&lt;=_TM2,OR(TH!N79="1111",TH!O79="1111")),TH!D79,""),"")</f>
        <v/>
      </c>
      <c r="B79" s="63">
        <f t="shared" si="1"/>
        <v>1</v>
      </c>
      <c r="C79" s="64">
        <v>42391</v>
      </c>
      <c r="D79" s="64" t="s">
        <v>8</v>
      </c>
      <c r="E79" s="64">
        <v>42391</v>
      </c>
      <c r="F79" s="67" t="s">
        <v>414</v>
      </c>
      <c r="G79" s="361" t="s">
        <v>810</v>
      </c>
      <c r="H79" s="74" t="s">
        <v>174</v>
      </c>
      <c r="I79" s="515"/>
      <c r="J79" s="515"/>
      <c r="K79" s="507"/>
      <c r="L79" s="515"/>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3" s="1049" customFormat="1" ht="15.75" customHeight="1">
      <c r="A80" s="398" t="str">
        <f>IF(B80&lt;&gt;"",IF(AND(B80&gt;=_TM1,B80&lt;=_TM2,OR(TH!N80="1111",TH!O80="1111")),TH!D80,""),"")</f>
        <v/>
      </c>
      <c r="B80" s="63">
        <f t="shared" si="1"/>
        <v>1</v>
      </c>
      <c r="C80" s="64">
        <v>42391</v>
      </c>
      <c r="D80" s="64" t="s">
        <v>8</v>
      </c>
      <c r="E80" s="64">
        <v>42391</v>
      </c>
      <c r="F80" s="67" t="s">
        <v>414</v>
      </c>
      <c r="G80" s="361" t="s">
        <v>810</v>
      </c>
      <c r="H80" s="74" t="s">
        <v>175</v>
      </c>
      <c r="I80" s="515"/>
      <c r="J80" s="515"/>
      <c r="K80" s="507"/>
      <c r="L80" s="515"/>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3" s="1049" customFormat="1" ht="15.75" customHeight="1">
      <c r="A81" s="398" t="str">
        <f>IF(B81&lt;&gt;"",IF(AND(B81&gt;=_TM1,B81&lt;=_TM2,OR(TH!N81="1111",TH!O81="1111")),TH!D81,""),"")</f>
        <v/>
      </c>
      <c r="B81" s="63">
        <f t="shared" si="1"/>
        <v>1</v>
      </c>
      <c r="C81" s="64">
        <v>42391</v>
      </c>
      <c r="D81" s="64" t="s">
        <v>8</v>
      </c>
      <c r="E81" s="64">
        <v>42391</v>
      </c>
      <c r="F81" s="67" t="s">
        <v>414</v>
      </c>
      <c r="G81" s="361" t="s">
        <v>810</v>
      </c>
      <c r="H81" s="74" t="s">
        <v>177</v>
      </c>
      <c r="I81" s="515"/>
      <c r="J81" s="515"/>
      <c r="K81" s="507"/>
      <c r="L81" s="515"/>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3" s="1049" customFormat="1" ht="15.75" customHeight="1">
      <c r="A82" s="398" t="str">
        <f>IF(B82&lt;&gt;"",IF(AND(B82&gt;=_TM1,B82&lt;=_TM2,OR(TH!N82="1111",TH!O82="1111")),TH!D82,""),"")</f>
        <v/>
      </c>
      <c r="B82" s="63">
        <f t="shared" si="1"/>
        <v>1</v>
      </c>
      <c r="C82" s="64">
        <v>42391</v>
      </c>
      <c r="D82" s="64" t="s">
        <v>8</v>
      </c>
      <c r="E82" s="64">
        <v>42391</v>
      </c>
      <c r="F82" s="67" t="s">
        <v>414</v>
      </c>
      <c r="G82" s="361" t="s">
        <v>810</v>
      </c>
      <c r="H82" s="74" t="s">
        <v>180</v>
      </c>
      <c r="I82" s="515"/>
      <c r="J82" s="515"/>
      <c r="K82" s="507"/>
      <c r="L82" s="515"/>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2"/>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3" s="1049" customFormat="1" ht="15.75" customHeight="1">
      <c r="A83" s="398" t="str">
        <f>IF(B83&lt;&gt;"",IF(AND(B83&gt;=_TM1,B83&lt;=_TM2,OR(TH!N83="1111",TH!O83="1111")),TH!D83,""),"")</f>
        <v/>
      </c>
      <c r="B83" s="63">
        <f t="shared" ref="B83:B146" si="3">IF(C83&lt;&gt;"",MONTH(C83),"")</f>
        <v>1</v>
      </c>
      <c r="C83" s="64">
        <v>42391</v>
      </c>
      <c r="D83" s="64" t="s">
        <v>8</v>
      </c>
      <c r="E83" s="64">
        <v>42391</v>
      </c>
      <c r="F83" s="67" t="s">
        <v>414</v>
      </c>
      <c r="G83" s="361" t="s">
        <v>810</v>
      </c>
      <c r="H83" s="74" t="s">
        <v>181</v>
      </c>
      <c r="I83" s="515"/>
      <c r="J83" s="515"/>
      <c r="K83" s="507"/>
      <c r="L83" s="515"/>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2"/>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3" s="1049" customFormat="1" ht="15.75" customHeight="1">
      <c r="A84" s="398" t="str">
        <f>IF(B84&lt;&gt;"",IF(AND(B84&gt;=_TM1,B84&lt;=_TM2,OR(TH!N84="1111",TH!O84="1111")),TH!D84,""),"")</f>
        <v/>
      </c>
      <c r="B84" s="63">
        <f t="shared" si="3"/>
        <v>1</v>
      </c>
      <c r="C84" s="64">
        <v>42391</v>
      </c>
      <c r="D84" s="64" t="s">
        <v>8</v>
      </c>
      <c r="E84" s="64">
        <v>42391</v>
      </c>
      <c r="F84" s="67" t="s">
        <v>414</v>
      </c>
      <c r="G84" s="361" t="s">
        <v>810</v>
      </c>
      <c r="H84" s="74" t="s">
        <v>185</v>
      </c>
      <c r="I84" s="515"/>
      <c r="J84" s="515"/>
      <c r="K84" s="507"/>
      <c r="L84" s="515"/>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2"/>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3" s="1049" customFormat="1" ht="15.75" customHeight="1">
      <c r="A85" s="398" t="str">
        <f>IF(B85&lt;&gt;"",IF(AND(B85&gt;=_TM1,B85&lt;=_TM2,OR(TH!N85="1111",TH!O85="1111")),TH!D85,""),"")</f>
        <v/>
      </c>
      <c r="B85" s="63">
        <f t="shared" si="3"/>
        <v>1</v>
      </c>
      <c r="C85" s="404">
        <v>42391</v>
      </c>
      <c r="D85" s="64" t="s">
        <v>8</v>
      </c>
      <c r="E85" s="64">
        <v>42391</v>
      </c>
      <c r="F85" s="67" t="s">
        <v>414</v>
      </c>
      <c r="G85" s="361" t="s">
        <v>810</v>
      </c>
      <c r="H85" s="74" t="s">
        <v>176</v>
      </c>
      <c r="I85" s="515"/>
      <c r="J85" s="515"/>
      <c r="K85" s="507"/>
      <c r="L85" s="515"/>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2"/>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3" s="1049" customFormat="1" ht="15.75" customHeight="1">
      <c r="A86" s="398" t="str">
        <f>IF(B86&lt;&gt;"",IF(AND(B86&gt;=_TM1,B86&lt;=_TM2,OR(TH!N86="1111",TH!O86="1111")),TH!D86,""),"")</f>
        <v/>
      </c>
      <c r="B86" s="63">
        <f t="shared" si="3"/>
        <v>1</v>
      </c>
      <c r="C86" s="64">
        <v>42391</v>
      </c>
      <c r="D86" s="64" t="s">
        <v>80</v>
      </c>
      <c r="E86" s="64">
        <v>42391</v>
      </c>
      <c r="F86" s="67" t="s">
        <v>420</v>
      </c>
      <c r="G86" s="361" t="s">
        <v>421</v>
      </c>
      <c r="H86" s="74" t="s">
        <v>331</v>
      </c>
      <c r="I86" s="515"/>
      <c r="J86" s="515"/>
      <c r="K86" s="507"/>
      <c r="L86" s="515"/>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ref="AC86:AC149" si="4">IF(AND(1&lt;=$B86,$B86&lt;=3),"1",IF(AND(4&lt;=$B86,$B86&lt;=6),"2",IF(AND(7&lt;=$B86,$B86&lt;=9),"3",IF(AND(10&lt;=$B86,$B86&lt;=12),"4",""))))</f>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3" s="1049" customFormat="1" ht="15.75" customHeight="1">
      <c r="A87" s="398" t="str">
        <f>IF(B87&lt;&gt;"",IF(AND(B87&gt;=_TM1,B87&lt;=_TM2,OR(TH!N87="1111",TH!O87="1111")),TH!D87,""),"")</f>
        <v/>
      </c>
      <c r="B87" s="63">
        <f t="shared" si="3"/>
        <v>1</v>
      </c>
      <c r="C87" s="64">
        <v>42392</v>
      </c>
      <c r="D87" s="64" t="s">
        <v>8</v>
      </c>
      <c r="E87" s="64">
        <v>42392</v>
      </c>
      <c r="F87" s="67" t="s">
        <v>58</v>
      </c>
      <c r="G87" s="361" t="s">
        <v>810</v>
      </c>
      <c r="H87" s="74"/>
      <c r="I87" s="515"/>
      <c r="J87" s="515"/>
      <c r="K87" s="507"/>
      <c r="L87" s="515"/>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4"/>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3" s="1049" customFormat="1" ht="15.75" customHeight="1">
      <c r="A88" s="398" t="str">
        <f>IF(B88&lt;&gt;"",IF(AND(B88&gt;=_TM1,B88&lt;=_TM2,OR(TH!N88="1111",TH!O88="1111")),TH!D88,""),"")</f>
        <v/>
      </c>
      <c r="B88" s="63">
        <f t="shared" si="3"/>
        <v>1</v>
      </c>
      <c r="C88" s="64">
        <v>42392</v>
      </c>
      <c r="D88" s="64" t="s">
        <v>81</v>
      </c>
      <c r="E88" s="64">
        <v>42392</v>
      </c>
      <c r="F88" s="67" t="s">
        <v>422</v>
      </c>
      <c r="G88" s="375" t="s">
        <v>423</v>
      </c>
      <c r="H88" s="74" t="s">
        <v>424</v>
      </c>
      <c r="I88" s="515"/>
      <c r="J88" s="515"/>
      <c r="K88" s="507"/>
      <c r="L88" s="515"/>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4"/>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3" s="1049" customFormat="1" ht="15.75" customHeight="1">
      <c r="A89" s="398" t="str">
        <f>IF(B89&lt;&gt;"",IF(AND(B89&gt;=_TM1,B89&lt;=_TM2,OR(TH!N89="1111",TH!O89="1111")),TH!D89,""),"")</f>
        <v/>
      </c>
      <c r="B89" s="63">
        <f t="shared" si="3"/>
        <v>1</v>
      </c>
      <c r="C89" s="64">
        <v>42392</v>
      </c>
      <c r="D89" s="64" t="s">
        <v>82</v>
      </c>
      <c r="E89" s="64">
        <v>42392</v>
      </c>
      <c r="F89" s="67" t="s">
        <v>408</v>
      </c>
      <c r="G89" s="375" t="s">
        <v>425</v>
      </c>
      <c r="H89" s="74" t="s">
        <v>426</v>
      </c>
      <c r="I89" s="515"/>
      <c r="J89" s="515"/>
      <c r="K89" s="507"/>
      <c r="L89" s="515"/>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4"/>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3" s="1049" customFormat="1" ht="15.75" customHeight="1">
      <c r="A90" s="398" t="str">
        <f>IF(B90&lt;&gt;"",IF(AND(B90&gt;=_TM1,B90&lt;=_TM2,OR(TH!N90="1111",TH!O90="1111")),TH!D90,""),"")</f>
        <v/>
      </c>
      <c r="B90" s="63">
        <f t="shared" si="3"/>
        <v>1</v>
      </c>
      <c r="C90" s="64">
        <v>42395</v>
      </c>
      <c r="D90" s="64" t="s">
        <v>188</v>
      </c>
      <c r="E90" s="64">
        <v>42395</v>
      </c>
      <c r="F90" s="67" t="s">
        <v>427</v>
      </c>
      <c r="G90" s="361"/>
      <c r="H90" s="74" t="s">
        <v>428</v>
      </c>
      <c r="I90" s="515"/>
      <c r="J90" s="515"/>
      <c r="K90" s="507"/>
      <c r="L90" s="515"/>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4"/>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3" s="1049" customFormat="1" ht="15.75" customHeight="1">
      <c r="A91" s="398" t="str">
        <f>IF(B91&lt;&gt;"",IF(AND(B91&gt;=_TM1,B91&lt;=_TM2,OR(TH!N91="1111",TH!O91="1111")),TH!D91,""),"")</f>
        <v/>
      </c>
      <c r="B91" s="63">
        <f t="shared" si="3"/>
        <v>1</v>
      </c>
      <c r="C91" s="64">
        <v>42396</v>
      </c>
      <c r="D91" s="64" t="s">
        <v>189</v>
      </c>
      <c r="E91" s="64">
        <v>42392</v>
      </c>
      <c r="F91" s="67" t="s">
        <v>429</v>
      </c>
      <c r="G91" s="361" t="s">
        <v>430</v>
      </c>
      <c r="H91" s="74" t="s">
        <v>424</v>
      </c>
      <c r="I91" s="515"/>
      <c r="J91" s="515"/>
      <c r="K91" s="507"/>
      <c r="L91" s="515"/>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4"/>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3" s="1049" customFormat="1" ht="15.75" customHeight="1">
      <c r="A92" s="398" t="str">
        <f>IF(B92&lt;&gt;"",IF(AND(B92&gt;=_TM1,B92&lt;=_TM2,OR(TH!N92="1111",TH!O92="1111")),TH!D92,""),"")</f>
        <v/>
      </c>
      <c r="B92" s="63">
        <f t="shared" si="3"/>
        <v>1</v>
      </c>
      <c r="C92" s="64">
        <v>42398</v>
      </c>
      <c r="D92" s="64" t="s">
        <v>190</v>
      </c>
      <c r="E92" s="64">
        <v>42398</v>
      </c>
      <c r="F92" s="67" t="s">
        <v>419</v>
      </c>
      <c r="G92" s="361" t="s">
        <v>810</v>
      </c>
      <c r="H92" s="74" t="s">
        <v>161</v>
      </c>
      <c r="I92" s="515"/>
      <c r="J92" s="515"/>
      <c r="K92" s="507"/>
      <c r="L92" s="515"/>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4"/>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3" s="1049" customFormat="1" ht="15.75" customHeight="1">
      <c r="A93" s="398" t="str">
        <f>IF(B93&lt;&gt;"",IF(AND(B93&gt;=_TM1,B93&lt;=_TM2,OR(TH!N93="1111",TH!O93="1111")),TH!D93,""),"")</f>
        <v/>
      </c>
      <c r="B93" s="63">
        <f t="shared" si="3"/>
        <v>1</v>
      </c>
      <c r="C93" s="64">
        <v>42399</v>
      </c>
      <c r="D93" s="64" t="s">
        <v>8</v>
      </c>
      <c r="E93" s="64">
        <v>42399</v>
      </c>
      <c r="F93" s="67" t="s">
        <v>164</v>
      </c>
      <c r="G93" s="361" t="s">
        <v>810</v>
      </c>
      <c r="H93" s="74" t="s">
        <v>165</v>
      </c>
      <c r="I93" s="515"/>
      <c r="J93" s="515"/>
      <c r="K93" s="507"/>
      <c r="L93" s="515"/>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4"/>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3" s="1049" customFormat="1" ht="15.75" customHeight="1">
      <c r="A94" s="398" t="str">
        <f>IF(B94&lt;&gt;"",IF(AND(B94&gt;=_TM1,B94&lt;=_TM2,OR(TH!N94="1111",TH!O94="1111")),TH!D94,""),"")</f>
        <v/>
      </c>
      <c r="B94" s="63">
        <f t="shared" si="3"/>
        <v>1</v>
      </c>
      <c r="C94" s="64">
        <v>42399</v>
      </c>
      <c r="D94" s="64" t="s">
        <v>8</v>
      </c>
      <c r="E94" s="64">
        <v>42399</v>
      </c>
      <c r="F94" s="67" t="s">
        <v>22</v>
      </c>
      <c r="G94" s="361" t="s">
        <v>810</v>
      </c>
      <c r="H94" s="74"/>
      <c r="I94" s="515"/>
      <c r="J94" s="515"/>
      <c r="K94" s="507"/>
      <c r="L94" s="515"/>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4"/>
        <v>1</v>
      </c>
      <c r="AD94" s="66" t="str">
        <f>IF(AND(MONTH(E94)='IN-NX'!$J$5,'IN-NX'!$D$7=D94,OR(LEFT(TH!N94,2)="15",LEFT(TH!O94,2)="15")),"x","")</f>
        <v/>
      </c>
      <c r="AE94" s="66" t="str">
        <f>IF(AND(OR(LEFT(TH!N94,2)="15",LEFT(TH!O94,2)="15"),'152-CT'!$J$8=TH!F94),"x","")</f>
        <v/>
      </c>
      <c r="AF94" s="66" t="str">
        <f>IF(AND(OR(LEFT(TH!N94,2)="15",LEFT(TH!O94,2)="15"),'THE KHO'!$E$7=TH!F94),"x","")</f>
        <v/>
      </c>
      <c r="AG94" s="66" t="str">
        <f>IF(AND(N94="1521",MONTH(C94)='BK NL'!$M$11),"x","")</f>
        <v/>
      </c>
    </row>
    <row r="95" spans="1:33" s="1049" customFormat="1" ht="15.75" customHeight="1">
      <c r="A95" s="398" t="str">
        <f>IF(B95&lt;&gt;"",IF(AND(B95&gt;=_TM1,B95&lt;=_TM2,OR(TH!N95="1111",TH!O95="1111")),TH!D95,""),"")</f>
        <v/>
      </c>
      <c r="B95" s="63">
        <f t="shared" si="3"/>
        <v>1</v>
      </c>
      <c r="C95" s="64">
        <v>42399</v>
      </c>
      <c r="D95" s="64" t="s">
        <v>8</v>
      </c>
      <c r="E95" s="64">
        <v>42399</v>
      </c>
      <c r="F95" s="67" t="s">
        <v>23</v>
      </c>
      <c r="G95" s="361" t="s">
        <v>810</v>
      </c>
      <c r="H95" s="74"/>
      <c r="I95" s="515"/>
      <c r="J95" s="515"/>
      <c r="K95" s="507"/>
      <c r="L95" s="515"/>
      <c r="M95" s="65">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4"/>
        <v>1</v>
      </c>
      <c r="AD95" s="66" t="str">
        <f>IF(AND(MONTH(E95)='IN-NX'!$J$5,'IN-NX'!$D$7=D95,OR(LEFT(TH!N95,2)="15",LEFT(TH!O95,2)="15")),"x","")</f>
        <v/>
      </c>
      <c r="AE95" s="66" t="str">
        <f>IF(AND(OR(LEFT(TH!N95,2)="15",LEFT(TH!O95,2)="15"),'152-CT'!$J$8=TH!F95),"x","")</f>
        <v/>
      </c>
      <c r="AF95" s="66" t="str">
        <f>IF(AND(OR(LEFT(TH!N95,2)="15",LEFT(TH!O95,2)="15"),'THE KHO'!$E$7=TH!F95),"x","")</f>
        <v/>
      </c>
      <c r="AG95" s="66" t="str">
        <f>IF(AND(N95="1521",MONTH(C95)='BK NL'!$M$11),"x","")</f>
        <v/>
      </c>
    </row>
    <row r="96" spans="1:33" s="1049" customFormat="1" ht="15.75" customHeight="1">
      <c r="A96" s="398" t="str">
        <f>IF(B96&lt;&gt;"",IF(AND(B96&gt;=_TM1,B96&lt;=_TM2,OR(TH!N96="1111",TH!O96="1111")),TH!D96,""),"")</f>
        <v/>
      </c>
      <c r="B96" s="63">
        <f t="shared" si="3"/>
        <v>1</v>
      </c>
      <c r="C96" s="64">
        <v>42399</v>
      </c>
      <c r="D96" s="64" t="s">
        <v>8</v>
      </c>
      <c r="E96" s="64">
        <v>42399</v>
      </c>
      <c r="F96" s="67" t="s">
        <v>164</v>
      </c>
      <c r="G96" s="361" t="s">
        <v>810</v>
      </c>
      <c r="H96" s="74" t="s">
        <v>51</v>
      </c>
      <c r="I96" s="515"/>
      <c r="J96" s="515"/>
      <c r="K96" s="507"/>
      <c r="L96" s="515"/>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4"/>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3" s="1049" customFormat="1" ht="15.75" customHeight="1">
      <c r="A97" s="398" t="str">
        <f>IF(B97&lt;&gt;"",IF(AND(B97&gt;=_TM1,B97&lt;=_TM2,OR(TH!N97="1111",TH!O97="1111")),TH!D97,""),"")</f>
        <v/>
      </c>
      <c r="B97" s="63">
        <f t="shared" si="3"/>
        <v>1</v>
      </c>
      <c r="C97" s="404">
        <v>42399</v>
      </c>
      <c r="D97" s="64" t="s">
        <v>8</v>
      </c>
      <c r="E97" s="64">
        <v>42399</v>
      </c>
      <c r="F97" s="67" t="s">
        <v>22</v>
      </c>
      <c r="G97" s="361" t="s">
        <v>810</v>
      </c>
      <c r="H97" s="74"/>
      <c r="I97" s="515"/>
      <c r="J97" s="515"/>
      <c r="K97" s="507"/>
      <c r="L97" s="515"/>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4"/>
        <v>1</v>
      </c>
      <c r="AD97" s="66" t="str">
        <f>IF(AND(MONTH(E97)='IN-NX'!$J$5,'IN-NX'!$D$7=D97,OR(LEFT(TH!N97,2)="15",LEFT(TH!O97,2)="15")),"x","")</f>
        <v/>
      </c>
      <c r="AE97" s="66" t="str">
        <f>IF(AND(OR(LEFT(TH!N97,2)="15",LEFT(TH!O97,2)="15"),'152-CT'!$J$8=TH!F97),"x","")</f>
        <v/>
      </c>
      <c r="AF97" s="66" t="str">
        <f>IF(AND(OR(LEFT(TH!N97,2)="15",LEFT(TH!O97,2)="15"),'THE KHO'!$E$7=TH!F97),"x","")</f>
        <v/>
      </c>
      <c r="AG97" s="66" t="str">
        <f>IF(AND(N97="1521",MONTH(C97)='BK NL'!$M$11),"x","")</f>
        <v/>
      </c>
    </row>
    <row r="98" spans="1:33" s="1049" customFormat="1" ht="15.75" customHeight="1">
      <c r="A98" s="398" t="str">
        <f>IF(B98&lt;&gt;"",IF(AND(B98&gt;=_TM1,B98&lt;=_TM2,OR(TH!N98="1111",TH!O98="1111")),TH!D98,""),"")</f>
        <v/>
      </c>
      <c r="B98" s="63">
        <f t="shared" si="3"/>
        <v>1</v>
      </c>
      <c r="C98" s="64">
        <v>42399</v>
      </c>
      <c r="D98" s="64" t="s">
        <v>8</v>
      </c>
      <c r="E98" s="64">
        <v>42399</v>
      </c>
      <c r="F98" s="67" t="s">
        <v>23</v>
      </c>
      <c r="G98" s="361" t="s">
        <v>810</v>
      </c>
      <c r="H98" s="74"/>
      <c r="I98" s="515"/>
      <c r="J98" s="515"/>
      <c r="K98" s="507"/>
      <c r="L98" s="515"/>
      <c r="M98" s="65">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4"/>
        <v>1</v>
      </c>
      <c r="AD98" s="66" t="str">
        <f>IF(AND(MONTH(E98)='IN-NX'!$J$5,'IN-NX'!$D$7=D98,OR(LEFT(TH!N98,2)="15",LEFT(TH!O98,2)="15")),"x","")</f>
        <v/>
      </c>
      <c r="AE98" s="66" t="str">
        <f>IF(AND(OR(LEFT(TH!N98,2)="15",LEFT(TH!O98,2)="15"),'152-CT'!$J$8=TH!F98),"x","")</f>
        <v/>
      </c>
      <c r="AF98" s="66" t="str">
        <f>IF(AND(OR(LEFT(TH!N98,2)="15",LEFT(TH!O98,2)="15"),'THE KHO'!$E$7=TH!F98),"x","")</f>
        <v/>
      </c>
      <c r="AG98" s="66" t="str">
        <f>IF(AND(N98="1521",MONTH(C98)='BK NL'!$M$11),"x","")</f>
        <v/>
      </c>
    </row>
    <row r="99" spans="1:33" s="1049" customFormat="1" ht="15.75" customHeight="1">
      <c r="A99" s="398" t="str">
        <f>IF(B99&lt;&gt;"",IF(AND(B99&gt;=_TM1,B99&lt;=_TM2,OR(TH!N99="1111",TH!O99="1111")),TH!D99,""),"")</f>
        <v/>
      </c>
      <c r="B99" s="63">
        <f t="shared" si="3"/>
        <v>1</v>
      </c>
      <c r="C99" s="64">
        <v>42399</v>
      </c>
      <c r="D99" s="64" t="s">
        <v>8</v>
      </c>
      <c r="E99" s="64">
        <v>42399</v>
      </c>
      <c r="F99" s="67" t="s">
        <v>431</v>
      </c>
      <c r="G99" s="361" t="s">
        <v>810</v>
      </c>
      <c r="H99" s="74" t="s">
        <v>222</v>
      </c>
      <c r="I99" s="515"/>
      <c r="J99" s="515"/>
      <c r="K99" s="507"/>
      <c r="L99" s="515"/>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4"/>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3" s="1049" customFormat="1" ht="15.75" customHeight="1">
      <c r="A100" s="398" t="str">
        <f>IF(B100&lt;&gt;"",IF(AND(B100&gt;=_TM1,B100&lt;=_TM2,OR(TH!N100="1111",TH!O100="1111")),TH!D100,""),"")</f>
        <v/>
      </c>
      <c r="B100" s="63">
        <f t="shared" si="3"/>
        <v>1</v>
      </c>
      <c r="C100" s="404">
        <v>42399</v>
      </c>
      <c r="D100" s="64" t="s">
        <v>8</v>
      </c>
      <c r="E100" s="64">
        <v>42399</v>
      </c>
      <c r="F100" s="67" t="s">
        <v>22</v>
      </c>
      <c r="G100" s="361" t="s">
        <v>810</v>
      </c>
      <c r="H100" s="74"/>
      <c r="I100" s="515"/>
      <c r="J100" s="515"/>
      <c r="K100" s="507"/>
      <c r="L100" s="515"/>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4"/>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row>
    <row r="101" spans="1:33" s="1049" customFormat="1" ht="15.75" customHeight="1">
      <c r="A101" s="398" t="str">
        <f>IF(B101&lt;&gt;"",IF(AND(B101&gt;=_TM1,B101&lt;=_TM2,OR(TH!N101="1111",TH!O101="1111")),TH!D101,""),"")</f>
        <v/>
      </c>
      <c r="B101" s="63">
        <f t="shared" si="3"/>
        <v>1</v>
      </c>
      <c r="C101" s="64">
        <v>42399</v>
      </c>
      <c r="D101" s="64" t="s">
        <v>8</v>
      </c>
      <c r="E101" s="64">
        <v>42399</v>
      </c>
      <c r="F101" s="67" t="s">
        <v>23</v>
      </c>
      <c r="G101" s="361" t="s">
        <v>810</v>
      </c>
      <c r="H101" s="74"/>
      <c r="I101" s="515"/>
      <c r="J101" s="515"/>
      <c r="K101" s="507"/>
      <c r="L101" s="515"/>
      <c r="M101" s="65">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4"/>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row>
    <row r="102" spans="1:33" s="1049" customFormat="1" ht="15.75" customHeight="1">
      <c r="A102" s="398" t="str">
        <f>IF(B102&lt;&gt;"",IF(AND(B102&gt;=_TM1,B102&lt;=_TM2,OR(TH!N102="1111",TH!O102="1111")),TH!D102,""),"")</f>
        <v/>
      </c>
      <c r="B102" s="63">
        <f t="shared" si="3"/>
        <v>1</v>
      </c>
      <c r="C102" s="404">
        <v>42400</v>
      </c>
      <c r="D102" s="64" t="s">
        <v>191</v>
      </c>
      <c r="E102" s="64">
        <v>42400</v>
      </c>
      <c r="F102" s="67" t="s">
        <v>328</v>
      </c>
      <c r="G102" s="361" t="s">
        <v>432</v>
      </c>
      <c r="H102" s="74" t="s">
        <v>433</v>
      </c>
      <c r="I102" s="515"/>
      <c r="J102" s="515"/>
      <c r="K102" s="507"/>
      <c r="L102" s="515"/>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4"/>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row>
    <row r="103" spans="1:33" s="1049" customFormat="1" ht="15.75" customHeight="1">
      <c r="A103" s="398" t="str">
        <f>IF(B103&lt;&gt;"",IF(AND(B103&gt;=_TM1,B103&lt;=_TM2,OR(TH!N103="1111",TH!O103="1111")),TH!D103,""),"")</f>
        <v/>
      </c>
      <c r="B103" s="63">
        <f t="shared" si="3"/>
        <v>1</v>
      </c>
      <c r="C103" s="64">
        <v>42400</v>
      </c>
      <c r="D103" s="64" t="s">
        <v>191</v>
      </c>
      <c r="E103" s="64">
        <v>42400</v>
      </c>
      <c r="F103" s="67" t="s">
        <v>329</v>
      </c>
      <c r="G103" s="361" t="s">
        <v>432</v>
      </c>
      <c r="H103" s="74" t="s">
        <v>433</v>
      </c>
      <c r="I103" s="515"/>
      <c r="J103" s="515"/>
      <c r="K103" s="507"/>
      <c r="L103" s="515"/>
      <c r="M103" s="65">
        <v>145455</v>
      </c>
      <c r="N103" s="66" t="s">
        <v>10</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x</v>
      </c>
      <c r="Y103" s="66" t="str">
        <f>IF(AND($N103=$X$7,$B103&lt;'1331'!$I$9),"x","")</f>
        <v/>
      </c>
      <c r="Z103" s="66" t="str">
        <f>IF(AND($O103=$X$7,$B103&lt;'1331'!$I$9),"x","")</f>
        <v/>
      </c>
      <c r="AA103" s="66" t="str">
        <f>IF(AND('341-CT'!$H$9=H103,OR(LEFT(N103,3)=$AA$7,LEFT(O103,3)=$AA$7)),"x","")</f>
        <v/>
      </c>
      <c r="AB103" s="66" t="str">
        <f>IF(OR(TH!N103=TH!$AB$7,O103=TH!$AB$7),"x","")</f>
        <v/>
      </c>
      <c r="AC103" s="66" t="str">
        <f t="shared" si="4"/>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row>
    <row r="104" spans="1:33" s="1049" customFormat="1" ht="15.75" customHeight="1">
      <c r="A104" s="398" t="str">
        <f>IF(B104&lt;&gt;"",IF(AND(B104&gt;=_TM1,B104&lt;=_TM2,OR(TH!N104="1111",TH!O104="1111")),TH!D104,""),"")</f>
        <v/>
      </c>
      <c r="B104" s="63">
        <f t="shared" si="3"/>
        <v>2</v>
      </c>
      <c r="C104" s="64">
        <v>42401</v>
      </c>
      <c r="D104" s="64" t="s">
        <v>192</v>
      </c>
      <c r="E104" s="64">
        <v>42401</v>
      </c>
      <c r="F104" s="67" t="s">
        <v>408</v>
      </c>
      <c r="G104" s="361" t="s">
        <v>434</v>
      </c>
      <c r="H104" s="76" t="s">
        <v>327</v>
      </c>
      <c r="I104" s="516"/>
      <c r="J104" s="516"/>
      <c r="K104" s="508"/>
      <c r="L104" s="516"/>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4"/>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3" s="1049" customFormat="1" ht="15.75" customHeight="1">
      <c r="A105" s="398" t="str">
        <f>IF(B105&lt;&gt;"",IF(AND(B105&gt;=_TM1,B105&lt;=_TM2,OR(TH!N105="1111",TH!O105="1111")),TH!D105,""),"")</f>
        <v/>
      </c>
      <c r="B105" s="63">
        <f t="shared" si="3"/>
        <v>2</v>
      </c>
      <c r="C105" s="64">
        <v>42403</v>
      </c>
      <c r="D105" s="64" t="s">
        <v>193</v>
      </c>
      <c r="E105" s="64">
        <v>42403</v>
      </c>
      <c r="F105" s="67" t="s">
        <v>419</v>
      </c>
      <c r="G105" s="361" t="s">
        <v>810</v>
      </c>
      <c r="H105" s="76" t="s">
        <v>161</v>
      </c>
      <c r="I105" s="516"/>
      <c r="J105" s="516"/>
      <c r="K105" s="508"/>
      <c r="L105" s="516"/>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4"/>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3" s="1049" customFormat="1" ht="15.75" customHeight="1">
      <c r="A106" s="398" t="str">
        <f>IF(B106&lt;&gt;"",IF(AND(B106&gt;=_TM1,B106&lt;=_TM2,OR(TH!N106="1111",TH!O106="1111")),TH!D106,""),"")</f>
        <v/>
      </c>
      <c r="B106" s="63">
        <f t="shared" si="3"/>
        <v>2</v>
      </c>
      <c r="C106" s="404">
        <v>42403</v>
      </c>
      <c r="D106" s="64" t="s">
        <v>8</v>
      </c>
      <c r="E106" s="64">
        <v>42403</v>
      </c>
      <c r="F106" s="67" t="s">
        <v>435</v>
      </c>
      <c r="G106" s="361" t="s">
        <v>810</v>
      </c>
      <c r="H106" s="74" t="s">
        <v>222</v>
      </c>
      <c r="I106" s="515"/>
      <c r="J106" s="515"/>
      <c r="K106" s="507"/>
      <c r="L106" s="515"/>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4"/>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3" s="1049" customFormat="1" ht="15.75" customHeight="1">
      <c r="A107" s="398" t="str">
        <f>IF(B107&lt;&gt;"",IF(AND(B107&gt;=_TM1,B107&lt;=_TM2,OR(TH!N107="1111",TH!O107="1111")),TH!D107,""),"")</f>
        <v/>
      </c>
      <c r="B107" s="63">
        <f t="shared" si="3"/>
        <v>2</v>
      </c>
      <c r="C107" s="404">
        <v>42403</v>
      </c>
      <c r="D107" s="64" t="s">
        <v>8</v>
      </c>
      <c r="E107" s="64">
        <v>42403</v>
      </c>
      <c r="F107" s="67" t="s">
        <v>22</v>
      </c>
      <c r="G107" s="361" t="s">
        <v>810</v>
      </c>
      <c r="H107" s="76"/>
      <c r="I107" s="516"/>
      <c r="J107" s="516"/>
      <c r="K107" s="508"/>
      <c r="L107" s="516"/>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4"/>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row>
    <row r="108" spans="1:33" s="1049" customFormat="1" ht="15.75" customHeight="1">
      <c r="A108" s="398" t="str">
        <f>IF(B108&lt;&gt;"",IF(AND(B108&gt;=_TM1,B108&lt;=_TM2,OR(TH!N108="1111",TH!O108="1111")),TH!D108,""),"")</f>
        <v/>
      </c>
      <c r="B108" s="63">
        <f t="shared" si="3"/>
        <v>2</v>
      </c>
      <c r="C108" s="64">
        <v>42403</v>
      </c>
      <c r="D108" s="64" t="s">
        <v>8</v>
      </c>
      <c r="E108" s="64">
        <v>42403</v>
      </c>
      <c r="F108" s="67" t="s">
        <v>23</v>
      </c>
      <c r="G108" s="361" t="s">
        <v>810</v>
      </c>
      <c r="H108" s="74"/>
      <c r="I108" s="515"/>
      <c r="J108" s="515"/>
      <c r="K108" s="507"/>
      <c r="L108" s="515"/>
      <c r="M108" s="65">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4"/>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row>
    <row r="109" spans="1:33" s="1049" customFormat="1" ht="15.75" customHeight="1">
      <c r="A109" s="398" t="str">
        <f>IF(B109&lt;&gt;"",IF(AND(B109&gt;=_TM1,B109&lt;=_TM2,OR(TH!N109="1111",TH!O109="1111")),TH!D109,""),"")</f>
        <v/>
      </c>
      <c r="B109" s="63">
        <f t="shared" si="3"/>
        <v>2</v>
      </c>
      <c r="C109" s="64">
        <v>42403</v>
      </c>
      <c r="D109" s="64" t="s">
        <v>8</v>
      </c>
      <c r="E109" s="64">
        <v>42403</v>
      </c>
      <c r="F109" s="67" t="s">
        <v>436</v>
      </c>
      <c r="G109" s="361" t="s">
        <v>810</v>
      </c>
      <c r="H109" s="74" t="s">
        <v>89</v>
      </c>
      <c r="I109" s="515"/>
      <c r="J109" s="515"/>
      <c r="K109" s="507"/>
      <c r="L109" s="515"/>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4"/>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3" s="1049" customFormat="1" ht="15.75" customHeight="1">
      <c r="A110" s="398" t="str">
        <f>IF(B110&lt;&gt;"",IF(AND(B110&gt;=_TM1,B110&lt;=_TM2,OR(TH!N110="1111",TH!O110="1111")),TH!D110,""),"")</f>
        <v/>
      </c>
      <c r="B110" s="63">
        <f t="shared" si="3"/>
        <v>2</v>
      </c>
      <c r="C110" s="404">
        <v>42403</v>
      </c>
      <c r="D110" s="64" t="s">
        <v>8</v>
      </c>
      <c r="E110" s="64">
        <v>42403</v>
      </c>
      <c r="F110" s="67" t="s">
        <v>22</v>
      </c>
      <c r="G110" s="361" t="s">
        <v>810</v>
      </c>
      <c r="H110" s="76"/>
      <c r="I110" s="516"/>
      <c r="J110" s="516"/>
      <c r="K110" s="508"/>
      <c r="L110" s="516"/>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4"/>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row>
    <row r="111" spans="1:33" s="1049" customFormat="1" ht="15.75" customHeight="1">
      <c r="A111" s="398" t="str">
        <f>IF(B111&lt;&gt;"",IF(AND(B111&gt;=_TM1,B111&lt;=_TM2,OR(TH!N111="1111",TH!O111="1111")),TH!D111,""),"")</f>
        <v/>
      </c>
      <c r="B111" s="63">
        <f t="shared" si="3"/>
        <v>2</v>
      </c>
      <c r="C111" s="64">
        <v>42403</v>
      </c>
      <c r="D111" s="64" t="s">
        <v>8</v>
      </c>
      <c r="E111" s="64">
        <v>42403</v>
      </c>
      <c r="F111" s="67" t="s">
        <v>23</v>
      </c>
      <c r="G111" s="361" t="s">
        <v>810</v>
      </c>
      <c r="H111" s="76"/>
      <c r="I111" s="516"/>
      <c r="J111" s="516"/>
      <c r="K111" s="508"/>
      <c r="L111" s="516"/>
      <c r="M111" s="65">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4"/>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row>
    <row r="112" spans="1:33" s="1049" customFormat="1" ht="15.75" customHeight="1">
      <c r="A112" s="398" t="str">
        <f>IF(B112&lt;&gt;"",IF(AND(B112&gt;=_TM1,B112&lt;=_TM2,OR(TH!N112="1111",TH!O112="1111")),TH!D112,""),"")</f>
        <v/>
      </c>
      <c r="B112" s="63">
        <f t="shared" si="3"/>
        <v>2</v>
      </c>
      <c r="C112" s="64">
        <v>42403</v>
      </c>
      <c r="D112" s="64" t="s">
        <v>8</v>
      </c>
      <c r="E112" s="64">
        <v>42403</v>
      </c>
      <c r="F112" s="67" t="s">
        <v>437</v>
      </c>
      <c r="G112" s="361" t="s">
        <v>810</v>
      </c>
      <c r="H112" s="76" t="s">
        <v>63</v>
      </c>
      <c r="I112" s="516"/>
      <c r="J112" s="516"/>
      <c r="K112" s="508"/>
      <c r="L112" s="516"/>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4"/>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3" s="1049" customFormat="1" ht="15.75" customHeight="1">
      <c r="A113" s="398" t="str">
        <f>IF(B113&lt;&gt;"",IF(AND(B113&gt;=_TM1,B113&lt;=_TM2,OR(TH!N113="1111",TH!O113="1111")),TH!D113,""),"")</f>
        <v/>
      </c>
      <c r="B113" s="63">
        <f t="shared" si="3"/>
        <v>2</v>
      </c>
      <c r="C113" s="64">
        <v>42403</v>
      </c>
      <c r="D113" s="64" t="s">
        <v>8</v>
      </c>
      <c r="E113" s="64">
        <v>42403</v>
      </c>
      <c r="F113" s="67" t="s">
        <v>22</v>
      </c>
      <c r="G113" s="361" t="s">
        <v>810</v>
      </c>
      <c r="H113" s="405"/>
      <c r="I113" s="516"/>
      <c r="J113" s="516"/>
      <c r="K113" s="508"/>
      <c r="L113" s="516"/>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4"/>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row>
    <row r="114" spans="1:33" s="1049" customFormat="1" ht="15.75" customHeight="1">
      <c r="A114" s="398" t="str">
        <f>IF(B114&lt;&gt;"",IF(AND(B114&gt;=_TM1,B114&lt;=_TM2,OR(TH!N114="1111",TH!O114="1111")),TH!D114,""),"")</f>
        <v/>
      </c>
      <c r="B114" s="63">
        <f t="shared" si="3"/>
        <v>2</v>
      </c>
      <c r="C114" s="404">
        <v>42403</v>
      </c>
      <c r="D114" s="64" t="s">
        <v>8</v>
      </c>
      <c r="E114" s="64">
        <v>42403</v>
      </c>
      <c r="F114" s="67" t="s">
        <v>23</v>
      </c>
      <c r="G114" s="361" t="s">
        <v>810</v>
      </c>
      <c r="H114" s="74"/>
      <c r="I114" s="515"/>
      <c r="J114" s="515"/>
      <c r="K114" s="507"/>
      <c r="L114" s="515"/>
      <c r="M114" s="65">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4"/>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row>
    <row r="115" spans="1:33" s="1049" customFormat="1" ht="15.75" customHeight="1">
      <c r="A115" s="398" t="str">
        <f>IF(B115&lt;&gt;"",IF(AND(B115&gt;=_TM1,B115&lt;=_TM2,OR(TH!N115="1111",TH!O115="1111")),TH!D115,""),"")</f>
        <v/>
      </c>
      <c r="B115" s="63">
        <f t="shared" si="3"/>
        <v>2</v>
      </c>
      <c r="C115" s="64">
        <v>42403</v>
      </c>
      <c r="D115" s="64" t="s">
        <v>8</v>
      </c>
      <c r="E115" s="64">
        <v>42403</v>
      </c>
      <c r="F115" s="67" t="s">
        <v>164</v>
      </c>
      <c r="G115" s="361" t="s">
        <v>810</v>
      </c>
      <c r="H115" s="74" t="s">
        <v>179</v>
      </c>
      <c r="I115" s="515"/>
      <c r="J115" s="515"/>
      <c r="K115" s="507"/>
      <c r="L115" s="515"/>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4"/>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3" s="1049" customFormat="1" ht="15.75" customHeight="1">
      <c r="A116" s="398" t="str">
        <f>IF(B116&lt;&gt;"",IF(AND(B116&gt;=_TM1,B116&lt;=_TM2,OR(TH!N116="1111",TH!O116="1111")),TH!D116,""),"")</f>
        <v/>
      </c>
      <c r="B116" s="63">
        <f t="shared" si="3"/>
        <v>2</v>
      </c>
      <c r="C116" s="64">
        <v>42403</v>
      </c>
      <c r="D116" s="64" t="s">
        <v>8</v>
      </c>
      <c r="E116" s="64">
        <v>42403</v>
      </c>
      <c r="F116" s="67" t="s">
        <v>22</v>
      </c>
      <c r="G116" s="361" t="s">
        <v>810</v>
      </c>
      <c r="H116" s="74"/>
      <c r="I116" s="515"/>
      <c r="J116" s="515"/>
      <c r="K116" s="507"/>
      <c r="L116" s="515"/>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4"/>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row>
    <row r="117" spans="1:33" s="1049" customFormat="1" ht="15.75" customHeight="1">
      <c r="A117" s="398" t="str">
        <f>IF(B117&lt;&gt;"",IF(AND(B117&gt;=_TM1,B117&lt;=_TM2,OR(TH!N117="1111",TH!O117="1111")),TH!D117,""),"")</f>
        <v/>
      </c>
      <c r="B117" s="63">
        <f t="shared" si="3"/>
        <v>2</v>
      </c>
      <c r="C117" s="404">
        <v>42403</v>
      </c>
      <c r="D117" s="64" t="s">
        <v>8</v>
      </c>
      <c r="E117" s="64">
        <v>42403</v>
      </c>
      <c r="F117" s="67" t="s">
        <v>23</v>
      </c>
      <c r="G117" s="361" t="s">
        <v>810</v>
      </c>
      <c r="H117" s="74"/>
      <c r="I117" s="515"/>
      <c r="J117" s="515"/>
      <c r="K117" s="507"/>
      <c r="L117" s="515"/>
      <c r="M117" s="65">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4"/>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row>
    <row r="118" spans="1:33" s="1049" customFormat="1" ht="15.75" customHeight="1">
      <c r="A118" s="398" t="str">
        <f>IF(B118&lt;&gt;"",IF(AND(B118&gt;=_TM1,B118&lt;=_TM2,OR(TH!N118="1111",TH!O118="1111")),TH!D118,""),"")</f>
        <v/>
      </c>
      <c r="B118" s="63">
        <f t="shared" si="3"/>
        <v>2</v>
      </c>
      <c r="C118" s="404">
        <v>42403</v>
      </c>
      <c r="D118" s="64" t="s">
        <v>8</v>
      </c>
      <c r="E118" s="64">
        <v>42403</v>
      </c>
      <c r="F118" s="67" t="s">
        <v>164</v>
      </c>
      <c r="G118" s="361" t="s">
        <v>810</v>
      </c>
      <c r="H118" s="74" t="s">
        <v>51</v>
      </c>
      <c r="I118" s="515"/>
      <c r="J118" s="515"/>
      <c r="K118" s="507"/>
      <c r="L118" s="515"/>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4"/>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3" s="1049" customFormat="1" ht="15.75" customHeight="1">
      <c r="A119" s="398" t="str">
        <f>IF(B119&lt;&gt;"",IF(AND(B119&gt;=_TM1,B119&lt;=_TM2,OR(TH!N119="1111",TH!O119="1111")),TH!D119,""),"")</f>
        <v/>
      </c>
      <c r="B119" s="63">
        <f t="shared" si="3"/>
        <v>2</v>
      </c>
      <c r="C119" s="64">
        <v>42403</v>
      </c>
      <c r="D119" s="64" t="s">
        <v>8</v>
      </c>
      <c r="E119" s="64">
        <v>42403</v>
      </c>
      <c r="F119" s="67" t="s">
        <v>22</v>
      </c>
      <c r="G119" s="361" t="s">
        <v>810</v>
      </c>
      <c r="H119" s="74"/>
      <c r="I119" s="515"/>
      <c r="J119" s="515"/>
      <c r="K119" s="507"/>
      <c r="L119" s="515"/>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4"/>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row>
    <row r="120" spans="1:33" s="1049" customFormat="1" ht="15.75" customHeight="1">
      <c r="A120" s="398" t="str">
        <f>IF(B120&lt;&gt;"",IF(AND(B120&gt;=_TM1,B120&lt;=_TM2,OR(TH!N120="1111",TH!O120="1111")),TH!D120,""),"")</f>
        <v/>
      </c>
      <c r="B120" s="63">
        <f t="shared" si="3"/>
        <v>2</v>
      </c>
      <c r="C120" s="64">
        <v>42403</v>
      </c>
      <c r="D120" s="64" t="s">
        <v>8</v>
      </c>
      <c r="E120" s="64">
        <v>42403</v>
      </c>
      <c r="F120" s="67" t="s">
        <v>23</v>
      </c>
      <c r="G120" s="361" t="s">
        <v>810</v>
      </c>
      <c r="H120" s="74"/>
      <c r="I120" s="515"/>
      <c r="J120" s="515"/>
      <c r="K120" s="507"/>
      <c r="L120" s="515"/>
      <c r="M120" s="65">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4"/>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row>
    <row r="121" spans="1:33" s="1049" customFormat="1" ht="15.75" customHeight="1">
      <c r="A121" s="398" t="str">
        <f>IF(B121&lt;&gt;"",IF(AND(B121&gt;=_TM1,B121&lt;=_TM2,OR(TH!N121="1111",TH!O121="1111")),TH!D121,""),"")</f>
        <v/>
      </c>
      <c r="B121" s="63">
        <f t="shared" si="3"/>
        <v>2</v>
      </c>
      <c r="C121" s="404">
        <v>42403</v>
      </c>
      <c r="D121" s="64" t="s">
        <v>8</v>
      </c>
      <c r="E121" s="64">
        <v>42403</v>
      </c>
      <c r="F121" s="67" t="s">
        <v>438</v>
      </c>
      <c r="G121" s="361" t="s">
        <v>810</v>
      </c>
      <c r="H121" s="74" t="s">
        <v>439</v>
      </c>
      <c r="I121" s="515"/>
      <c r="J121" s="515"/>
      <c r="K121" s="507"/>
      <c r="L121" s="515"/>
      <c r="M121" s="65">
        <v>110000000</v>
      </c>
      <c r="N121" s="66" t="s">
        <v>107</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4"/>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3" s="1049" customFormat="1" ht="15.75" customHeight="1">
      <c r="A122" s="398" t="str">
        <f>IF(B122&lt;&gt;"",IF(AND(B122&gt;=_TM1,B122&lt;=_TM2,OR(TH!N122="1111",TH!O122="1111")),TH!D122,""),"")</f>
        <v/>
      </c>
      <c r="B122" s="63">
        <f t="shared" si="3"/>
        <v>2</v>
      </c>
      <c r="C122" s="404">
        <v>42403</v>
      </c>
      <c r="D122" s="64" t="s">
        <v>322</v>
      </c>
      <c r="E122" s="64">
        <v>42403</v>
      </c>
      <c r="F122" s="67" t="s">
        <v>440</v>
      </c>
      <c r="G122" s="361"/>
      <c r="H122" s="74" t="s">
        <v>439</v>
      </c>
      <c r="I122" s="515"/>
      <c r="J122" s="515"/>
      <c r="K122" s="507"/>
      <c r="L122" s="515"/>
      <c r="M122" s="65">
        <v>110000000</v>
      </c>
      <c r="N122" s="69" t="s">
        <v>98</v>
      </c>
      <c r="O122" s="66" t="s">
        <v>107</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4"/>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3" s="1049" customFormat="1" ht="15.75" customHeight="1">
      <c r="A123" s="398" t="str">
        <f>IF(B123&lt;&gt;"",IF(AND(B123&gt;=_TM1,B123&lt;=_TM2,OR(TH!N123="1111",TH!O123="1111")),TH!D123,""),"")</f>
        <v/>
      </c>
      <c r="B123" s="63">
        <f t="shared" si="3"/>
        <v>2</v>
      </c>
      <c r="C123" s="64">
        <v>42403</v>
      </c>
      <c r="D123" s="64" t="s">
        <v>8</v>
      </c>
      <c r="E123" s="64">
        <v>42403</v>
      </c>
      <c r="F123" s="67" t="s">
        <v>22</v>
      </c>
      <c r="G123" s="361" t="s">
        <v>810</v>
      </c>
      <c r="H123" s="74"/>
      <c r="I123" s="515"/>
      <c r="J123" s="515"/>
      <c r="K123" s="507"/>
      <c r="L123" s="515"/>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4"/>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row>
    <row r="124" spans="1:33" s="1049" customFormat="1" ht="15.75" customHeight="1">
      <c r="A124" s="398" t="str">
        <f>IF(B124&lt;&gt;"",IF(AND(B124&gt;=_TM1,B124&lt;=_TM2,OR(TH!N124="1111",TH!O124="1111")),TH!D124,""),"")</f>
        <v/>
      </c>
      <c r="B124" s="63">
        <f t="shared" si="3"/>
        <v>2</v>
      </c>
      <c r="C124" s="64">
        <v>42403</v>
      </c>
      <c r="D124" s="64" t="s">
        <v>8</v>
      </c>
      <c r="E124" s="64">
        <v>42403</v>
      </c>
      <c r="F124" s="67" t="s">
        <v>23</v>
      </c>
      <c r="G124" s="361" t="s">
        <v>810</v>
      </c>
      <c r="H124" s="74"/>
      <c r="I124" s="515"/>
      <c r="J124" s="515"/>
      <c r="K124" s="507"/>
      <c r="L124" s="515"/>
      <c r="M124" s="65">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4"/>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row>
    <row r="125" spans="1:33" s="1049" customFormat="1" ht="15.75" customHeight="1">
      <c r="A125" s="398" t="str">
        <f>IF(B125&lt;&gt;"",IF(AND(B125&gt;=_TM1,B125&lt;=_TM2,OR(TH!N125="1111",TH!O125="1111")),TH!D125,""),"")</f>
        <v/>
      </c>
      <c r="B125" s="63">
        <f t="shared" si="3"/>
        <v>2</v>
      </c>
      <c r="C125" s="404">
        <v>42410</v>
      </c>
      <c r="D125" s="64" t="s">
        <v>194</v>
      </c>
      <c r="E125" s="64">
        <v>42410</v>
      </c>
      <c r="F125" s="67" t="s">
        <v>441</v>
      </c>
      <c r="G125" s="361" t="s">
        <v>442</v>
      </c>
      <c r="H125" s="74" t="s">
        <v>323</v>
      </c>
      <c r="I125" s="515"/>
      <c r="J125" s="515"/>
      <c r="K125" s="507"/>
      <c r="L125" s="515"/>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4"/>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row>
    <row r="126" spans="1:33" s="1049" customFormat="1" ht="15.75" customHeight="1">
      <c r="A126" s="398" t="str">
        <f>IF(B126&lt;&gt;"",IF(AND(B126&gt;=_TM1,B126&lt;=_TM2,OR(TH!N126="1111",TH!O126="1111")),TH!D126,""),"")</f>
        <v/>
      </c>
      <c r="B126" s="63">
        <f t="shared" si="3"/>
        <v>2</v>
      </c>
      <c r="C126" s="64">
        <v>42410</v>
      </c>
      <c r="D126" s="64" t="s">
        <v>194</v>
      </c>
      <c r="E126" s="64">
        <v>42410</v>
      </c>
      <c r="F126" s="67" t="s">
        <v>443</v>
      </c>
      <c r="G126" s="361" t="s">
        <v>442</v>
      </c>
      <c r="H126" s="74" t="s">
        <v>323</v>
      </c>
      <c r="I126" s="515"/>
      <c r="J126" s="515"/>
      <c r="K126" s="507"/>
      <c r="L126" s="515"/>
      <c r="M126" s="65">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4"/>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row>
    <row r="127" spans="1:33" s="1049" customFormat="1" ht="15.75" customHeight="1">
      <c r="A127" s="398" t="str">
        <f>IF(B127&lt;&gt;"",IF(AND(B127&gt;=_TM1,B127&lt;=_TM2,OR(TH!N127="1111",TH!O127="1111")),TH!D127,""),"")</f>
        <v/>
      </c>
      <c r="B127" s="63">
        <f t="shared" si="3"/>
        <v>2</v>
      </c>
      <c r="C127" s="64">
        <v>42419</v>
      </c>
      <c r="D127" s="64" t="s">
        <v>195</v>
      </c>
      <c r="E127" s="64">
        <v>42419</v>
      </c>
      <c r="F127" s="67" t="s">
        <v>444</v>
      </c>
      <c r="G127" s="361" t="s">
        <v>445</v>
      </c>
      <c r="H127" s="74" t="s">
        <v>162</v>
      </c>
      <c r="I127" s="515"/>
      <c r="J127" s="515"/>
      <c r="K127" s="507"/>
      <c r="L127" s="515"/>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4"/>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row>
    <row r="128" spans="1:33" s="1049" customFormat="1" ht="15.75" customHeight="1">
      <c r="A128" s="398" t="str">
        <f>IF(B128&lt;&gt;"",IF(AND(B128&gt;=_TM1,B128&lt;=_TM2,OR(TH!N128="1111",TH!O128="1111")),TH!D128,""),"")</f>
        <v/>
      </c>
      <c r="B128" s="63">
        <f t="shared" si="3"/>
        <v>2</v>
      </c>
      <c r="C128" s="64">
        <v>42419</v>
      </c>
      <c r="D128" s="64" t="s">
        <v>195</v>
      </c>
      <c r="E128" s="64">
        <v>42419</v>
      </c>
      <c r="F128" s="67" t="s">
        <v>446</v>
      </c>
      <c r="G128" s="361" t="s">
        <v>445</v>
      </c>
      <c r="H128" s="74" t="s">
        <v>162</v>
      </c>
      <c r="I128" s="515"/>
      <c r="J128" s="515"/>
      <c r="K128" s="507"/>
      <c r="L128" s="515"/>
      <c r="M128" s="65">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4"/>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row>
    <row r="129" spans="1:33" s="1049" customFormat="1" ht="15.75" customHeight="1">
      <c r="A129" s="398" t="str">
        <f>IF(B129&lt;&gt;"",IF(AND(B129&gt;=_TM1,B129&lt;=_TM2,OR(TH!N129="1111",TH!O129="1111")),TH!D129,""),"")</f>
        <v/>
      </c>
      <c r="B129" s="63">
        <f t="shared" si="3"/>
        <v>2</v>
      </c>
      <c r="C129" s="64">
        <v>42424</v>
      </c>
      <c r="D129" s="64" t="s">
        <v>196</v>
      </c>
      <c r="E129" s="64">
        <v>42424</v>
      </c>
      <c r="F129" s="67" t="s">
        <v>419</v>
      </c>
      <c r="G129" s="361" t="s">
        <v>810</v>
      </c>
      <c r="H129" s="75" t="s">
        <v>161</v>
      </c>
      <c r="I129" s="517"/>
      <c r="J129" s="517"/>
      <c r="K129" s="509"/>
      <c r="L129" s="517"/>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4"/>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9" customFormat="1" ht="15.75" customHeight="1">
      <c r="A130" s="398" t="str">
        <f>IF(B130&lt;&gt;"",IF(AND(B130&gt;=_TM1,B130&lt;=_TM2,OR(TH!N130="1111",TH!O130="1111")),TH!D130,""),"")</f>
        <v/>
      </c>
      <c r="B130" s="63">
        <f t="shared" si="3"/>
        <v>2</v>
      </c>
      <c r="C130" s="64">
        <v>42424</v>
      </c>
      <c r="D130" s="64" t="s">
        <v>8</v>
      </c>
      <c r="E130" s="64">
        <v>42424</v>
      </c>
      <c r="F130" s="67" t="s">
        <v>414</v>
      </c>
      <c r="G130" s="361" t="s">
        <v>810</v>
      </c>
      <c r="H130" s="74" t="s">
        <v>167</v>
      </c>
      <c r="I130" s="515"/>
      <c r="J130" s="515"/>
      <c r="K130" s="507"/>
      <c r="L130" s="515"/>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4"/>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9" customFormat="1" ht="15.75" customHeight="1">
      <c r="A131" s="398" t="str">
        <f>IF(B131&lt;&gt;"",IF(AND(B131&gt;=_TM1,B131&lt;=_TM2,OR(TH!N131="1111",TH!O131="1111")),TH!D131,""),"")</f>
        <v/>
      </c>
      <c r="B131" s="63">
        <f t="shared" si="3"/>
        <v>2</v>
      </c>
      <c r="C131" s="64">
        <v>42424</v>
      </c>
      <c r="D131" s="64" t="s">
        <v>8</v>
      </c>
      <c r="E131" s="64">
        <v>42424</v>
      </c>
      <c r="F131" s="67" t="s">
        <v>414</v>
      </c>
      <c r="G131" s="361" t="s">
        <v>810</v>
      </c>
      <c r="H131" s="74" t="s">
        <v>168</v>
      </c>
      <c r="I131" s="515"/>
      <c r="J131" s="515"/>
      <c r="K131" s="507"/>
      <c r="L131" s="515"/>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4"/>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9" customFormat="1" ht="15.75" customHeight="1">
      <c r="A132" s="398" t="str">
        <f>IF(B132&lt;&gt;"",IF(AND(B132&gt;=_TM1,B132&lt;=_TM2,OR(TH!N132="1111",TH!O132="1111")),TH!D132,""),"")</f>
        <v/>
      </c>
      <c r="B132" s="63">
        <f t="shared" si="3"/>
        <v>2</v>
      </c>
      <c r="C132" s="64">
        <v>42424</v>
      </c>
      <c r="D132" s="64" t="s">
        <v>8</v>
      </c>
      <c r="E132" s="64">
        <v>42424</v>
      </c>
      <c r="F132" s="67" t="s">
        <v>414</v>
      </c>
      <c r="G132" s="361" t="s">
        <v>810</v>
      </c>
      <c r="H132" s="75" t="s">
        <v>170</v>
      </c>
      <c r="I132" s="517"/>
      <c r="J132" s="517"/>
      <c r="K132" s="509"/>
      <c r="L132" s="517"/>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4"/>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9" customFormat="1" ht="15.75" customHeight="1">
      <c r="A133" s="398" t="str">
        <f>IF(B133&lt;&gt;"",IF(AND(B133&gt;=_TM1,B133&lt;=_TM2,OR(TH!N133="1111",TH!O133="1111")),TH!D133,""),"")</f>
        <v/>
      </c>
      <c r="B133" s="63">
        <f t="shared" si="3"/>
        <v>2</v>
      </c>
      <c r="C133" s="64">
        <v>42424</v>
      </c>
      <c r="D133" s="64" t="s">
        <v>8</v>
      </c>
      <c r="E133" s="64">
        <v>42424</v>
      </c>
      <c r="F133" s="67" t="s">
        <v>414</v>
      </c>
      <c r="G133" s="361" t="s">
        <v>810</v>
      </c>
      <c r="H133" s="74" t="s">
        <v>169</v>
      </c>
      <c r="I133" s="515"/>
      <c r="J133" s="515"/>
      <c r="K133" s="507"/>
      <c r="L133" s="515"/>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4"/>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9" customFormat="1" ht="15.75" customHeight="1">
      <c r="A134" s="398" t="str">
        <f>IF(B134&lt;&gt;"",IF(AND(B134&gt;=_TM1,B134&lt;=_TM2,OR(TH!N134="1111",TH!O134="1111")),TH!D134,""),"")</f>
        <v/>
      </c>
      <c r="B134" s="63">
        <f t="shared" si="3"/>
        <v>2</v>
      </c>
      <c r="C134" s="64">
        <v>42424</v>
      </c>
      <c r="D134" s="64" t="s">
        <v>8</v>
      </c>
      <c r="E134" s="64">
        <v>42424</v>
      </c>
      <c r="F134" s="67" t="s">
        <v>414</v>
      </c>
      <c r="G134" s="361" t="s">
        <v>810</v>
      </c>
      <c r="H134" s="74" t="s">
        <v>333</v>
      </c>
      <c r="I134" s="515"/>
      <c r="J134" s="515"/>
      <c r="K134" s="507"/>
      <c r="L134" s="515"/>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4"/>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9" customFormat="1" ht="15.75" customHeight="1">
      <c r="A135" s="398" t="str">
        <f>IF(B135&lt;&gt;"",IF(AND(B135&gt;=_TM1,B135&lt;=_TM2,OR(TH!N135="1111",TH!O135="1111")),TH!D135,""),"")</f>
        <v/>
      </c>
      <c r="B135" s="63">
        <f t="shared" si="3"/>
        <v>2</v>
      </c>
      <c r="C135" s="64">
        <v>42424</v>
      </c>
      <c r="D135" s="64" t="s">
        <v>8</v>
      </c>
      <c r="E135" s="64">
        <v>42424</v>
      </c>
      <c r="F135" s="67" t="s">
        <v>414</v>
      </c>
      <c r="G135" s="361" t="s">
        <v>810</v>
      </c>
      <c r="H135" s="74" t="s">
        <v>171</v>
      </c>
      <c r="I135" s="515"/>
      <c r="J135" s="515"/>
      <c r="K135" s="507"/>
      <c r="L135" s="515"/>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4"/>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9" customFormat="1" ht="15.75" customHeight="1">
      <c r="A136" s="398" t="str">
        <f>IF(B136&lt;&gt;"",IF(AND(B136&gt;=_TM1,B136&lt;=_TM2,OR(TH!N136="1111",TH!O136="1111")),TH!D136,""),"")</f>
        <v/>
      </c>
      <c r="B136" s="63">
        <f t="shared" si="3"/>
        <v>2</v>
      </c>
      <c r="C136" s="64">
        <v>42424</v>
      </c>
      <c r="D136" s="64" t="s">
        <v>8</v>
      </c>
      <c r="E136" s="64">
        <v>42424</v>
      </c>
      <c r="F136" s="67" t="s">
        <v>414</v>
      </c>
      <c r="G136" s="361" t="s">
        <v>810</v>
      </c>
      <c r="H136" s="74" t="s">
        <v>172</v>
      </c>
      <c r="I136" s="515"/>
      <c r="J136" s="515"/>
      <c r="K136" s="507"/>
      <c r="L136" s="515"/>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4"/>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9" customFormat="1" ht="15.75" customHeight="1">
      <c r="A137" s="398" t="str">
        <f>IF(B137&lt;&gt;"",IF(AND(B137&gt;=_TM1,B137&lt;=_TM2,OR(TH!N137="1111",TH!O137="1111")),TH!D137,""),"")</f>
        <v/>
      </c>
      <c r="B137" s="63">
        <f t="shared" si="3"/>
        <v>2</v>
      </c>
      <c r="C137" s="64">
        <v>42424</v>
      </c>
      <c r="D137" s="64" t="s">
        <v>8</v>
      </c>
      <c r="E137" s="64">
        <v>42424</v>
      </c>
      <c r="F137" s="67" t="s">
        <v>414</v>
      </c>
      <c r="G137" s="361" t="s">
        <v>810</v>
      </c>
      <c r="H137" s="74" t="s">
        <v>173</v>
      </c>
      <c r="I137" s="515"/>
      <c r="J137" s="515"/>
      <c r="K137" s="507"/>
      <c r="L137" s="515"/>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4"/>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9" customFormat="1" ht="15.75" customHeight="1">
      <c r="A138" s="398" t="str">
        <f>IF(B138&lt;&gt;"",IF(AND(B138&gt;=_TM1,B138&lt;=_TM2,OR(TH!N138="1111",TH!O138="1111")),TH!D138,""),"")</f>
        <v/>
      </c>
      <c r="B138" s="63">
        <f t="shared" si="3"/>
        <v>2</v>
      </c>
      <c r="C138" s="64">
        <v>42424</v>
      </c>
      <c r="D138" s="64" t="s">
        <v>8</v>
      </c>
      <c r="E138" s="64">
        <v>42424</v>
      </c>
      <c r="F138" s="67" t="s">
        <v>414</v>
      </c>
      <c r="G138" s="361" t="s">
        <v>810</v>
      </c>
      <c r="H138" s="74" t="s">
        <v>174</v>
      </c>
      <c r="I138" s="515"/>
      <c r="J138" s="515"/>
      <c r="K138" s="507"/>
      <c r="L138" s="515"/>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4"/>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9" customFormat="1" ht="15.75" customHeight="1">
      <c r="A139" s="398" t="str">
        <f>IF(B139&lt;&gt;"",IF(AND(B139&gt;=_TM1,B139&lt;=_TM2,OR(TH!N139="1111",TH!O139="1111")),TH!D139,""),"")</f>
        <v/>
      </c>
      <c r="B139" s="63">
        <f t="shared" si="3"/>
        <v>2</v>
      </c>
      <c r="C139" s="64">
        <v>42424</v>
      </c>
      <c r="D139" s="64" t="s">
        <v>8</v>
      </c>
      <c r="E139" s="64">
        <v>42424</v>
      </c>
      <c r="F139" s="67" t="s">
        <v>414</v>
      </c>
      <c r="G139" s="361" t="s">
        <v>810</v>
      </c>
      <c r="H139" s="405" t="s">
        <v>175</v>
      </c>
      <c r="I139" s="516"/>
      <c r="J139" s="516"/>
      <c r="K139" s="508"/>
      <c r="L139" s="516"/>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4"/>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9" customFormat="1" ht="15.75" customHeight="1">
      <c r="A140" s="398" t="str">
        <f>IF(B140&lt;&gt;"",IF(AND(B140&gt;=_TM1,B140&lt;=_TM2,OR(TH!N140="1111",TH!O140="1111")),TH!D140,""),"")</f>
        <v/>
      </c>
      <c r="B140" s="63">
        <f t="shared" si="3"/>
        <v>2</v>
      </c>
      <c r="C140" s="64">
        <v>42424</v>
      </c>
      <c r="D140" s="64" t="s">
        <v>8</v>
      </c>
      <c r="E140" s="64">
        <v>42424</v>
      </c>
      <c r="F140" s="67" t="s">
        <v>414</v>
      </c>
      <c r="G140" s="361" t="s">
        <v>810</v>
      </c>
      <c r="H140" s="74" t="s">
        <v>176</v>
      </c>
      <c r="I140" s="515"/>
      <c r="J140" s="515"/>
      <c r="K140" s="507"/>
      <c r="L140" s="515"/>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4"/>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9" customFormat="1" ht="15.75" customHeight="1">
      <c r="A141" s="398" t="str">
        <f>IF(B141&lt;&gt;"",IF(AND(B141&gt;=_TM1,B141&lt;=_TM2,OR(TH!N141="1111",TH!O141="1111")),TH!D141,""),"")</f>
        <v/>
      </c>
      <c r="B141" s="63">
        <f t="shared" si="3"/>
        <v>2</v>
      </c>
      <c r="C141" s="64">
        <v>42424</v>
      </c>
      <c r="D141" s="64" t="s">
        <v>8</v>
      </c>
      <c r="E141" s="64">
        <v>42424</v>
      </c>
      <c r="F141" s="67" t="s">
        <v>414</v>
      </c>
      <c r="G141" s="361" t="s">
        <v>810</v>
      </c>
      <c r="H141" s="74" t="s">
        <v>177</v>
      </c>
      <c r="I141" s="515"/>
      <c r="J141" s="515"/>
      <c r="K141" s="507"/>
      <c r="L141" s="515"/>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4"/>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9" customFormat="1" ht="15.75" customHeight="1">
      <c r="A142" s="398" t="str">
        <f>IF(B142&lt;&gt;"",IF(AND(B142&gt;=_TM1,B142&lt;=_TM2,OR(TH!N142="1111",TH!O142="1111")),TH!D142,""),"")</f>
        <v/>
      </c>
      <c r="B142" s="63">
        <f t="shared" si="3"/>
        <v>2</v>
      </c>
      <c r="C142" s="64">
        <v>42424</v>
      </c>
      <c r="D142" s="64" t="s">
        <v>8</v>
      </c>
      <c r="E142" s="64">
        <v>42424</v>
      </c>
      <c r="F142" s="67" t="s">
        <v>414</v>
      </c>
      <c r="G142" s="361" t="s">
        <v>810</v>
      </c>
      <c r="H142" s="405" t="s">
        <v>180</v>
      </c>
      <c r="I142" s="516"/>
      <c r="J142" s="516"/>
      <c r="K142" s="508"/>
      <c r="L142" s="516"/>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4"/>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9" customFormat="1" ht="15.75" customHeight="1">
      <c r="A143" s="398" t="str">
        <f>IF(B143&lt;&gt;"",IF(AND(B143&gt;=_TM1,B143&lt;=_TM2,OR(TH!N143="1111",TH!O143="1111")),TH!D143,""),"")</f>
        <v/>
      </c>
      <c r="B143" s="63">
        <f t="shared" si="3"/>
        <v>2</v>
      </c>
      <c r="C143" s="64">
        <v>42424</v>
      </c>
      <c r="D143" s="64" t="s">
        <v>8</v>
      </c>
      <c r="E143" s="64">
        <v>42424</v>
      </c>
      <c r="F143" s="67" t="s">
        <v>414</v>
      </c>
      <c r="G143" s="361" t="s">
        <v>810</v>
      </c>
      <c r="H143" s="74" t="s">
        <v>181</v>
      </c>
      <c r="I143" s="515"/>
      <c r="J143" s="515"/>
      <c r="K143" s="507"/>
      <c r="L143" s="515"/>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4"/>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9" customFormat="1" ht="15.75" customHeight="1">
      <c r="A144" s="398" t="str">
        <f>IF(B144&lt;&gt;"",IF(AND(B144&gt;=_TM1,B144&lt;=_TM2,OR(TH!N144="1111",TH!O144="1111")),TH!D144,""),"")</f>
        <v/>
      </c>
      <c r="B144" s="63">
        <f t="shared" si="3"/>
        <v>2</v>
      </c>
      <c r="C144" s="64">
        <v>42424</v>
      </c>
      <c r="D144" s="64" t="s">
        <v>12</v>
      </c>
      <c r="E144" s="64">
        <v>42424</v>
      </c>
      <c r="F144" s="67" t="s">
        <v>58</v>
      </c>
      <c r="G144" s="361" t="s">
        <v>810</v>
      </c>
      <c r="H144" s="74"/>
      <c r="I144" s="515"/>
      <c r="J144" s="515"/>
      <c r="K144" s="507"/>
      <c r="L144" s="515"/>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4"/>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3" s="1049" customFormat="1" ht="15.75" customHeight="1">
      <c r="A145" s="398" t="str">
        <f>IF(B145&lt;&gt;"",IF(AND(B145&gt;=_TM1,B145&lt;=_TM2,OR(TH!N145="1111",TH!O145="1111")),TH!D145,""),"")</f>
        <v/>
      </c>
      <c r="B145" s="63">
        <f t="shared" si="3"/>
        <v>2</v>
      </c>
      <c r="C145" s="64">
        <v>42425</v>
      </c>
      <c r="D145" s="64" t="s">
        <v>12</v>
      </c>
      <c r="E145" s="64">
        <v>42425</v>
      </c>
      <c r="F145" s="67" t="s">
        <v>438</v>
      </c>
      <c r="G145" s="361" t="s">
        <v>810</v>
      </c>
      <c r="H145" s="74" t="s">
        <v>439</v>
      </c>
      <c r="I145" s="515"/>
      <c r="J145" s="515"/>
      <c r="K145" s="507"/>
      <c r="L145" s="515"/>
      <c r="M145" s="65">
        <v>5000000</v>
      </c>
      <c r="N145" s="66" t="s">
        <v>31</v>
      </c>
      <c r="O145" s="66" t="s">
        <v>107</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4"/>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3" s="1049" customFormat="1" ht="15.75" customHeight="1">
      <c r="A146" s="398" t="str">
        <f>IF(B146&lt;&gt;"",IF(AND(B146&gt;=_TM1,B146&lt;=_TM2,OR(TH!N146="1111",TH!O146="1111")),TH!D146,""),"")</f>
        <v/>
      </c>
      <c r="B146" s="63">
        <f t="shared" si="3"/>
        <v>2</v>
      </c>
      <c r="C146" s="64">
        <v>42425</v>
      </c>
      <c r="D146" s="64" t="s">
        <v>197</v>
      </c>
      <c r="E146" s="64">
        <v>42425</v>
      </c>
      <c r="F146" s="67" t="s">
        <v>447</v>
      </c>
      <c r="G146" s="375"/>
      <c r="H146" s="74" t="s">
        <v>439</v>
      </c>
      <c r="I146" s="515"/>
      <c r="J146" s="515"/>
      <c r="K146" s="507"/>
      <c r="L146" s="515"/>
      <c r="M146" s="65">
        <v>5000000</v>
      </c>
      <c r="N146" s="66" t="s">
        <v>107</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si="4"/>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3" s="1049" customFormat="1" ht="15.75" customHeight="1">
      <c r="A147" s="398" t="str">
        <f>IF(B147&lt;&gt;"",IF(AND(B147&gt;=_TM1,B147&lt;=_TM2,OR(TH!N147="1111",TH!O147="1111")),TH!D147,""),"")</f>
        <v/>
      </c>
      <c r="B147" s="63">
        <f t="shared" ref="B147:B215" si="5">IF(C147&lt;&gt;"",MONTH(C147),"")</f>
        <v>2</v>
      </c>
      <c r="C147" s="64">
        <v>42425</v>
      </c>
      <c r="D147" s="64" t="s">
        <v>8</v>
      </c>
      <c r="E147" s="64">
        <v>42425</v>
      </c>
      <c r="F147" s="67" t="s">
        <v>414</v>
      </c>
      <c r="G147" s="361" t="s">
        <v>810</v>
      </c>
      <c r="H147" s="74" t="s">
        <v>185</v>
      </c>
      <c r="I147" s="515"/>
      <c r="J147" s="515"/>
      <c r="K147" s="507"/>
      <c r="L147" s="515"/>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4"/>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3" s="1049" customFormat="1" ht="15.75" customHeight="1">
      <c r="A148" s="398" t="str">
        <f>IF(B148&lt;&gt;"",IF(AND(B148&gt;=_TM1,B148&lt;=_TM2,OR(TH!N148="1111",TH!O148="1111")),TH!D148,""),"")</f>
        <v/>
      </c>
      <c r="B148" s="63">
        <f t="shared" si="5"/>
        <v>2</v>
      </c>
      <c r="C148" s="64">
        <v>42425</v>
      </c>
      <c r="D148" s="64" t="s">
        <v>198</v>
      </c>
      <c r="E148" s="64">
        <v>42425</v>
      </c>
      <c r="F148" s="67" t="s">
        <v>448</v>
      </c>
      <c r="G148" s="375" t="s">
        <v>779</v>
      </c>
      <c r="H148" s="74" t="s">
        <v>50</v>
      </c>
      <c r="I148" s="515"/>
      <c r="J148" s="515"/>
      <c r="K148" s="507"/>
      <c r="L148" s="515"/>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4"/>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row>
    <row r="149" spans="1:33" s="1049" customFormat="1" ht="15.75" customHeight="1">
      <c r="A149" s="398" t="str">
        <f>IF(B149&lt;&gt;"",IF(AND(B149&gt;=_TM1,B149&lt;=_TM2,OR(TH!N149="1111",TH!O149="1111")),TH!D149,""),"")</f>
        <v/>
      </c>
      <c r="B149" s="63">
        <f t="shared" si="5"/>
        <v>2</v>
      </c>
      <c r="C149" s="64">
        <v>42425</v>
      </c>
      <c r="D149" s="64" t="s">
        <v>198</v>
      </c>
      <c r="E149" s="64">
        <v>42425</v>
      </c>
      <c r="F149" s="67" t="s">
        <v>449</v>
      </c>
      <c r="G149" s="375" t="s">
        <v>779</v>
      </c>
      <c r="H149" s="74" t="s">
        <v>50</v>
      </c>
      <c r="I149" s="515"/>
      <c r="J149" s="515"/>
      <c r="K149" s="507"/>
      <c r="L149" s="515"/>
      <c r="M149" s="65">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4"/>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row>
    <row r="150" spans="1:33" s="1049" customFormat="1" ht="15.75" customHeight="1">
      <c r="A150" s="398" t="str">
        <f>IF(B150&lt;&gt;"",IF(AND(B150&gt;=_TM1,B150&lt;=_TM2,OR(TH!N150="1111",TH!O150="1111")),TH!D150,""),"")</f>
        <v/>
      </c>
      <c r="B150" s="63">
        <f t="shared" si="5"/>
        <v>2</v>
      </c>
      <c r="C150" s="64">
        <v>42425</v>
      </c>
      <c r="D150" s="64" t="s">
        <v>199</v>
      </c>
      <c r="E150" s="64">
        <v>42425</v>
      </c>
      <c r="F150" s="67" t="s">
        <v>780</v>
      </c>
      <c r="G150" s="375" t="s">
        <v>782</v>
      </c>
      <c r="H150" s="74" t="s">
        <v>450</v>
      </c>
      <c r="I150" s="515"/>
      <c r="J150" s="515"/>
      <c r="K150" s="507"/>
      <c r="L150" s="515"/>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ref="AC150:AC213" si="6">IF(AND(1&lt;=$B150,$B150&lt;=3),"1",IF(AND(4&lt;=$B150,$B150&lt;=6),"2",IF(AND(7&lt;=$B150,$B150&lt;=9),"3",IF(AND(10&lt;=$B150,$B150&lt;=12),"4",""))))</f>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row>
    <row r="151" spans="1:33" s="1049" customFormat="1" ht="15.75" customHeight="1">
      <c r="A151" s="398" t="str">
        <f>IF(B151&lt;&gt;"",IF(AND(B151&gt;=_TM1,B151&lt;=_TM2,OR(TH!N151="1111",TH!O151="1111")),TH!D151,""),"")</f>
        <v/>
      </c>
      <c r="B151" s="63">
        <f t="shared" si="5"/>
        <v>2</v>
      </c>
      <c r="C151" s="64">
        <v>42425</v>
      </c>
      <c r="D151" s="64" t="s">
        <v>199</v>
      </c>
      <c r="E151" s="64">
        <v>42425</v>
      </c>
      <c r="F151" s="67" t="s">
        <v>781</v>
      </c>
      <c r="G151" s="375" t="s">
        <v>782</v>
      </c>
      <c r="H151" s="74" t="s">
        <v>450</v>
      </c>
      <c r="I151" s="515"/>
      <c r="J151" s="515"/>
      <c r="K151" s="507"/>
      <c r="L151" s="515"/>
      <c r="M151" s="65">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6"/>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row>
    <row r="152" spans="1:33" s="1049" customFormat="1" ht="15.75" customHeight="1">
      <c r="A152" s="398" t="str">
        <f>IF(B152&lt;&gt;"",IF(AND(B152&gt;=_TM1,B152&lt;=_TM2,OR(TH!N152="1111",TH!O152="1111")),TH!D152,""),"")</f>
        <v/>
      </c>
      <c r="B152" s="63">
        <f t="shared" ref="B152:B153" si="7">IF(C152&lt;&gt;"",MONTH(C152),"")</f>
        <v>2</v>
      </c>
      <c r="C152" s="64">
        <v>42425</v>
      </c>
      <c r="D152" s="64" t="s">
        <v>200</v>
      </c>
      <c r="E152" s="64">
        <v>42425</v>
      </c>
      <c r="F152" s="67" t="s">
        <v>757</v>
      </c>
      <c r="G152" s="375" t="s">
        <v>783</v>
      </c>
      <c r="H152" s="74" t="s">
        <v>88</v>
      </c>
      <c r="I152" s="515"/>
      <c r="J152" s="515"/>
      <c r="K152" s="507"/>
      <c r="L152" s="515"/>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6"/>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row>
    <row r="153" spans="1:33" s="1049" customFormat="1" ht="15.75" customHeight="1">
      <c r="A153" s="398" t="str">
        <f>IF(B153&lt;&gt;"",IF(AND(B153&gt;=_TM1,B153&lt;=_TM2,OR(TH!N153="1111",TH!O153="1111")),TH!D153,""),"")</f>
        <v/>
      </c>
      <c r="B153" s="63">
        <f t="shared" si="7"/>
        <v>2</v>
      </c>
      <c r="C153" s="64">
        <v>42425</v>
      </c>
      <c r="D153" s="64" t="s">
        <v>200</v>
      </c>
      <c r="E153" s="64">
        <v>42425</v>
      </c>
      <c r="F153" s="67" t="s">
        <v>758</v>
      </c>
      <c r="G153" s="375" t="s">
        <v>783</v>
      </c>
      <c r="H153" s="74" t="s">
        <v>88</v>
      </c>
      <c r="I153" s="515"/>
      <c r="J153" s="515"/>
      <c r="K153" s="507"/>
      <c r="L153" s="515"/>
      <c r="M153" s="65">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6"/>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row>
    <row r="154" spans="1:33" s="1049" customFormat="1" ht="15.75" customHeight="1">
      <c r="A154" s="398" t="str">
        <f>IF(B154&lt;&gt;"",IF(AND(B154&gt;=_TM1,B154&lt;=_TM2,OR(TH!N154="1111",TH!O154="1111")),TH!D154,""),"")</f>
        <v/>
      </c>
      <c r="B154" s="63">
        <f t="shared" ref="B154:B192" si="8">IF(C154&lt;&gt;"",MONTH(C154),"")</f>
        <v>3</v>
      </c>
      <c r="C154" s="64">
        <v>42430</v>
      </c>
      <c r="D154" s="64" t="s">
        <v>759</v>
      </c>
      <c r="E154" s="64">
        <v>42430</v>
      </c>
      <c r="F154" s="67" t="s">
        <v>419</v>
      </c>
      <c r="G154" s="361" t="s">
        <v>810</v>
      </c>
      <c r="H154" s="405" t="s">
        <v>161</v>
      </c>
      <c r="I154" s="516"/>
      <c r="J154" s="516"/>
      <c r="K154" s="508"/>
      <c r="L154" s="516"/>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6"/>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3" s="1049" customFormat="1" ht="15.75" customHeight="1">
      <c r="A155" s="398" t="str">
        <f>IF(B155&lt;&gt;"",IF(AND(B155&gt;=_TM1,B155&lt;=_TM2,OR(TH!N155="1111",TH!O155="1111")),TH!D155,""),"")</f>
        <v/>
      </c>
      <c r="B155" s="63">
        <f t="shared" si="8"/>
        <v>3</v>
      </c>
      <c r="C155" s="64">
        <v>42430</v>
      </c>
      <c r="D155" s="64" t="s">
        <v>8</v>
      </c>
      <c r="E155" s="64">
        <v>42430</v>
      </c>
      <c r="F155" s="67" t="s">
        <v>451</v>
      </c>
      <c r="G155" s="361" t="s">
        <v>810</v>
      </c>
      <c r="H155" s="74" t="s">
        <v>222</v>
      </c>
      <c r="I155" s="515"/>
      <c r="J155" s="515"/>
      <c r="K155" s="507"/>
      <c r="L155" s="515"/>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6"/>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3" s="1049" customFormat="1" ht="15.75" customHeight="1">
      <c r="A156" s="398" t="str">
        <f>IF(B156&lt;&gt;"",IF(AND(B156&gt;=_TM1,B156&lt;=_TM2,OR(TH!N156="1111",TH!O156="1111")),TH!D156,""),"")</f>
        <v/>
      </c>
      <c r="B156" s="63">
        <f t="shared" si="8"/>
        <v>3</v>
      </c>
      <c r="C156" s="64">
        <v>42430</v>
      </c>
      <c r="D156" s="64" t="s">
        <v>8</v>
      </c>
      <c r="E156" s="64">
        <v>42430</v>
      </c>
      <c r="F156" s="67" t="s">
        <v>22</v>
      </c>
      <c r="G156" s="361" t="s">
        <v>810</v>
      </c>
      <c r="H156" s="74"/>
      <c r="I156" s="515"/>
      <c r="J156" s="515"/>
      <c r="K156" s="507"/>
      <c r="L156" s="515"/>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6"/>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row>
    <row r="157" spans="1:33" s="1049" customFormat="1" ht="15.75" customHeight="1">
      <c r="A157" s="398" t="str">
        <f>IF(B157&lt;&gt;"",IF(AND(B157&gt;=_TM1,B157&lt;=_TM2,OR(TH!N157="1111",TH!O157="1111")),TH!D157,""),"")</f>
        <v/>
      </c>
      <c r="B157" s="63">
        <f t="shared" si="8"/>
        <v>3</v>
      </c>
      <c r="C157" s="64">
        <v>42430</v>
      </c>
      <c r="D157" s="64" t="s">
        <v>8</v>
      </c>
      <c r="E157" s="64">
        <v>42430</v>
      </c>
      <c r="F157" s="67" t="s">
        <v>23</v>
      </c>
      <c r="G157" s="361" t="s">
        <v>810</v>
      </c>
      <c r="H157" s="74"/>
      <c r="I157" s="515"/>
      <c r="J157" s="515"/>
      <c r="K157" s="507"/>
      <c r="L157" s="515"/>
      <c r="M157" s="65">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6"/>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row>
    <row r="158" spans="1:33" s="1049" customFormat="1" ht="15.75" customHeight="1">
      <c r="A158" s="398" t="str">
        <f>IF(B158&lt;&gt;"",IF(AND(B158&gt;=_TM1,B158&lt;=_TM2,OR(TH!N158="1111",TH!O158="1111")),TH!D158,""),"")</f>
        <v/>
      </c>
      <c r="B158" s="63">
        <f t="shared" si="8"/>
        <v>3</v>
      </c>
      <c r="C158" s="64">
        <v>42432</v>
      </c>
      <c r="D158" s="64" t="s">
        <v>8</v>
      </c>
      <c r="E158" s="64">
        <f>C158</f>
        <v>42432</v>
      </c>
      <c r="F158" s="67" t="s">
        <v>798</v>
      </c>
      <c r="G158" s="361" t="s">
        <v>810</v>
      </c>
      <c r="H158" s="67"/>
      <c r="I158" s="515"/>
      <c r="J158" s="515"/>
      <c r="K158" s="507"/>
      <c r="L158" s="515"/>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6"/>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row>
    <row r="159" spans="1:33" s="1049" customFormat="1" ht="15.75" customHeight="1">
      <c r="A159" s="398" t="str">
        <f>IF(B159&lt;&gt;"",IF(AND(B159&gt;=_TM1,B159&lt;=_TM2,OR(TH!N159="1111",TH!O159="1111")),TH!D159,""),"")</f>
        <v/>
      </c>
      <c r="B159" s="63">
        <f t="shared" si="8"/>
        <v>3</v>
      </c>
      <c r="C159" s="64">
        <v>42432</v>
      </c>
      <c r="D159" s="64" t="s">
        <v>8</v>
      </c>
      <c r="E159" s="64">
        <f>C159</f>
        <v>42432</v>
      </c>
      <c r="F159" s="67" t="s">
        <v>799</v>
      </c>
      <c r="G159" s="361" t="s">
        <v>810</v>
      </c>
      <c r="H159" s="67"/>
      <c r="I159" s="515"/>
      <c r="J159" s="515"/>
      <c r="K159" s="507"/>
      <c r="L159" s="515"/>
      <c r="M159" s="65">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6"/>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row>
    <row r="160" spans="1:33" s="1049" customFormat="1" ht="15.75" customHeight="1">
      <c r="A160" s="398" t="str">
        <f>IF(B160&lt;&gt;"",IF(AND(B160&gt;=_TM1,B160&lt;=_TM2,OR(TH!N160="1111",TH!O160="1111")),TH!D160,""),"")</f>
        <v/>
      </c>
      <c r="B160" s="63">
        <f t="shared" si="8"/>
        <v>3</v>
      </c>
      <c r="C160" s="64">
        <v>42436</v>
      </c>
      <c r="D160" s="64" t="s">
        <v>760</v>
      </c>
      <c r="E160" s="64">
        <v>42436</v>
      </c>
      <c r="F160" s="67" t="s">
        <v>765</v>
      </c>
      <c r="G160" s="375" t="s">
        <v>766</v>
      </c>
      <c r="H160" s="74" t="s">
        <v>330</v>
      </c>
      <c r="I160" s="515"/>
      <c r="J160" s="515"/>
      <c r="K160" s="507"/>
      <c r="L160" s="515"/>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6"/>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3" s="1049" customFormat="1" ht="15.75" customHeight="1">
      <c r="A161" s="398" t="str">
        <f>IF(B161&lt;&gt;"",IF(AND(B161&gt;=_TM1,B161&lt;=_TM2,OR(TH!N161="1111",TH!O161="1111")),TH!D161,""),"")</f>
        <v/>
      </c>
      <c r="B161" s="63">
        <f t="shared" si="8"/>
        <v>3</v>
      </c>
      <c r="C161" s="64">
        <v>42436</v>
      </c>
      <c r="D161" s="64" t="s">
        <v>764</v>
      </c>
      <c r="E161" s="64">
        <v>42436</v>
      </c>
      <c r="F161" s="67" t="s">
        <v>408</v>
      </c>
      <c r="G161" s="375" t="s">
        <v>768</v>
      </c>
      <c r="H161" s="74" t="s">
        <v>327</v>
      </c>
      <c r="I161" s="515"/>
      <c r="J161" s="515"/>
      <c r="K161" s="507"/>
      <c r="L161" s="515"/>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6"/>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3" s="1049" customFormat="1" ht="15.75" customHeight="1">
      <c r="A162" s="398" t="str">
        <f>IF(B162&lt;&gt;"",IF(AND(B162&gt;=_TM1,B162&lt;=_TM2,OR(TH!N162="1111",TH!O162="1111")),TH!D162,""),"")</f>
        <v/>
      </c>
      <c r="B162" s="63">
        <f t="shared" si="8"/>
        <v>3</v>
      </c>
      <c r="C162" s="64">
        <v>42439</v>
      </c>
      <c r="D162" s="64" t="s">
        <v>767</v>
      </c>
      <c r="E162" s="64">
        <v>42439</v>
      </c>
      <c r="F162" s="67" t="s">
        <v>761</v>
      </c>
      <c r="G162" s="375" t="s">
        <v>763</v>
      </c>
      <c r="H162" s="74" t="s">
        <v>323</v>
      </c>
      <c r="I162" s="515"/>
      <c r="J162" s="515"/>
      <c r="K162" s="507"/>
      <c r="L162" s="515"/>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6"/>
        <v>1</v>
      </c>
      <c r="AD162" s="66" t="str">
        <f>IF(AND(MONTH(E162)&lt;='IN-NX'!$P$3,'IN-NX'!$D$7=D162,OR(LEFT(TH!N162,2)="15",LEFT(TH!O162,2)="15")),"x","")</f>
        <v/>
      </c>
      <c r="AE162" s="66" t="str">
        <f>IF(AND(OR(LEFT(TH!N162,2)="15",LEFT(TH!O162,2)="15"),'152-CT'!$J$8=TH!F162),"x","")</f>
        <v/>
      </c>
      <c r="AF162" s="66" t="str">
        <f>IF(AND(OR(LEFT(TH!N162,2)="15",LEFT(TH!O162,2)="15"),'THE KHO'!$E$7=TH!F162),"x","")</f>
        <v/>
      </c>
      <c r="AG162" s="66" t="str">
        <f>IF(AND(N162="1521",MONTH(C162)='BK NL'!$M$11),"x","")</f>
        <v/>
      </c>
    </row>
    <row r="163" spans="1:33" s="1049" customFormat="1" ht="15.75" customHeight="1">
      <c r="A163" s="398" t="str">
        <f>IF(B163&lt;&gt;"",IF(AND(B163&gt;=_TM1,B163&lt;=_TM2,OR(TH!N163="1111",TH!O163="1111")),TH!D163,""),"")</f>
        <v/>
      </c>
      <c r="B163" s="63">
        <f t="shared" si="8"/>
        <v>3</v>
      </c>
      <c r="C163" s="64">
        <v>42439</v>
      </c>
      <c r="D163" s="64" t="s">
        <v>767</v>
      </c>
      <c r="E163" s="64">
        <v>42439</v>
      </c>
      <c r="F163" s="67" t="s">
        <v>762</v>
      </c>
      <c r="G163" s="375" t="s">
        <v>763</v>
      </c>
      <c r="H163" s="74" t="s">
        <v>323</v>
      </c>
      <c r="I163" s="515"/>
      <c r="J163" s="515"/>
      <c r="K163" s="507"/>
      <c r="L163" s="515"/>
      <c r="M163" s="65">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6"/>
        <v>1</v>
      </c>
      <c r="AD163" s="66" t="str">
        <f>IF(AND(MONTH(E163)&lt;='IN-NX'!$P$3,'IN-NX'!$D$7=D163,OR(LEFT(TH!N163,2)="15",LEFT(TH!O163,2)="15")),"x","")</f>
        <v/>
      </c>
      <c r="AE163" s="66" t="str">
        <f>IF(AND(OR(LEFT(TH!N163,2)="15",LEFT(TH!O163,2)="15"),'152-CT'!$J$8=TH!F163),"x","")</f>
        <v/>
      </c>
      <c r="AF163" s="66" t="str">
        <f>IF(AND(OR(LEFT(TH!N163,2)="15",LEFT(TH!O163,2)="15"),'THE KHO'!$E$7=TH!F163),"x","")</f>
        <v/>
      </c>
      <c r="AG163" s="66" t="str">
        <f>IF(AND(N163="1521",MONTH(C163)='BK NL'!$M$11),"x","")</f>
        <v/>
      </c>
    </row>
    <row r="164" spans="1:33" s="1049" customFormat="1" ht="15.75" customHeight="1">
      <c r="A164" s="398" t="str">
        <f>IF(B164&lt;&gt;"",IF(AND(B164&gt;=_TM1,B164&lt;=_TM2,OR(TH!N164="1111",TH!O164="1111")),TH!D164,""),"")</f>
        <v/>
      </c>
      <c r="B164" s="63">
        <f t="shared" si="8"/>
        <v>3</v>
      </c>
      <c r="C164" s="64">
        <v>42441</v>
      </c>
      <c r="D164" s="64" t="s">
        <v>796</v>
      </c>
      <c r="E164" s="64">
        <v>42441</v>
      </c>
      <c r="F164" s="67" t="s">
        <v>772</v>
      </c>
      <c r="G164" s="375" t="s">
        <v>769</v>
      </c>
      <c r="H164" s="67" t="s">
        <v>770</v>
      </c>
      <c r="I164" s="516">
        <v>500</v>
      </c>
      <c r="J164" s="516">
        <v>33000</v>
      </c>
      <c r="K164" s="508"/>
      <c r="L164" s="516"/>
      <c r="M164" s="65">
        <v>16500000</v>
      </c>
      <c r="N164" s="66" t="s">
        <v>474</v>
      </c>
      <c r="O164" s="66" t="s">
        <v>9</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6"/>
        <v>1</v>
      </c>
      <c r="AD164" s="66" t="str">
        <f>IF(AND(MONTH(E164)&lt;='IN-NX'!$P$3,'IN-NX'!$D$7=D164,OR(LEFT(TH!N164,2)="15",LEFT(TH!O164,2)="15")),"x","")</f>
        <v>x</v>
      </c>
      <c r="AE164" s="66" t="str">
        <f>IF(AND(OR(LEFT(TH!N164,2)="15",LEFT(TH!O164,2)="15"),'152-CT'!$J$8=TH!F164),"x","")</f>
        <v>x</v>
      </c>
      <c r="AF164" s="66" t="str">
        <f>IF(AND(OR(LEFT(TH!N164,2)="15",LEFT(TH!O164,2)="15"),'THE KHO'!$E$7=TH!F164),"x","")</f>
        <v>x</v>
      </c>
      <c r="AG164" s="66" t="str">
        <f>IF(AND(N164="1521",MONTH(C164)='BK NL'!$M$11),"x","")</f>
        <v/>
      </c>
    </row>
    <row r="165" spans="1:33" s="1049" customFormat="1" ht="15.75" customHeight="1">
      <c r="A165" s="398" t="str">
        <f>IF(B165&lt;&gt;"",IF(AND(B165&gt;=_TM1,B165&lt;=_TM2,OR(TH!N165="1111",TH!O165="1111")),TH!D165,""),"")</f>
        <v/>
      </c>
      <c r="B165" s="63">
        <f t="shared" si="8"/>
        <v>3</v>
      </c>
      <c r="C165" s="64">
        <v>42441</v>
      </c>
      <c r="D165" s="64" t="s">
        <v>796</v>
      </c>
      <c r="E165" s="64">
        <v>42441</v>
      </c>
      <c r="F165" s="67" t="s">
        <v>773</v>
      </c>
      <c r="G165" s="375" t="s">
        <v>769</v>
      </c>
      <c r="H165" s="67" t="s">
        <v>770</v>
      </c>
      <c r="I165" s="516">
        <v>500</v>
      </c>
      <c r="J165" s="516">
        <v>33000</v>
      </c>
      <c r="K165" s="508"/>
      <c r="L165" s="516"/>
      <c r="M165" s="65">
        <v>16500000</v>
      </c>
      <c r="N165" s="66" t="s">
        <v>474</v>
      </c>
      <c r="O165" s="66" t="s">
        <v>9</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6"/>
        <v>1</v>
      </c>
      <c r="AD165" s="66" t="str">
        <f>IF(AND(MONTH(E165)&lt;='IN-NX'!$P$3,'IN-NX'!$D$7=D165,OR(LEFT(TH!N165,2)="15",LEFT(TH!O165,2)="15")),"x","")</f>
        <v>x</v>
      </c>
      <c r="AE165" s="66" t="str">
        <f>IF(AND(OR(LEFT(TH!N165,2)="15",LEFT(TH!O165,2)="15"),'152-CT'!$J$8=TH!F165),"x","")</f>
        <v/>
      </c>
      <c r="AF165" s="66" t="str">
        <f>IF(AND(OR(LEFT(TH!N165,2)="15",LEFT(TH!O165,2)="15"),'THE KHO'!$E$7=TH!F165),"x","")</f>
        <v/>
      </c>
      <c r="AG165" s="66" t="str">
        <f>IF(AND(N165="1521",MONTH(C165)='BK NL'!$M$11),"x","")</f>
        <v/>
      </c>
    </row>
    <row r="166" spans="1:33" s="1049" customFormat="1" ht="15.75" customHeight="1">
      <c r="A166" s="398" t="str">
        <f>IF(B166&lt;&gt;"",IF(AND(B166&gt;=_TM1,B166&lt;=_TM2,OR(TH!N166="1111",TH!O166="1111")),TH!D166,""),"")</f>
        <v/>
      </c>
      <c r="B166" s="63">
        <f t="shared" si="8"/>
        <v>3</v>
      </c>
      <c r="C166" s="64">
        <v>42441</v>
      </c>
      <c r="D166" s="64" t="s">
        <v>796</v>
      </c>
      <c r="E166" s="64">
        <v>42441</v>
      </c>
      <c r="F166" s="67" t="s">
        <v>771</v>
      </c>
      <c r="G166" s="375" t="s">
        <v>769</v>
      </c>
      <c r="H166" s="67" t="s">
        <v>770</v>
      </c>
      <c r="I166" s="516"/>
      <c r="J166" s="516"/>
      <c r="K166" s="508"/>
      <c r="L166" s="516"/>
      <c r="M166" s="65">
        <v>3300000</v>
      </c>
      <c r="N166" s="66" t="s">
        <v>10</v>
      </c>
      <c r="O166" s="66" t="s">
        <v>9</v>
      </c>
      <c r="P166" s="66" t="str">
        <f>IF(AND('331-CT'!$E$7=TH!H166,OR(N166="331",O166="331")),"x","")</f>
        <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6"/>
        <v>1</v>
      </c>
      <c r="AD166" s="66" t="str">
        <f>IF(AND(MONTH(E166)&lt;='IN-NX'!$P$3,'IN-NX'!$D$7=D166,OR(LEFT(TH!N166,2)="15",LEFT(TH!O166,2)="15")),"x","")</f>
        <v/>
      </c>
      <c r="AE166" s="66" t="str">
        <f>IF(AND(OR(LEFT(TH!N166,2)="15",LEFT(TH!O166,2)="15"),'152-CT'!$J$8=TH!F166),"x","")</f>
        <v/>
      </c>
      <c r="AF166" s="66" t="str">
        <f>IF(AND(OR(LEFT(TH!N166,2)="15",LEFT(TH!O166,2)="15"),'THE KHO'!$E$7=TH!F166),"x","")</f>
        <v/>
      </c>
      <c r="AG166" s="66" t="str">
        <f>IF(AND(N166="1521",MONTH(C166)='BK NL'!$M$11),"x","")</f>
        <v/>
      </c>
    </row>
    <row r="167" spans="1:33" s="1049" customFormat="1" ht="15.75" customHeight="1">
      <c r="A167" s="398" t="str">
        <f>IF(B167&lt;&gt;"",IF(AND(B167&gt;=_TM1,B167&lt;=_TM2,OR(TH!N167="1111",TH!O167="1111")),TH!D167,""),"")</f>
        <v/>
      </c>
      <c r="B167" s="63">
        <f t="shared" si="8"/>
        <v>3</v>
      </c>
      <c r="C167" s="64">
        <v>42444</v>
      </c>
      <c r="D167" s="64" t="s">
        <v>774</v>
      </c>
      <c r="E167" s="64">
        <v>42444</v>
      </c>
      <c r="F167" s="67" t="s">
        <v>444</v>
      </c>
      <c r="G167" s="375" t="s">
        <v>775</v>
      </c>
      <c r="H167" s="74" t="s">
        <v>162</v>
      </c>
      <c r="I167" s="516"/>
      <c r="J167" s="516"/>
      <c r="K167" s="508"/>
      <c r="L167" s="516"/>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6"/>
        <v>1</v>
      </c>
      <c r="AD167" s="66" t="str">
        <f>IF(AND(MONTH(E167)&lt;='IN-NX'!$P$3,'IN-NX'!$D$7=D167,OR(LEFT(TH!N167,2)="15",LEFT(TH!O167,2)="15")),"x","")</f>
        <v/>
      </c>
      <c r="AE167" s="66" t="str">
        <f>IF(AND(OR(LEFT(TH!N167,2)="15",LEFT(TH!O167,2)="15"),'152-CT'!$J$8=TH!F167),"x","")</f>
        <v/>
      </c>
      <c r="AF167" s="66" t="str">
        <f>IF(AND(OR(LEFT(TH!N167,2)="15",LEFT(TH!O167,2)="15"),'THE KHO'!$E$7=TH!F167),"x","")</f>
        <v/>
      </c>
      <c r="AG167" s="66" t="str">
        <f>IF(AND(N167="1521",MONTH(C167)='BK NL'!$M$11),"x","")</f>
        <v/>
      </c>
    </row>
    <row r="168" spans="1:33" s="1049" customFormat="1" ht="15.75" customHeight="1">
      <c r="A168" s="398" t="str">
        <f>IF(B168&lt;&gt;"",IF(AND(B168&gt;=_TM1,B168&lt;=_TM2,OR(TH!N168="1111",TH!O168="1111")),TH!D168,""),"")</f>
        <v/>
      </c>
      <c r="B168" s="63">
        <f t="shared" si="8"/>
        <v>3</v>
      </c>
      <c r="C168" s="64">
        <v>42444</v>
      </c>
      <c r="D168" s="64" t="s">
        <v>774</v>
      </c>
      <c r="E168" s="64">
        <v>42444</v>
      </c>
      <c r="F168" s="67" t="s">
        <v>446</v>
      </c>
      <c r="G168" s="375" t="s">
        <v>775</v>
      </c>
      <c r="H168" s="74" t="s">
        <v>162</v>
      </c>
      <c r="I168" s="515"/>
      <c r="J168" s="515"/>
      <c r="K168" s="507"/>
      <c r="L168" s="515"/>
      <c r="M168" s="65">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6"/>
        <v>1</v>
      </c>
      <c r="AD168" s="66" t="str">
        <f>IF(AND(MONTH(E168)&lt;='IN-NX'!$P$3,'IN-NX'!$D$7=D168,OR(LEFT(TH!N168,2)="15",LEFT(TH!O168,2)="15")),"x","")</f>
        <v/>
      </c>
      <c r="AE168" s="66" t="str">
        <f>IF(AND(OR(LEFT(TH!N168,2)="15",LEFT(TH!O168,2)="15"),'152-CT'!$J$8=TH!F168),"x","")</f>
        <v/>
      </c>
      <c r="AF168" s="66" t="str">
        <f>IF(AND(OR(LEFT(TH!N168,2)="15",LEFT(TH!O168,2)="15"),'THE KHO'!$E$7=TH!F168),"x","")</f>
        <v/>
      </c>
      <c r="AG168" s="66" t="str">
        <f>IF(AND(N168="1521",MONTH(C168)='BK NL'!$M$11),"x","")</f>
        <v/>
      </c>
    </row>
    <row r="169" spans="1:33" s="1049" customFormat="1" ht="15.75" customHeight="1">
      <c r="A169" s="398" t="str">
        <f>IF(B169&lt;&gt;"",IF(AND(B169&gt;=_TM1,B169&lt;=_TM2,OR(TH!N169="1111",TH!O169="1111")),TH!D169,""),"")</f>
        <v/>
      </c>
      <c r="B169" s="63">
        <f t="shared" si="8"/>
        <v>3</v>
      </c>
      <c r="C169" s="64">
        <v>42444</v>
      </c>
      <c r="D169" s="64" t="s">
        <v>776</v>
      </c>
      <c r="E169" s="64">
        <v>42444</v>
      </c>
      <c r="F169" s="67" t="s">
        <v>777</v>
      </c>
      <c r="G169" s="375" t="s">
        <v>778</v>
      </c>
      <c r="H169" s="67" t="s">
        <v>330</v>
      </c>
      <c r="I169" s="515"/>
      <c r="J169" s="515"/>
      <c r="K169" s="507"/>
      <c r="L169" s="515"/>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6"/>
        <v>1</v>
      </c>
      <c r="AD169" s="66" t="str">
        <f>IF(AND(MONTH(E169)&lt;='IN-NX'!$P$3,'IN-NX'!$D$7=D169,OR(LEFT(TH!N169,2)="15",LEFT(TH!O169,2)="15")),"x","")</f>
        <v/>
      </c>
      <c r="AE169" s="66" t="str">
        <f>IF(AND(OR(LEFT(TH!N169,2)="15",LEFT(TH!O169,2)="15"),'152-CT'!$J$8=TH!F169),"x","")</f>
        <v/>
      </c>
      <c r="AF169" s="66" t="str">
        <f>IF(AND(OR(LEFT(TH!N169,2)="15",LEFT(TH!O169,2)="15"),'THE KHO'!$E$7=TH!F169),"x","")</f>
        <v/>
      </c>
      <c r="AG169" s="66" t="str">
        <f>IF(AND(N169="1521",MONTH(C169)='BK NL'!$M$11),"x","")</f>
        <v/>
      </c>
    </row>
    <row r="170" spans="1:33" s="1049" customFormat="1" ht="15.75" customHeight="1">
      <c r="A170" s="398" t="str">
        <f>IF(B170&lt;&gt;"",IF(AND(B170&gt;=_TM1,B170&lt;=_TM2,OR(TH!N170="1111",TH!O170="1111")),TH!D170,""),"")</f>
        <v/>
      </c>
      <c r="B170" s="63">
        <f t="shared" si="8"/>
        <v>3</v>
      </c>
      <c r="C170" s="64">
        <v>42444</v>
      </c>
      <c r="D170" s="398" t="s">
        <v>807</v>
      </c>
      <c r="E170" s="64">
        <f t="shared" ref="E170:E193" si="9">C170</f>
        <v>42444</v>
      </c>
      <c r="F170" s="67" t="s">
        <v>800</v>
      </c>
      <c r="G170" s="361"/>
      <c r="H170" s="67" t="s">
        <v>183</v>
      </c>
      <c r="I170" s="515"/>
      <c r="J170" s="515"/>
      <c r="K170" s="507"/>
      <c r="L170" s="515"/>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6"/>
        <v>1</v>
      </c>
      <c r="AD170" s="66" t="str">
        <f>IF(AND(MONTH(E170)&lt;='IN-NX'!$P$3,'IN-NX'!$D$7=D170,OR(LEFT(TH!N170,2)="15",LEFT(TH!O170,2)="15")),"x","")</f>
        <v/>
      </c>
      <c r="AE170" s="66" t="str">
        <f>IF(AND(OR(LEFT(TH!N170,2)="15",LEFT(TH!O170,2)="15"),'152-CT'!$J$8=TH!F170),"x","")</f>
        <v/>
      </c>
      <c r="AF170" s="66" t="str">
        <f>IF(AND(OR(LEFT(TH!N170,2)="15",LEFT(TH!O170,2)="15"),'THE KHO'!$E$7=TH!F170),"x","")</f>
        <v/>
      </c>
      <c r="AG170" s="66" t="str">
        <f>IF(AND(N170="1521",MONTH(C170)='BK NL'!$M$11),"x","")</f>
        <v/>
      </c>
    </row>
    <row r="171" spans="1:33" s="1049" customFormat="1" ht="15.75" customHeight="1">
      <c r="A171" s="398" t="str">
        <f>IF(B171&lt;&gt;"",IF(AND(B171&gt;=_TM1,B171&lt;=_TM2,OR(TH!N171="1111",TH!O171="1111")),TH!D171,""),"")</f>
        <v/>
      </c>
      <c r="B171" s="63">
        <f t="shared" si="8"/>
        <v>3</v>
      </c>
      <c r="C171" s="64">
        <v>42444</v>
      </c>
      <c r="D171" s="398" t="s">
        <v>808</v>
      </c>
      <c r="E171" s="64">
        <f t="shared" si="9"/>
        <v>42444</v>
      </c>
      <c r="F171" s="67" t="s">
        <v>419</v>
      </c>
      <c r="G171" s="361" t="s">
        <v>810</v>
      </c>
      <c r="H171" s="405" t="s">
        <v>161</v>
      </c>
      <c r="I171" s="516"/>
      <c r="J171" s="516"/>
      <c r="K171" s="508"/>
      <c r="L171" s="516"/>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6"/>
        <v>1</v>
      </c>
      <c r="AD171" s="66" t="str">
        <f>IF(AND(MONTH(E171)&lt;='IN-NX'!$P$3,'IN-NX'!$D$7=D171,OR(LEFT(TH!N171,2)="15",LEFT(TH!O171,2)="15")),"x","")</f>
        <v/>
      </c>
      <c r="AE171" s="66" t="str">
        <f>IF(AND(OR(LEFT(TH!N171,2)="15",LEFT(TH!O171,2)="15"),'152-CT'!$J$8=TH!F171),"x","")</f>
        <v/>
      </c>
      <c r="AF171" s="66" t="str">
        <f>IF(AND(OR(LEFT(TH!N171,2)="15",LEFT(TH!O171,2)="15"),'THE KHO'!$E$7=TH!F171),"x","")</f>
        <v/>
      </c>
      <c r="AG171" s="66" t="str">
        <f>IF(AND(N171="1521",MONTH(C171)='BK NL'!$M$11),"x","")</f>
        <v/>
      </c>
    </row>
    <row r="172" spans="1:33" s="1049" customFormat="1" ht="15.75" customHeight="1">
      <c r="A172" s="398" t="str">
        <f>IF(B172&lt;&gt;"",IF(AND(B172&gt;=_TM1,B172&lt;=_TM2,OR(TH!N172="1111",TH!O172="1111")),TH!D172,""),"")</f>
        <v/>
      </c>
      <c r="B172" s="63">
        <f t="shared" si="8"/>
        <v>3</v>
      </c>
      <c r="C172" s="64">
        <v>42444</v>
      </c>
      <c r="D172" s="64" t="s">
        <v>8</v>
      </c>
      <c r="E172" s="64">
        <f t="shared" si="9"/>
        <v>42444</v>
      </c>
      <c r="F172" s="67" t="s">
        <v>414</v>
      </c>
      <c r="G172" s="361" t="s">
        <v>810</v>
      </c>
      <c r="H172" s="74" t="s">
        <v>333</v>
      </c>
      <c r="I172" s="515"/>
      <c r="J172" s="515"/>
      <c r="K172" s="507"/>
      <c r="L172" s="515"/>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6"/>
        <v>1</v>
      </c>
      <c r="AD172" s="66" t="str">
        <f>IF(AND(MONTH(E172)&lt;='IN-NX'!$P$3,'IN-NX'!$D$7=D172,OR(LEFT(TH!N172,2)="15",LEFT(TH!O172,2)="15")),"x","")</f>
        <v/>
      </c>
      <c r="AE172" s="66" t="str">
        <f>IF(AND(OR(LEFT(TH!N172,2)="15",LEFT(TH!O172,2)="15"),'152-CT'!$J$8=TH!F172),"x","")</f>
        <v/>
      </c>
      <c r="AF172" s="66" t="str">
        <f>IF(AND(OR(LEFT(TH!N172,2)="15",LEFT(TH!O172,2)="15"),'THE KHO'!$E$7=TH!F172),"x","")</f>
        <v/>
      </c>
      <c r="AG172" s="66" t="str">
        <f>IF(AND(N172="1521",MONTH(C172)='BK NL'!$M$11),"x","")</f>
        <v/>
      </c>
    </row>
    <row r="173" spans="1:33" s="1049" customFormat="1" ht="15.75" customHeight="1">
      <c r="A173" s="398" t="str">
        <f>IF(B173&lt;&gt;"",IF(AND(B173&gt;=_TM1,B173&lt;=_TM2,OR(TH!N173="1111",TH!O173="1111")),TH!D173,""),"")</f>
        <v/>
      </c>
      <c r="B173" s="63">
        <f t="shared" si="8"/>
        <v>3</v>
      </c>
      <c r="C173" s="64">
        <v>42445</v>
      </c>
      <c r="D173" s="64" t="s">
        <v>8</v>
      </c>
      <c r="E173" s="64">
        <f t="shared" si="9"/>
        <v>42445</v>
      </c>
      <c r="F173" s="67" t="s">
        <v>801</v>
      </c>
      <c r="G173" s="361" t="s">
        <v>810</v>
      </c>
      <c r="H173" s="7" t="s">
        <v>50</v>
      </c>
      <c r="I173" s="515"/>
      <c r="J173" s="515"/>
      <c r="K173" s="507"/>
      <c r="L173" s="515"/>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6"/>
        <v>1</v>
      </c>
      <c r="AD173" s="66" t="str">
        <f>IF(AND(MONTH(E173)&lt;='IN-NX'!$P$3,'IN-NX'!$D$7=D173,OR(LEFT(TH!N173,2)="15",LEFT(TH!O173,2)="15")),"x","")</f>
        <v/>
      </c>
      <c r="AE173" s="66" t="str">
        <f>IF(AND(OR(LEFT(TH!N173,2)="15",LEFT(TH!O173,2)="15"),'152-CT'!$J$8=TH!F173),"x","")</f>
        <v/>
      </c>
      <c r="AF173" s="66" t="str">
        <f>IF(AND(OR(LEFT(TH!N173,2)="15",LEFT(TH!O173,2)="15"),'THE KHO'!$E$7=TH!F173),"x","")</f>
        <v/>
      </c>
      <c r="AG173" s="66" t="str">
        <f>IF(AND(N173="1521",MONTH(C173)='BK NL'!$M$11),"x","")</f>
        <v/>
      </c>
    </row>
    <row r="174" spans="1:33" s="1049" customFormat="1" ht="15.75" customHeight="1">
      <c r="A174" s="398" t="str">
        <f>IF(B174&lt;&gt;"",IF(AND(B174&gt;=_TM1,B174&lt;=_TM2,OR(TH!N174="1111",TH!O174="1111")),TH!D174,""),"")</f>
        <v/>
      </c>
      <c r="B174" s="63">
        <f t="shared" si="8"/>
        <v>3</v>
      </c>
      <c r="C174" s="64">
        <v>42445</v>
      </c>
      <c r="D174" s="64" t="s">
        <v>8</v>
      </c>
      <c r="E174" s="64">
        <f t="shared" si="9"/>
        <v>42445</v>
      </c>
      <c r="F174" s="67" t="s">
        <v>22</v>
      </c>
      <c r="G174" s="361" t="s">
        <v>810</v>
      </c>
      <c r="H174" s="74"/>
      <c r="I174" s="515"/>
      <c r="J174" s="515"/>
      <c r="K174" s="507"/>
      <c r="L174" s="515"/>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6"/>
        <v>1</v>
      </c>
      <c r="AD174" s="66" t="str">
        <f>IF(AND(MONTH(E174)&lt;='IN-NX'!$P$3,'IN-NX'!$D$7=D174,OR(LEFT(TH!N174,2)="15",LEFT(TH!O174,2)="15")),"x","")</f>
        <v/>
      </c>
      <c r="AE174" s="66" t="str">
        <f>IF(AND(OR(LEFT(TH!N174,2)="15",LEFT(TH!O174,2)="15"),'152-CT'!$J$8=TH!F174),"x","")</f>
        <v/>
      </c>
      <c r="AF174" s="66" t="str">
        <f>IF(AND(OR(LEFT(TH!N174,2)="15",LEFT(TH!O174,2)="15"),'THE KHO'!$E$7=TH!F174),"x","")</f>
        <v/>
      </c>
      <c r="AG174" s="66" t="str">
        <f>IF(AND(N174="1521",MONTH(C174)='BK NL'!$M$11),"x","")</f>
        <v/>
      </c>
    </row>
    <row r="175" spans="1:33" s="1049" customFormat="1" ht="15.75" customHeight="1">
      <c r="A175" s="398" t="str">
        <f>IF(B175&lt;&gt;"",IF(AND(B175&gt;=_TM1,B175&lt;=_TM2,OR(TH!N175="1111",TH!O175="1111")),TH!D175,""),"")</f>
        <v/>
      </c>
      <c r="B175" s="63">
        <f t="shared" si="8"/>
        <v>3</v>
      </c>
      <c r="C175" s="64">
        <v>42445</v>
      </c>
      <c r="D175" s="64" t="s">
        <v>8</v>
      </c>
      <c r="E175" s="64">
        <f t="shared" si="9"/>
        <v>42445</v>
      </c>
      <c r="F175" s="67" t="s">
        <v>23</v>
      </c>
      <c r="G175" s="361" t="s">
        <v>810</v>
      </c>
      <c r="H175" s="74"/>
      <c r="I175" s="515"/>
      <c r="J175" s="515"/>
      <c r="K175" s="507"/>
      <c r="L175" s="515"/>
      <c r="M175" s="65">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6"/>
        <v>1</v>
      </c>
      <c r="AD175" s="66" t="str">
        <f>IF(AND(MONTH(E175)&lt;='IN-NX'!$P$3,'IN-NX'!$D$7=D175,OR(LEFT(TH!N175,2)="15",LEFT(TH!O175,2)="15")),"x","")</f>
        <v/>
      </c>
      <c r="AE175" s="66" t="str">
        <f>IF(AND(OR(LEFT(TH!N175,2)="15",LEFT(TH!O175,2)="15"),'152-CT'!$J$8=TH!F175),"x","")</f>
        <v/>
      </c>
      <c r="AF175" s="66" t="str">
        <f>IF(AND(OR(LEFT(TH!N175,2)="15",LEFT(TH!O175,2)="15"),'THE KHO'!$E$7=TH!F175),"x","")</f>
        <v/>
      </c>
      <c r="AG175" s="66" t="str">
        <f>IF(AND(N175="1521",MONTH(C175)='BK NL'!$M$11),"x","")</f>
        <v/>
      </c>
    </row>
    <row r="176" spans="1:33" s="1049" customFormat="1" ht="15.75" customHeight="1">
      <c r="A176" s="398" t="str">
        <f>IF(B176&lt;&gt;"",IF(AND(B176&gt;=_TM1,B176&lt;=_TM2,OR(TH!N176="1111",TH!O176="1111")),TH!D176,""),"")</f>
        <v/>
      </c>
      <c r="B176" s="63">
        <f t="shared" si="8"/>
        <v>3</v>
      </c>
      <c r="C176" s="64">
        <v>42445</v>
      </c>
      <c r="D176" s="64" t="s">
        <v>8</v>
      </c>
      <c r="E176" s="64">
        <f t="shared" si="9"/>
        <v>42445</v>
      </c>
      <c r="F176" s="67" t="s">
        <v>802</v>
      </c>
      <c r="G176" s="361" t="s">
        <v>810</v>
      </c>
      <c r="H176" s="67"/>
      <c r="I176" s="515"/>
      <c r="J176" s="515"/>
      <c r="K176" s="507"/>
      <c r="L176" s="515"/>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6"/>
        <v>1</v>
      </c>
      <c r="AD176" s="66" t="str">
        <f>IF(AND(MONTH(E176)&lt;='IN-NX'!$P$3,'IN-NX'!$D$7=D176,OR(LEFT(TH!N176,2)="15",LEFT(TH!O176,2)="15")),"x","")</f>
        <v/>
      </c>
      <c r="AE176" s="66" t="str">
        <f>IF(AND(OR(LEFT(TH!N176,2)="15",LEFT(TH!O176,2)="15"),'152-CT'!$J$8=TH!F176),"x","")</f>
        <v/>
      </c>
      <c r="AF176" s="66" t="str">
        <f>IF(AND(OR(LEFT(TH!N176,2)="15",LEFT(TH!O176,2)="15"),'THE KHO'!$E$7=TH!F176),"x","")</f>
        <v/>
      </c>
      <c r="AG176" s="66" t="str">
        <f>IF(AND(N176="1521",MONTH(C176)='BK NL'!$M$11),"x","")</f>
        <v/>
      </c>
    </row>
    <row r="177" spans="1:33" s="1049" customFormat="1" ht="15.75" customHeight="1">
      <c r="A177" s="398" t="str">
        <f>IF(B177&lt;&gt;"",IF(AND(B177&gt;=_TM1,B177&lt;=_TM2,OR(TH!N177="1111",TH!O177="1111")),TH!D177,""),"")</f>
        <v/>
      </c>
      <c r="B177" s="63">
        <f t="shared" si="8"/>
        <v>3</v>
      </c>
      <c r="C177" s="64">
        <v>42445</v>
      </c>
      <c r="D177" s="64" t="s">
        <v>8</v>
      </c>
      <c r="E177" s="64">
        <f t="shared" si="9"/>
        <v>42445</v>
      </c>
      <c r="F177" s="67" t="s">
        <v>803</v>
      </c>
      <c r="G177" s="361" t="s">
        <v>810</v>
      </c>
      <c r="H177" s="67"/>
      <c r="I177" s="515"/>
      <c r="J177" s="515"/>
      <c r="K177" s="507"/>
      <c r="L177" s="515"/>
      <c r="M177" s="65">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6"/>
        <v>1</v>
      </c>
      <c r="AD177" s="66" t="str">
        <f>IF(AND(MONTH(E177)&lt;='IN-NX'!$P$3,'IN-NX'!$D$7=D177,OR(LEFT(TH!N177,2)="15",LEFT(TH!O177,2)="15")),"x","")</f>
        <v/>
      </c>
      <c r="AE177" s="66" t="str">
        <f>IF(AND(OR(LEFT(TH!N177,2)="15",LEFT(TH!O177,2)="15"),'152-CT'!$J$8=TH!F177),"x","")</f>
        <v/>
      </c>
      <c r="AF177" s="66" t="str">
        <f>IF(AND(OR(LEFT(TH!N177,2)="15",LEFT(TH!O177,2)="15"),'THE KHO'!$E$7=TH!F177),"x","")</f>
        <v/>
      </c>
      <c r="AG177" s="66" t="str">
        <f>IF(AND(N177="1521",MONTH(C177)='BK NL'!$M$11),"x","")</f>
        <v/>
      </c>
    </row>
    <row r="178" spans="1:33" s="1049" customFormat="1" ht="15.75" customHeight="1">
      <c r="A178" s="398" t="str">
        <f>IF(B178&lt;&gt;"",IF(AND(B178&gt;=_TM1,B178&lt;=_TM2,OR(TH!N178="1111",TH!O178="1111")),TH!D178,""),"")</f>
        <v/>
      </c>
      <c r="B178" s="63">
        <f t="shared" si="8"/>
        <v>3</v>
      </c>
      <c r="C178" s="64">
        <v>42445</v>
      </c>
      <c r="D178" s="64" t="s">
        <v>8</v>
      </c>
      <c r="E178" s="64">
        <f t="shared" si="9"/>
        <v>42445</v>
      </c>
      <c r="F178" s="67" t="s">
        <v>804</v>
      </c>
      <c r="G178" s="361" t="s">
        <v>810</v>
      </c>
      <c r="H178" s="7" t="s">
        <v>317</v>
      </c>
      <c r="I178" s="516"/>
      <c r="J178" s="516"/>
      <c r="K178" s="508"/>
      <c r="L178" s="516"/>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6"/>
        <v>1</v>
      </c>
      <c r="AD178" s="66" t="str">
        <f>IF(AND(MONTH(E178)&lt;='IN-NX'!$P$3,'IN-NX'!$D$7=D178,OR(LEFT(TH!N178,2)="15",LEFT(TH!O178,2)="15")),"x","")</f>
        <v/>
      </c>
      <c r="AE178" s="66" t="str">
        <f>IF(AND(OR(LEFT(TH!N178,2)="15",LEFT(TH!O178,2)="15"),'152-CT'!$J$8=TH!F178),"x","")</f>
        <v/>
      </c>
      <c r="AF178" s="66" t="str">
        <f>IF(AND(OR(LEFT(TH!N178,2)="15",LEFT(TH!O178,2)="15"),'THE KHO'!$E$7=TH!F178),"x","")</f>
        <v/>
      </c>
      <c r="AG178" s="66" t="str">
        <f>IF(AND(N178="1521",MONTH(C178)='BK NL'!$M$11),"x","")</f>
        <v/>
      </c>
    </row>
    <row r="179" spans="1:33" s="1049" customFormat="1" ht="15.75" customHeight="1">
      <c r="A179" s="398" t="str">
        <f>IF(B179&lt;&gt;"",IF(AND(B179&gt;=_TM1,B179&lt;=_TM2,OR(TH!N179="1111",TH!O179="1111")),TH!D179,""),"")</f>
        <v/>
      </c>
      <c r="B179" s="63">
        <f t="shared" si="8"/>
        <v>3</v>
      </c>
      <c r="C179" s="64">
        <v>42445</v>
      </c>
      <c r="D179" s="64" t="s">
        <v>8</v>
      </c>
      <c r="E179" s="64">
        <f t="shared" si="9"/>
        <v>42445</v>
      </c>
      <c r="F179" s="67" t="s">
        <v>22</v>
      </c>
      <c r="G179" s="361" t="s">
        <v>810</v>
      </c>
      <c r="H179" s="67"/>
      <c r="I179" s="515"/>
      <c r="J179" s="515"/>
      <c r="K179" s="507"/>
      <c r="L179" s="515"/>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6"/>
        <v>1</v>
      </c>
      <c r="AD179" s="66" t="str">
        <f>IF(AND(MONTH(E179)&lt;='IN-NX'!$P$3,'IN-NX'!$D$7=D179,OR(LEFT(TH!N179,2)="15",LEFT(TH!O179,2)="15")),"x","")</f>
        <v/>
      </c>
      <c r="AE179" s="66" t="str">
        <f>IF(AND(OR(LEFT(TH!N179,2)="15",LEFT(TH!O179,2)="15"),'152-CT'!$J$8=TH!F179),"x","")</f>
        <v/>
      </c>
      <c r="AF179" s="66" t="str">
        <f>IF(AND(OR(LEFT(TH!N179,2)="15",LEFT(TH!O179,2)="15"),'THE KHO'!$E$7=TH!F179),"x","")</f>
        <v/>
      </c>
      <c r="AG179" s="66" t="str">
        <f>IF(AND(N179="1521",MONTH(C179)='BK NL'!$M$11),"x","")</f>
        <v/>
      </c>
    </row>
    <row r="180" spans="1:33" s="1049" customFormat="1" ht="15.75" customHeight="1">
      <c r="A180" s="398" t="str">
        <f>IF(B180&lt;&gt;"",IF(AND(B180&gt;=_TM1,B180&lt;=_TM2,OR(TH!N180="1111",TH!O180="1111")),TH!D180,""),"")</f>
        <v/>
      </c>
      <c r="B180" s="63">
        <f t="shared" si="8"/>
        <v>3</v>
      </c>
      <c r="C180" s="64">
        <v>42445</v>
      </c>
      <c r="D180" s="64" t="s">
        <v>8</v>
      </c>
      <c r="E180" s="64">
        <f t="shared" si="9"/>
        <v>42445</v>
      </c>
      <c r="F180" s="67" t="s">
        <v>23</v>
      </c>
      <c r="G180" s="361" t="s">
        <v>810</v>
      </c>
      <c r="H180" s="67"/>
      <c r="I180" s="515"/>
      <c r="J180" s="515"/>
      <c r="K180" s="507"/>
      <c r="L180" s="515"/>
      <c r="M180" s="65">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6"/>
        <v>1</v>
      </c>
      <c r="AD180" s="66" t="str">
        <f>IF(AND(MONTH(E180)&lt;='IN-NX'!$P$3,'IN-NX'!$D$7=D180,OR(LEFT(TH!N180,2)="15",LEFT(TH!O180,2)="15")),"x","")</f>
        <v/>
      </c>
      <c r="AE180" s="66" t="str">
        <f>IF(AND(OR(LEFT(TH!N180,2)="15",LEFT(TH!O180,2)="15"),'152-CT'!$J$8=TH!F180),"x","")</f>
        <v/>
      </c>
      <c r="AF180" s="66" t="str">
        <f>IF(AND(OR(LEFT(TH!N180,2)="15",LEFT(TH!O180,2)="15"),'THE KHO'!$E$7=TH!F180),"x","")</f>
        <v/>
      </c>
      <c r="AG180" s="66" t="str">
        <f>IF(AND(N180="1521",MONTH(C180)='BK NL'!$M$11),"x","")</f>
        <v/>
      </c>
    </row>
    <row r="181" spans="1:33" s="1049" customFormat="1" ht="15.75" customHeight="1">
      <c r="A181" s="398" t="str">
        <f>IF(B181&lt;&gt;"",IF(AND(B181&gt;=_TM1,B181&lt;=_TM2,OR(TH!N181="1111",TH!O181="1111")),TH!D181,""),"")</f>
        <v/>
      </c>
      <c r="B181" s="63">
        <f t="shared" si="8"/>
        <v>3</v>
      </c>
      <c r="C181" s="64">
        <v>42445</v>
      </c>
      <c r="D181" s="64" t="s">
        <v>8</v>
      </c>
      <c r="E181" s="64">
        <f t="shared" si="9"/>
        <v>42445</v>
      </c>
      <c r="F181" s="67" t="s">
        <v>802</v>
      </c>
      <c r="G181" s="361" t="s">
        <v>810</v>
      </c>
      <c r="H181" s="67"/>
      <c r="I181" s="516"/>
      <c r="J181" s="516"/>
      <c r="K181" s="508"/>
      <c r="L181" s="516"/>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6"/>
        <v>1</v>
      </c>
      <c r="AD181" s="66" t="str">
        <f>IF(AND(MONTH(E181)&lt;='IN-NX'!$P$3,'IN-NX'!$D$7=D181,OR(LEFT(TH!N181,2)="15",LEFT(TH!O181,2)="15")),"x","")</f>
        <v/>
      </c>
      <c r="AE181" s="66" t="str">
        <f>IF(AND(OR(LEFT(TH!N181,2)="15",LEFT(TH!O181,2)="15"),'152-CT'!$J$8=TH!F181),"x","")</f>
        <v/>
      </c>
      <c r="AF181" s="66" t="str">
        <f>IF(AND(OR(LEFT(TH!N181,2)="15",LEFT(TH!O181,2)="15"),'THE KHO'!$E$7=TH!F181),"x","")</f>
        <v/>
      </c>
      <c r="AG181" s="66" t="str">
        <f>IF(AND(N181="1521",MONTH(C181)='BK NL'!$M$11),"x","")</f>
        <v/>
      </c>
    </row>
    <row r="182" spans="1:33" s="1049" customFormat="1" ht="15.75" customHeight="1">
      <c r="A182" s="398" t="str">
        <f>IF(B182&lt;&gt;"",IF(AND(B182&gt;=_TM1,B182&lt;=_TM2,OR(TH!N182="1111",TH!O182="1111")),TH!D182,""),"")</f>
        <v/>
      </c>
      <c r="B182" s="63">
        <f t="shared" si="8"/>
        <v>3</v>
      </c>
      <c r="C182" s="64">
        <v>42445</v>
      </c>
      <c r="D182" s="64" t="s">
        <v>8</v>
      </c>
      <c r="E182" s="64">
        <f t="shared" si="9"/>
        <v>42445</v>
      </c>
      <c r="F182" s="67" t="s">
        <v>803</v>
      </c>
      <c r="G182" s="361" t="s">
        <v>810</v>
      </c>
      <c r="H182" s="67"/>
      <c r="I182" s="515"/>
      <c r="J182" s="515"/>
      <c r="K182" s="507"/>
      <c r="L182" s="515"/>
      <c r="M182" s="65">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6"/>
        <v>1</v>
      </c>
      <c r="AD182" s="66" t="str">
        <f>IF(AND(MONTH(E182)&lt;='IN-NX'!$P$3,'IN-NX'!$D$7=D182,OR(LEFT(TH!N182,2)="15",LEFT(TH!O182,2)="15")),"x","")</f>
        <v/>
      </c>
      <c r="AE182" s="66" t="str">
        <f>IF(AND(OR(LEFT(TH!N182,2)="15",LEFT(TH!O182,2)="15"),'152-CT'!$J$8=TH!F182),"x","")</f>
        <v/>
      </c>
      <c r="AF182" s="66" t="str">
        <f>IF(AND(OR(LEFT(TH!N182,2)="15",LEFT(TH!O182,2)="15"),'THE KHO'!$E$7=TH!F182),"x","")</f>
        <v/>
      </c>
      <c r="AG182" s="66" t="str">
        <f>IF(AND(N182="1521",MONTH(C182)='BK NL'!$M$11),"x","")</f>
        <v/>
      </c>
    </row>
    <row r="183" spans="1:33" s="411" customFormat="1" ht="15.75" customHeight="1">
      <c r="A183" s="398" t="str">
        <f>IF(B183&lt;&gt;"",IF(AND(B183&gt;=_TM1,B183&lt;=_TM2,OR(TH!N183="1111",TH!O183="1111")),TH!D183,""),"")</f>
        <v/>
      </c>
      <c r="B183" s="63">
        <f t="shared" si="8"/>
        <v>3</v>
      </c>
      <c r="C183" s="64">
        <v>42445</v>
      </c>
      <c r="D183" s="64" t="s">
        <v>8</v>
      </c>
      <c r="E183" s="64">
        <f t="shared" si="9"/>
        <v>42445</v>
      </c>
      <c r="F183" s="67" t="s">
        <v>805</v>
      </c>
      <c r="G183" s="361" t="s">
        <v>810</v>
      </c>
      <c r="H183" s="74" t="s">
        <v>222</v>
      </c>
      <c r="I183" s="515"/>
      <c r="J183" s="515"/>
      <c r="K183" s="507"/>
      <c r="L183" s="515"/>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6"/>
        <v>1</v>
      </c>
      <c r="AD183" s="66" t="str">
        <f>IF(AND(MONTH(E183)&lt;='IN-NX'!$P$3,'IN-NX'!$D$7=D183,OR(LEFT(TH!N183,2)="15",LEFT(TH!O183,2)="15")),"x","")</f>
        <v/>
      </c>
      <c r="AE183" s="66" t="str">
        <f>IF(AND(OR(LEFT(TH!N183,2)="15",LEFT(TH!O183,2)="15"),'152-CT'!$J$8=TH!F183),"x","")</f>
        <v/>
      </c>
      <c r="AF183" s="66" t="str">
        <f>IF(AND(OR(LEFT(TH!N183,2)="15",LEFT(TH!O183,2)="15"),'THE KHO'!$E$7=TH!F183),"x","")</f>
        <v/>
      </c>
      <c r="AG183" s="66" t="str">
        <f>IF(AND(N183="1521",MONTH(C183)='BK NL'!$M$11),"x","")</f>
        <v/>
      </c>
    </row>
    <row r="184" spans="1:33" s="411" customFormat="1" ht="15.75" customHeight="1">
      <c r="A184" s="398" t="str">
        <f>IF(B184&lt;&gt;"",IF(AND(B184&gt;=_TM1,B184&lt;=_TM2,OR(TH!N184="1111",TH!O184="1111")),TH!D184,""),"")</f>
        <v/>
      </c>
      <c r="B184" s="63">
        <f t="shared" si="8"/>
        <v>3</v>
      </c>
      <c r="C184" s="64">
        <v>42445</v>
      </c>
      <c r="D184" s="64" t="s">
        <v>8</v>
      </c>
      <c r="E184" s="64">
        <f t="shared" si="9"/>
        <v>42445</v>
      </c>
      <c r="F184" s="67" t="s">
        <v>22</v>
      </c>
      <c r="G184" s="361" t="s">
        <v>810</v>
      </c>
      <c r="H184" s="74"/>
      <c r="I184" s="515"/>
      <c r="J184" s="515"/>
      <c r="K184" s="507"/>
      <c r="L184" s="515"/>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6"/>
        <v>1</v>
      </c>
      <c r="AD184" s="66" t="str">
        <f>IF(AND(MONTH(E184)&lt;='IN-NX'!$P$3,'IN-NX'!$D$7=D184,OR(LEFT(TH!N184,2)="15",LEFT(TH!O184,2)="15")),"x","")</f>
        <v/>
      </c>
      <c r="AE184" s="66" t="str">
        <f>IF(AND(OR(LEFT(TH!N184,2)="15",LEFT(TH!O184,2)="15"),'152-CT'!$J$8=TH!F184),"x","")</f>
        <v/>
      </c>
      <c r="AF184" s="66" t="str">
        <f>IF(AND(OR(LEFT(TH!N184,2)="15",LEFT(TH!O184,2)="15"),'THE KHO'!$E$7=TH!F184),"x","")</f>
        <v/>
      </c>
      <c r="AG184" s="66" t="str">
        <f>IF(AND(N184="1521",MONTH(C184)='BK NL'!$M$11),"x","")</f>
        <v/>
      </c>
    </row>
    <row r="185" spans="1:33" s="411" customFormat="1" ht="15.75" customHeight="1">
      <c r="A185" s="398" t="str">
        <f>IF(B185&lt;&gt;"",IF(AND(B185&gt;=_TM1,B185&lt;=_TM2,OR(TH!N185="1111",TH!O185="1111")),TH!D185,""),"")</f>
        <v/>
      </c>
      <c r="B185" s="63">
        <f t="shared" si="8"/>
        <v>3</v>
      </c>
      <c r="C185" s="64">
        <v>42445</v>
      </c>
      <c r="D185" s="64" t="s">
        <v>8</v>
      </c>
      <c r="E185" s="64">
        <f t="shared" si="9"/>
        <v>42445</v>
      </c>
      <c r="F185" s="67" t="s">
        <v>23</v>
      </c>
      <c r="G185" s="361" t="s">
        <v>810</v>
      </c>
      <c r="H185" s="74"/>
      <c r="I185" s="515"/>
      <c r="J185" s="515"/>
      <c r="K185" s="507"/>
      <c r="L185" s="515"/>
      <c r="M185" s="65">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6"/>
        <v>1</v>
      </c>
      <c r="AD185" s="66" t="str">
        <f>IF(AND(MONTH(E185)&lt;='IN-NX'!$P$3,'IN-NX'!$D$7=D185,OR(LEFT(TH!N185,2)="15",LEFT(TH!O185,2)="15")),"x","")</f>
        <v/>
      </c>
      <c r="AE185" s="66" t="str">
        <f>IF(AND(OR(LEFT(TH!N185,2)="15",LEFT(TH!O185,2)="15"),'152-CT'!$J$8=TH!F185),"x","")</f>
        <v/>
      </c>
      <c r="AF185" s="66" t="str">
        <f>IF(AND(OR(LEFT(TH!N185,2)="15",LEFT(TH!O185,2)="15"),'THE KHO'!$E$7=TH!F185),"x","")</f>
        <v/>
      </c>
      <c r="AG185" s="66" t="str">
        <f>IF(AND(N185="1521",MONTH(C185)='BK NL'!$M$11),"x","")</f>
        <v/>
      </c>
    </row>
    <row r="186" spans="1:33" s="411" customFormat="1" ht="15.75" customHeight="1">
      <c r="A186" s="398" t="str">
        <f>IF(B186&lt;&gt;"",IF(AND(B186&gt;=_TM1,B186&lt;=_TM2,OR(TH!N186="1111",TH!O186="1111")),TH!D186,""),"")</f>
        <v/>
      </c>
      <c r="B186" s="63">
        <f t="shared" si="8"/>
        <v>3</v>
      </c>
      <c r="C186" s="64">
        <v>42445</v>
      </c>
      <c r="D186" s="64" t="s">
        <v>8</v>
      </c>
      <c r="E186" s="64">
        <f t="shared" si="9"/>
        <v>42445</v>
      </c>
      <c r="F186" s="67" t="s">
        <v>802</v>
      </c>
      <c r="G186" s="361" t="s">
        <v>810</v>
      </c>
      <c r="H186" s="67"/>
      <c r="I186" s="516"/>
      <c r="J186" s="516"/>
      <c r="K186" s="508"/>
      <c r="L186" s="516"/>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6"/>
        <v>1</v>
      </c>
      <c r="AD186" s="66" t="str">
        <f>IF(AND(MONTH(E186)&lt;='IN-NX'!$P$3,'IN-NX'!$D$7=D186,OR(LEFT(TH!N186,2)="15",LEFT(TH!O186,2)="15")),"x","")</f>
        <v/>
      </c>
      <c r="AE186" s="66" t="str">
        <f>IF(AND(OR(LEFT(TH!N186,2)="15",LEFT(TH!O186,2)="15"),'152-CT'!$J$8=TH!F186),"x","")</f>
        <v/>
      </c>
      <c r="AF186" s="66" t="str">
        <f>IF(AND(OR(LEFT(TH!N186,2)="15",LEFT(TH!O186,2)="15"),'THE KHO'!$E$7=TH!F186),"x","")</f>
        <v/>
      </c>
      <c r="AG186" s="66" t="str">
        <f>IF(AND(N186="1521",MONTH(C186)='BK NL'!$M$11),"x","")</f>
        <v/>
      </c>
    </row>
    <row r="187" spans="1:33" s="411" customFormat="1" ht="15.75" customHeight="1">
      <c r="A187" s="398" t="str">
        <f>IF(B187&lt;&gt;"",IF(AND(B187&gt;=_TM1,B187&lt;=_TM2,OR(TH!N187="1111",TH!O187="1111")),TH!D187,""),"")</f>
        <v/>
      </c>
      <c r="B187" s="63">
        <f t="shared" si="8"/>
        <v>3</v>
      </c>
      <c r="C187" s="64">
        <v>42445</v>
      </c>
      <c r="D187" s="64" t="s">
        <v>8</v>
      </c>
      <c r="E187" s="64">
        <f t="shared" si="9"/>
        <v>42445</v>
      </c>
      <c r="F187" s="67" t="s">
        <v>803</v>
      </c>
      <c r="G187" s="361" t="s">
        <v>810</v>
      </c>
      <c r="H187" s="67"/>
      <c r="I187" s="515"/>
      <c r="J187" s="515"/>
      <c r="K187" s="507"/>
      <c r="L187" s="515"/>
      <c r="M187" s="65">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6"/>
        <v>1</v>
      </c>
      <c r="AD187" s="66" t="str">
        <f>IF(AND(MONTH(E187)&lt;='IN-NX'!$P$3,'IN-NX'!$D$7=D187,OR(LEFT(TH!N187,2)="15",LEFT(TH!O187,2)="15")),"x","")</f>
        <v/>
      </c>
      <c r="AE187" s="66" t="str">
        <f>IF(AND(OR(LEFT(TH!N187,2)="15",LEFT(TH!O187,2)="15"),'152-CT'!$J$8=TH!F187),"x","")</f>
        <v/>
      </c>
      <c r="AF187" s="66" t="str">
        <f>IF(AND(OR(LEFT(TH!N187,2)="15",LEFT(TH!O187,2)="15"),'THE KHO'!$E$7=TH!F187),"x","")</f>
        <v/>
      </c>
      <c r="AG187" s="66" t="str">
        <f>IF(AND(N187="1521",MONTH(C187)='BK NL'!$M$11),"x","")</f>
        <v/>
      </c>
    </row>
    <row r="188" spans="1:33" s="411" customFormat="1" ht="15.75" customHeight="1">
      <c r="A188" s="398" t="str">
        <f>IF(B188&lt;&gt;"",IF(AND(B188&gt;=_TM1,B188&lt;=_TM2,OR(TH!N188="1111",TH!O188="1111")),TH!D188,""),"")</f>
        <v/>
      </c>
      <c r="B188" s="63">
        <f t="shared" si="8"/>
        <v>3</v>
      </c>
      <c r="C188" s="64">
        <v>42445</v>
      </c>
      <c r="D188" s="64" t="s">
        <v>8</v>
      </c>
      <c r="E188" s="64">
        <f t="shared" si="9"/>
        <v>42445</v>
      </c>
      <c r="F188" s="67" t="s">
        <v>806</v>
      </c>
      <c r="G188" s="361" t="s">
        <v>810</v>
      </c>
      <c r="H188" s="74" t="s">
        <v>163</v>
      </c>
      <c r="I188" s="515"/>
      <c r="J188" s="515"/>
      <c r="K188" s="507"/>
      <c r="L188" s="515"/>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6"/>
        <v>1</v>
      </c>
      <c r="AD188" s="66" t="str">
        <f>IF(AND(MONTH(E188)&lt;='IN-NX'!$P$3,'IN-NX'!$D$7=D188,OR(LEFT(TH!N188,2)="15",LEFT(TH!O188,2)="15")),"x","")</f>
        <v/>
      </c>
      <c r="AE188" s="66" t="str">
        <f>IF(AND(OR(LEFT(TH!N188,2)="15",LEFT(TH!O188,2)="15"),'152-CT'!$J$8=TH!F188),"x","")</f>
        <v/>
      </c>
      <c r="AF188" s="66" t="str">
        <f>IF(AND(OR(LEFT(TH!N188,2)="15",LEFT(TH!O188,2)="15"),'THE KHO'!$E$7=TH!F188),"x","")</f>
        <v/>
      </c>
      <c r="AG188" s="66" t="str">
        <f>IF(AND(N188="1521",MONTH(C188)='BK NL'!$M$11),"x","")</f>
        <v/>
      </c>
    </row>
    <row r="189" spans="1:33" s="411" customFormat="1" ht="15.75" customHeight="1">
      <c r="A189" s="398" t="str">
        <f>IF(B189&lt;&gt;"",IF(AND(B189&gt;=_TM1,B189&lt;=_TM2,OR(TH!N189="1111",TH!O189="1111")),TH!D189,""),"")</f>
        <v/>
      </c>
      <c r="B189" s="63">
        <f t="shared" si="8"/>
        <v>3</v>
      </c>
      <c r="C189" s="64">
        <v>42445</v>
      </c>
      <c r="D189" s="64" t="s">
        <v>8</v>
      </c>
      <c r="E189" s="64">
        <f t="shared" si="9"/>
        <v>42445</v>
      </c>
      <c r="F189" s="67" t="s">
        <v>22</v>
      </c>
      <c r="G189" s="361" t="s">
        <v>810</v>
      </c>
      <c r="H189" s="74"/>
      <c r="I189" s="515"/>
      <c r="J189" s="515"/>
      <c r="K189" s="507"/>
      <c r="L189" s="515"/>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6"/>
        <v>1</v>
      </c>
      <c r="AD189" s="66" t="str">
        <f>IF(AND(MONTH(E189)&lt;='IN-NX'!$P$3,'IN-NX'!$D$7=D189,OR(LEFT(TH!N189,2)="15",LEFT(TH!O189,2)="15")),"x","")</f>
        <v/>
      </c>
      <c r="AE189" s="66" t="str">
        <f>IF(AND(OR(LEFT(TH!N189,2)="15",LEFT(TH!O189,2)="15"),'152-CT'!$J$8=TH!F189),"x","")</f>
        <v/>
      </c>
      <c r="AF189" s="66" t="str">
        <f>IF(AND(OR(LEFT(TH!N189,2)="15",LEFT(TH!O189,2)="15"),'THE KHO'!$E$7=TH!F189),"x","")</f>
        <v/>
      </c>
      <c r="AG189" s="66" t="str">
        <f>IF(AND(N189="1521",MONTH(C189)='BK NL'!$M$11),"x","")</f>
        <v/>
      </c>
    </row>
    <row r="190" spans="1:33" s="411" customFormat="1" ht="15.75" customHeight="1">
      <c r="A190" s="398" t="str">
        <f>IF(B190&lt;&gt;"",IF(AND(B190&gt;=_TM1,B190&lt;=_TM2,OR(TH!N190="1111",TH!O190="1111")),TH!D190,""),"")</f>
        <v/>
      </c>
      <c r="B190" s="63">
        <f t="shared" si="8"/>
        <v>3</v>
      </c>
      <c r="C190" s="64">
        <v>42445</v>
      </c>
      <c r="D190" s="64" t="s">
        <v>8</v>
      </c>
      <c r="E190" s="64">
        <f t="shared" si="9"/>
        <v>42445</v>
      </c>
      <c r="F190" s="67" t="s">
        <v>23</v>
      </c>
      <c r="G190" s="361" t="s">
        <v>810</v>
      </c>
      <c r="H190" s="74"/>
      <c r="I190" s="515"/>
      <c r="J190" s="515"/>
      <c r="K190" s="507"/>
      <c r="L190" s="515"/>
      <c r="M190" s="65">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6"/>
        <v>1</v>
      </c>
      <c r="AD190" s="66" t="str">
        <f>IF(AND(MONTH(E190)&lt;='IN-NX'!$P$3,'IN-NX'!$D$7=D190,OR(LEFT(TH!N190,2)="15",LEFT(TH!O190,2)="15")),"x","")</f>
        <v/>
      </c>
      <c r="AE190" s="66" t="str">
        <f>IF(AND(OR(LEFT(TH!N190,2)="15",LEFT(TH!O190,2)="15"),'152-CT'!$J$8=TH!F190),"x","")</f>
        <v/>
      </c>
      <c r="AF190" s="66" t="str">
        <f>IF(AND(OR(LEFT(TH!N190,2)="15",LEFT(TH!O190,2)="15"),'THE KHO'!$E$7=TH!F190),"x","")</f>
        <v/>
      </c>
      <c r="AG190" s="66" t="str">
        <f>IF(AND(N190="1521",MONTH(C190)='BK NL'!$M$11),"x","")</f>
        <v/>
      </c>
    </row>
    <row r="191" spans="1:33" s="411" customFormat="1" ht="15.75" customHeight="1">
      <c r="A191" s="398" t="str">
        <f>IF(B191&lt;&gt;"",IF(AND(B191&gt;=_TM1,B191&lt;=_TM2,OR(TH!N191="1111",TH!O191="1111")),TH!D191,""),"")</f>
        <v/>
      </c>
      <c r="B191" s="63">
        <f t="shared" si="8"/>
        <v>3</v>
      </c>
      <c r="C191" s="64">
        <v>42445</v>
      </c>
      <c r="D191" s="64" t="s">
        <v>8</v>
      </c>
      <c r="E191" s="64">
        <f t="shared" si="9"/>
        <v>42445</v>
      </c>
      <c r="F191" s="67" t="s">
        <v>802</v>
      </c>
      <c r="G191" s="361" t="s">
        <v>810</v>
      </c>
      <c r="H191" s="67"/>
      <c r="I191" s="516"/>
      <c r="J191" s="516"/>
      <c r="K191" s="508"/>
      <c r="L191" s="516"/>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6"/>
        <v>1</v>
      </c>
      <c r="AD191" s="66" t="str">
        <f>IF(AND(MONTH(E191)&lt;='IN-NX'!$P$3,'IN-NX'!$D$7=D191,OR(LEFT(TH!N191,2)="15",LEFT(TH!O191,2)="15")),"x","")</f>
        <v/>
      </c>
      <c r="AE191" s="66" t="str">
        <f>IF(AND(OR(LEFT(TH!N191,2)="15",LEFT(TH!O191,2)="15"),'152-CT'!$J$8=TH!F191),"x","")</f>
        <v/>
      </c>
      <c r="AF191" s="66" t="str">
        <f>IF(AND(OR(LEFT(TH!N191,2)="15",LEFT(TH!O191,2)="15"),'THE KHO'!$E$7=TH!F191),"x","")</f>
        <v/>
      </c>
      <c r="AG191" s="66" t="str">
        <f>IF(AND(N191="1521",MONTH(C191)='BK NL'!$M$11),"x","")</f>
        <v/>
      </c>
    </row>
    <row r="192" spans="1:33" s="411" customFormat="1" ht="15.75" customHeight="1">
      <c r="A192" s="398" t="str">
        <f>IF(B192&lt;&gt;"",IF(AND(B192&gt;=_TM1,B192&lt;=_TM2,OR(TH!N192="1111",TH!O192="1111")),TH!D192,""),"")</f>
        <v/>
      </c>
      <c r="B192" s="63">
        <f t="shared" si="8"/>
        <v>3</v>
      </c>
      <c r="C192" s="64">
        <v>42445</v>
      </c>
      <c r="D192" s="64" t="s">
        <v>8</v>
      </c>
      <c r="E192" s="64">
        <f t="shared" si="9"/>
        <v>42445</v>
      </c>
      <c r="F192" s="67" t="s">
        <v>803</v>
      </c>
      <c r="G192" s="361" t="s">
        <v>810</v>
      </c>
      <c r="H192" s="67"/>
      <c r="I192" s="515"/>
      <c r="J192" s="515"/>
      <c r="K192" s="507"/>
      <c r="L192" s="515"/>
      <c r="M192" s="65">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6"/>
        <v>1</v>
      </c>
      <c r="AD192" s="66" t="str">
        <f>IF(AND(MONTH(E192)&lt;='IN-NX'!$P$3,'IN-NX'!$D$7=D192,OR(LEFT(TH!N192,2)="15",LEFT(TH!O192,2)="15")),"x","")</f>
        <v/>
      </c>
      <c r="AE192" s="66" t="str">
        <f>IF(AND(OR(LEFT(TH!N192,2)="15",LEFT(TH!O192,2)="15"),'152-CT'!$J$8=TH!F192),"x","")</f>
        <v/>
      </c>
      <c r="AF192" s="66" t="str">
        <f>IF(AND(OR(LEFT(TH!N192,2)="15",LEFT(TH!O192,2)="15"),'THE KHO'!$E$7=TH!F192),"x","")</f>
        <v/>
      </c>
      <c r="AG192" s="66" t="str">
        <f>IF(AND(N192="1521",MONTH(C192)='BK NL'!$M$11),"x","")</f>
        <v/>
      </c>
    </row>
    <row r="193" spans="1:33" s="411" customFormat="1" ht="15.75" customHeight="1">
      <c r="A193" s="398" t="str">
        <f>IF(B193&lt;&gt;"",IF(AND(B193&gt;=_TM1,B193&lt;=_TM2,OR(TH!N193="1111",TH!O193="1111")),TH!D193,""),"")</f>
        <v/>
      </c>
      <c r="B193" s="63">
        <f t="shared" si="5"/>
        <v>3</v>
      </c>
      <c r="C193" s="64">
        <v>42448</v>
      </c>
      <c r="D193" s="64" t="s">
        <v>8</v>
      </c>
      <c r="E193" s="64">
        <f t="shared" si="9"/>
        <v>42448</v>
      </c>
      <c r="F193" s="67" t="s">
        <v>414</v>
      </c>
      <c r="G193" s="361" t="s">
        <v>810</v>
      </c>
      <c r="H193" s="74" t="s">
        <v>167</v>
      </c>
      <c r="I193" s="515"/>
      <c r="J193" s="515"/>
      <c r="K193" s="507"/>
      <c r="L193" s="515"/>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6"/>
        <v>1</v>
      </c>
      <c r="AD193" s="66" t="str">
        <f>IF(AND(MONTH(E193)&lt;='IN-NX'!$P$3,'IN-NX'!$D$7=D193,OR(LEFT(TH!N193,2)="15",LEFT(TH!O193,2)="15")),"x","")</f>
        <v/>
      </c>
      <c r="AE193" s="66" t="str">
        <f>IF(AND(OR(LEFT(TH!N193,2)="15",LEFT(TH!O193,2)="15"),'152-CT'!$J$8=TH!F193),"x","")</f>
        <v/>
      </c>
      <c r="AF193" s="66" t="str">
        <f>IF(AND(OR(LEFT(TH!N193,2)="15",LEFT(TH!O193,2)="15"),'THE KHO'!$E$7=TH!F193),"x","")</f>
        <v/>
      </c>
      <c r="AG193" s="66" t="str">
        <f>IF(AND(N193="1521",MONTH(C193)='BK NL'!$M$11),"x","")</f>
        <v/>
      </c>
    </row>
    <row r="194" spans="1:33" s="411" customFormat="1" ht="15.75" customHeight="1">
      <c r="A194" s="398" t="str">
        <f>IF(B194&lt;&gt;"",IF(AND(B194&gt;=_TM1,B194&lt;=_TM2,OR(TH!N194="1111",TH!O194="1111")),TH!D194,""),"")</f>
        <v/>
      </c>
      <c r="B194" s="63">
        <f t="shared" si="5"/>
        <v>3</v>
      </c>
      <c r="C194" s="64">
        <v>42448</v>
      </c>
      <c r="D194" s="64" t="s">
        <v>8</v>
      </c>
      <c r="E194" s="64">
        <f t="shared" ref="E194:E209" si="10">C194</f>
        <v>42448</v>
      </c>
      <c r="F194" s="67" t="s">
        <v>414</v>
      </c>
      <c r="G194" s="361" t="s">
        <v>810</v>
      </c>
      <c r="H194" s="74" t="s">
        <v>168</v>
      </c>
      <c r="I194" s="515"/>
      <c r="J194" s="515"/>
      <c r="K194" s="507"/>
      <c r="L194" s="515"/>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6"/>
        <v>1</v>
      </c>
      <c r="AD194" s="66" t="str">
        <f>IF(AND(MONTH(E194)&lt;='IN-NX'!$P$3,'IN-NX'!$D$7=D194,OR(LEFT(TH!N194,2)="15",LEFT(TH!O194,2)="15")),"x","")</f>
        <v/>
      </c>
      <c r="AE194" s="66" t="str">
        <f>IF(AND(OR(LEFT(TH!N194,2)="15",LEFT(TH!O194,2)="15"),'152-CT'!$J$8=TH!F194),"x","")</f>
        <v/>
      </c>
      <c r="AF194" s="66" t="str">
        <f>IF(AND(OR(LEFT(TH!N194,2)="15",LEFT(TH!O194,2)="15"),'THE KHO'!$E$7=TH!F194),"x","")</f>
        <v/>
      </c>
      <c r="AG194" s="66" t="str">
        <f>IF(AND(N194="1521",MONTH(C194)='BK NL'!$M$11),"x","")</f>
        <v/>
      </c>
    </row>
    <row r="195" spans="1:33" s="411" customFormat="1" ht="15.75" customHeight="1">
      <c r="A195" s="398" t="str">
        <f>IF(B195&lt;&gt;"",IF(AND(B195&gt;=_TM1,B195&lt;=_TM2,OR(TH!N195="1111",TH!O195="1111")),TH!D195,""),"")</f>
        <v/>
      </c>
      <c r="B195" s="63">
        <f t="shared" si="5"/>
        <v>3</v>
      </c>
      <c r="C195" s="64">
        <v>42448</v>
      </c>
      <c r="D195" s="64" t="s">
        <v>8</v>
      </c>
      <c r="E195" s="64">
        <f t="shared" si="10"/>
        <v>42448</v>
      </c>
      <c r="F195" s="67" t="s">
        <v>414</v>
      </c>
      <c r="G195" s="361" t="s">
        <v>810</v>
      </c>
      <c r="H195" s="75" t="s">
        <v>170</v>
      </c>
      <c r="I195" s="516"/>
      <c r="J195" s="516"/>
      <c r="K195" s="508"/>
      <c r="L195" s="516"/>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6"/>
        <v>1</v>
      </c>
      <c r="AD195" s="66" t="str">
        <f>IF(AND(MONTH(E195)&lt;='IN-NX'!$P$3,'IN-NX'!$D$7=D195,OR(LEFT(TH!N195,2)="15",LEFT(TH!O195,2)="15")),"x","")</f>
        <v/>
      </c>
      <c r="AE195" s="66" t="str">
        <f>IF(AND(OR(LEFT(TH!N195,2)="15",LEFT(TH!O195,2)="15"),'152-CT'!$J$8=TH!F195),"x","")</f>
        <v/>
      </c>
      <c r="AF195" s="66" t="str">
        <f>IF(AND(OR(LEFT(TH!N195,2)="15",LEFT(TH!O195,2)="15"),'THE KHO'!$E$7=TH!F195),"x","")</f>
        <v/>
      </c>
      <c r="AG195" s="66" t="str">
        <f>IF(AND(N195="1521",MONTH(C195)='BK NL'!$M$11),"x","")</f>
        <v/>
      </c>
    </row>
    <row r="196" spans="1:33" s="411" customFormat="1" ht="15.75" customHeight="1">
      <c r="A196" s="398" t="str">
        <f>IF(B196&lt;&gt;"",IF(AND(B196&gt;=_TM1,B196&lt;=_TM2,OR(TH!N196="1111",TH!O196="1111")),TH!D196,""),"")</f>
        <v/>
      </c>
      <c r="B196" s="63">
        <f t="shared" si="5"/>
        <v>3</v>
      </c>
      <c r="C196" s="64">
        <v>42448</v>
      </c>
      <c r="D196" s="64" t="s">
        <v>8</v>
      </c>
      <c r="E196" s="64">
        <f t="shared" si="10"/>
        <v>42448</v>
      </c>
      <c r="F196" s="67" t="s">
        <v>414</v>
      </c>
      <c r="G196" s="361" t="s">
        <v>810</v>
      </c>
      <c r="H196" s="74" t="s">
        <v>169</v>
      </c>
      <c r="I196" s="516"/>
      <c r="J196" s="516"/>
      <c r="K196" s="508"/>
      <c r="L196" s="516"/>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6"/>
        <v>1</v>
      </c>
      <c r="AD196" s="66" t="str">
        <f>IF(AND(MONTH(E196)&lt;='IN-NX'!$P$3,'IN-NX'!$D$7=D196,OR(LEFT(TH!N196,2)="15",LEFT(TH!O196,2)="15")),"x","")</f>
        <v/>
      </c>
      <c r="AE196" s="66" t="str">
        <f>IF(AND(OR(LEFT(TH!N196,2)="15",LEFT(TH!O196,2)="15"),'152-CT'!$J$8=TH!F196),"x","")</f>
        <v/>
      </c>
      <c r="AF196" s="66" t="str">
        <f>IF(AND(OR(LEFT(TH!N196,2)="15",LEFT(TH!O196,2)="15"),'THE KHO'!$E$7=TH!F196),"x","")</f>
        <v/>
      </c>
      <c r="AG196" s="66" t="str">
        <f>IF(AND(N196="1521",MONTH(C196)='BK NL'!$M$11),"x","")</f>
        <v/>
      </c>
    </row>
    <row r="197" spans="1:33" s="411" customFormat="1" ht="15.75" customHeight="1">
      <c r="A197" s="398" t="str">
        <f>IF(B197&lt;&gt;"",IF(AND(B197&gt;=_TM1,B197&lt;=_TM2,OR(TH!N197="1111",TH!O197="1111")),TH!D197,""),"")</f>
        <v/>
      </c>
      <c r="B197" s="63">
        <f t="shared" si="5"/>
        <v>3</v>
      </c>
      <c r="C197" s="64">
        <v>42448</v>
      </c>
      <c r="D197" s="64" t="s">
        <v>8</v>
      </c>
      <c r="E197" s="64">
        <f t="shared" si="10"/>
        <v>42448</v>
      </c>
      <c r="F197" s="67" t="s">
        <v>414</v>
      </c>
      <c r="G197" s="361" t="s">
        <v>810</v>
      </c>
      <c r="H197" s="74" t="s">
        <v>171</v>
      </c>
      <c r="I197" s="516"/>
      <c r="J197" s="516"/>
      <c r="K197" s="508"/>
      <c r="L197" s="516"/>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6"/>
        <v>1</v>
      </c>
      <c r="AD197" s="66" t="str">
        <f>IF(AND(MONTH(E197)&lt;='IN-NX'!$P$3,'IN-NX'!$D$7=D197,OR(LEFT(TH!N197,2)="15",LEFT(TH!O197,2)="15")),"x","")</f>
        <v/>
      </c>
      <c r="AE197" s="66" t="str">
        <f>IF(AND(OR(LEFT(TH!N197,2)="15",LEFT(TH!O197,2)="15"),'152-CT'!$J$8=TH!F197),"x","")</f>
        <v/>
      </c>
      <c r="AF197" s="66" t="str">
        <f>IF(AND(OR(LEFT(TH!N197,2)="15",LEFT(TH!O197,2)="15"),'THE KHO'!$E$7=TH!F197),"x","")</f>
        <v/>
      </c>
      <c r="AG197" s="66" t="str">
        <f>IF(AND(N197="1521",MONTH(C197)='BK NL'!$M$11),"x","")</f>
        <v/>
      </c>
    </row>
    <row r="198" spans="1:33" s="411" customFormat="1" ht="15.75" customHeight="1">
      <c r="A198" s="398" t="str">
        <f>IF(B198&lt;&gt;"",IF(AND(B198&gt;=_TM1,B198&lt;=_TM2,OR(TH!N198="1111",TH!O198="1111")),TH!D198,""),"")</f>
        <v/>
      </c>
      <c r="B198" s="63">
        <f t="shared" si="5"/>
        <v>3</v>
      </c>
      <c r="C198" s="64">
        <v>42448</v>
      </c>
      <c r="D198" s="64" t="s">
        <v>8</v>
      </c>
      <c r="E198" s="64">
        <f t="shared" si="10"/>
        <v>42448</v>
      </c>
      <c r="F198" s="67" t="s">
        <v>414</v>
      </c>
      <c r="G198" s="361" t="s">
        <v>810</v>
      </c>
      <c r="H198" s="74" t="s">
        <v>172</v>
      </c>
      <c r="I198" s="516"/>
      <c r="J198" s="516"/>
      <c r="K198" s="508"/>
      <c r="L198" s="516"/>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6"/>
        <v>1</v>
      </c>
      <c r="AD198" s="66" t="str">
        <f>IF(AND(MONTH(E198)&lt;='IN-NX'!$P$3,'IN-NX'!$D$7=D198,OR(LEFT(TH!N198,2)="15",LEFT(TH!O198,2)="15")),"x","")</f>
        <v/>
      </c>
      <c r="AE198" s="66" t="str">
        <f>IF(AND(OR(LEFT(TH!N198,2)="15",LEFT(TH!O198,2)="15"),'152-CT'!$J$8=TH!F198),"x","")</f>
        <v/>
      </c>
      <c r="AF198" s="66" t="str">
        <f>IF(AND(OR(LEFT(TH!N198,2)="15",LEFT(TH!O198,2)="15"),'THE KHO'!$E$7=TH!F198),"x","")</f>
        <v/>
      </c>
      <c r="AG198" s="66" t="str">
        <f>IF(AND(N198="1521",MONTH(C198)='BK NL'!$M$11),"x","")</f>
        <v/>
      </c>
    </row>
    <row r="199" spans="1:33" s="411" customFormat="1" ht="15.75" customHeight="1">
      <c r="A199" s="398" t="str">
        <f>IF(B199&lt;&gt;"",IF(AND(B199&gt;=_TM1,B199&lt;=_TM2,OR(TH!N199="1111",TH!O199="1111")),TH!D199,""),"")</f>
        <v/>
      </c>
      <c r="B199" s="63">
        <f t="shared" si="5"/>
        <v>3</v>
      </c>
      <c r="C199" s="64">
        <v>42448</v>
      </c>
      <c r="D199" s="64" t="s">
        <v>8</v>
      </c>
      <c r="E199" s="64">
        <f t="shared" si="10"/>
        <v>42448</v>
      </c>
      <c r="F199" s="67" t="s">
        <v>414</v>
      </c>
      <c r="G199" s="361" t="s">
        <v>810</v>
      </c>
      <c r="H199" s="74" t="s">
        <v>173</v>
      </c>
      <c r="I199" s="516"/>
      <c r="J199" s="516"/>
      <c r="K199" s="508"/>
      <c r="L199" s="516"/>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6"/>
        <v>1</v>
      </c>
      <c r="AD199" s="66" t="str">
        <f>IF(AND(MONTH(E199)&lt;='IN-NX'!$P$3,'IN-NX'!$D$7=D199,OR(LEFT(TH!N199,2)="15",LEFT(TH!O199,2)="15")),"x","")</f>
        <v/>
      </c>
      <c r="AE199" s="66" t="str">
        <f>IF(AND(OR(LEFT(TH!N199,2)="15",LEFT(TH!O199,2)="15"),'152-CT'!$J$8=TH!F199),"x","")</f>
        <v/>
      </c>
      <c r="AF199" s="66" t="str">
        <f>IF(AND(OR(LEFT(TH!N199,2)="15",LEFT(TH!O199,2)="15"),'THE KHO'!$E$7=TH!F199),"x","")</f>
        <v/>
      </c>
      <c r="AG199" s="66" t="str">
        <f>IF(AND(N199="1521",MONTH(C199)='BK NL'!$M$11),"x","")</f>
        <v/>
      </c>
    </row>
    <row r="200" spans="1:33" s="411" customFormat="1" ht="15.75" customHeight="1">
      <c r="A200" s="398" t="str">
        <f>IF(B200&lt;&gt;"",IF(AND(B200&gt;=_TM1,B200&lt;=_TM2,OR(TH!N200="1111",TH!O200="1111")),TH!D200,""),"")</f>
        <v/>
      </c>
      <c r="B200" s="63">
        <f t="shared" si="5"/>
        <v>3</v>
      </c>
      <c r="C200" s="64">
        <v>42448</v>
      </c>
      <c r="D200" s="64" t="s">
        <v>8</v>
      </c>
      <c r="E200" s="64">
        <f t="shared" si="10"/>
        <v>42448</v>
      </c>
      <c r="F200" s="67" t="s">
        <v>414</v>
      </c>
      <c r="G200" s="361" t="s">
        <v>810</v>
      </c>
      <c r="H200" s="74" t="s">
        <v>174</v>
      </c>
      <c r="I200" s="516"/>
      <c r="J200" s="516"/>
      <c r="K200" s="508"/>
      <c r="L200" s="516"/>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6"/>
        <v>1</v>
      </c>
      <c r="AD200" s="66" t="str">
        <f>IF(AND(MONTH(E200)&lt;='IN-NX'!$P$3,'IN-NX'!$D$7=D200,OR(LEFT(TH!N200,2)="15",LEFT(TH!O200,2)="15")),"x","")</f>
        <v/>
      </c>
      <c r="AE200" s="66" t="str">
        <f>IF(AND(OR(LEFT(TH!N200,2)="15",LEFT(TH!O200,2)="15"),'152-CT'!$J$8=TH!F200),"x","")</f>
        <v/>
      </c>
      <c r="AF200" s="66" t="str">
        <f>IF(AND(OR(LEFT(TH!N200,2)="15",LEFT(TH!O200,2)="15"),'THE KHO'!$E$7=TH!F200),"x","")</f>
        <v/>
      </c>
      <c r="AG200" s="66" t="str">
        <f>IF(AND(N200="1521",MONTH(C200)='BK NL'!$M$11),"x","")</f>
        <v/>
      </c>
    </row>
    <row r="201" spans="1:33" s="411" customFormat="1" ht="15.75" customHeight="1">
      <c r="A201" s="398" t="str">
        <f>IF(B201&lt;&gt;"",IF(AND(B201&gt;=_TM1,B201&lt;=_TM2,OR(TH!N201="1111",TH!O201="1111")),TH!D201,""),"")</f>
        <v/>
      </c>
      <c r="B201" s="63">
        <f t="shared" si="5"/>
        <v>3</v>
      </c>
      <c r="C201" s="64">
        <v>42448</v>
      </c>
      <c r="D201" s="64" t="s">
        <v>8</v>
      </c>
      <c r="E201" s="64">
        <f t="shared" si="10"/>
        <v>42448</v>
      </c>
      <c r="F201" s="67" t="s">
        <v>414</v>
      </c>
      <c r="G201" s="361" t="s">
        <v>810</v>
      </c>
      <c r="H201" s="405" t="s">
        <v>175</v>
      </c>
      <c r="I201" s="515"/>
      <c r="J201" s="515"/>
      <c r="K201" s="507"/>
      <c r="L201" s="515"/>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6"/>
        <v>1</v>
      </c>
      <c r="AD201" s="66" t="str">
        <f>IF(AND(MONTH(E201)&lt;='IN-NX'!$P$3,'IN-NX'!$D$7=D201,OR(LEFT(TH!N201,2)="15",LEFT(TH!O201,2)="15")),"x","")</f>
        <v/>
      </c>
      <c r="AE201" s="66" t="str">
        <f>IF(AND(OR(LEFT(TH!N201,2)="15",LEFT(TH!O201,2)="15"),'152-CT'!$J$8=TH!F201),"x","")</f>
        <v/>
      </c>
      <c r="AF201" s="66" t="str">
        <f>IF(AND(OR(LEFT(TH!N201,2)="15",LEFT(TH!O201,2)="15"),'THE KHO'!$E$7=TH!F201),"x","")</f>
        <v/>
      </c>
      <c r="AG201" s="66" t="str">
        <f>IF(AND(N201="1521",MONTH(C201)='BK NL'!$M$11),"x","")</f>
        <v/>
      </c>
    </row>
    <row r="202" spans="1:33" s="411" customFormat="1" ht="15.75" customHeight="1">
      <c r="A202" s="398" t="str">
        <f>IF(B202&lt;&gt;"",IF(AND(B202&gt;=_TM1,B202&lt;=_TM2,OR(TH!N202="1111",TH!O202="1111")),TH!D202,""),"")</f>
        <v/>
      </c>
      <c r="B202" s="63">
        <f t="shared" si="5"/>
        <v>3</v>
      </c>
      <c r="C202" s="64">
        <v>42448</v>
      </c>
      <c r="D202" s="64" t="s">
        <v>8</v>
      </c>
      <c r="E202" s="64">
        <f t="shared" si="10"/>
        <v>42448</v>
      </c>
      <c r="F202" s="67" t="s">
        <v>414</v>
      </c>
      <c r="G202" s="361" t="s">
        <v>810</v>
      </c>
      <c r="H202" s="74" t="s">
        <v>177</v>
      </c>
      <c r="I202" s="515"/>
      <c r="J202" s="515"/>
      <c r="K202" s="507"/>
      <c r="L202" s="515"/>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6"/>
        <v>1</v>
      </c>
      <c r="AD202" s="66" t="str">
        <f>IF(AND(MONTH(E202)&lt;='IN-NX'!$P$3,'IN-NX'!$D$7=D202,OR(LEFT(TH!N202,2)="15",LEFT(TH!O202,2)="15")),"x","")</f>
        <v/>
      </c>
      <c r="AE202" s="66" t="str">
        <f>IF(AND(OR(LEFT(TH!N202,2)="15",LEFT(TH!O202,2)="15"),'152-CT'!$J$8=TH!F202),"x","")</f>
        <v/>
      </c>
      <c r="AF202" s="66" t="str">
        <f>IF(AND(OR(LEFT(TH!N202,2)="15",LEFT(TH!O202,2)="15"),'THE KHO'!$E$7=TH!F202),"x","")</f>
        <v/>
      </c>
      <c r="AG202" s="66" t="str">
        <f>IF(AND(N202="1521",MONTH(C202)='BK NL'!$M$11),"x","")</f>
        <v/>
      </c>
    </row>
    <row r="203" spans="1:33" s="411" customFormat="1" ht="15.75" customHeight="1">
      <c r="A203" s="398" t="str">
        <f>IF(B203&lt;&gt;"",IF(AND(B203&gt;=_TM1,B203&lt;=_TM2,OR(TH!N203="1111",TH!O203="1111")),TH!D203,""),"")</f>
        <v/>
      </c>
      <c r="B203" s="63">
        <f t="shared" si="5"/>
        <v>3</v>
      </c>
      <c r="C203" s="64">
        <v>42448</v>
      </c>
      <c r="D203" s="64" t="s">
        <v>8</v>
      </c>
      <c r="E203" s="64">
        <f t="shared" si="10"/>
        <v>42448</v>
      </c>
      <c r="F203" s="67" t="s">
        <v>414</v>
      </c>
      <c r="G203" s="361" t="s">
        <v>810</v>
      </c>
      <c r="H203" s="405" t="s">
        <v>180</v>
      </c>
      <c r="I203" s="515"/>
      <c r="J203" s="515"/>
      <c r="K203" s="507"/>
      <c r="L203" s="515"/>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6"/>
        <v>1</v>
      </c>
      <c r="AD203" s="66" t="str">
        <f>IF(AND(MONTH(E203)&lt;='IN-NX'!$P$3,'IN-NX'!$D$7=D203,OR(LEFT(TH!N203,2)="15",LEFT(TH!O203,2)="15")),"x","")</f>
        <v/>
      </c>
      <c r="AE203" s="66" t="str">
        <f>IF(AND(OR(LEFT(TH!N203,2)="15",LEFT(TH!O203,2)="15"),'152-CT'!$J$8=TH!F203),"x","")</f>
        <v/>
      </c>
      <c r="AF203" s="66" t="str">
        <f>IF(AND(OR(LEFT(TH!N203,2)="15",LEFT(TH!O203,2)="15"),'THE KHO'!$E$7=TH!F203),"x","")</f>
        <v/>
      </c>
      <c r="AG203" s="66" t="str">
        <f>IF(AND(N203="1521",MONTH(C203)='BK NL'!$M$11),"x","")</f>
        <v/>
      </c>
    </row>
    <row r="204" spans="1:33" s="411" customFormat="1" ht="15.75" customHeight="1">
      <c r="A204" s="398" t="str">
        <f>IF(B204&lt;&gt;"",IF(AND(B204&gt;=_TM1,B204&lt;=_TM2,OR(TH!N204="1111",TH!O204="1111")),TH!D204,""),"")</f>
        <v/>
      </c>
      <c r="B204" s="63">
        <f t="shared" si="5"/>
        <v>3</v>
      </c>
      <c r="C204" s="64">
        <v>42448</v>
      </c>
      <c r="D204" s="64" t="s">
        <v>8</v>
      </c>
      <c r="E204" s="64">
        <f t="shared" si="10"/>
        <v>42448</v>
      </c>
      <c r="F204" s="67" t="s">
        <v>414</v>
      </c>
      <c r="G204" s="361" t="s">
        <v>810</v>
      </c>
      <c r="H204" s="74" t="s">
        <v>176</v>
      </c>
      <c r="I204" s="515"/>
      <c r="J204" s="515"/>
      <c r="K204" s="507"/>
      <c r="L204" s="515"/>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6"/>
        <v>1</v>
      </c>
      <c r="AD204" s="66" t="str">
        <f>IF(AND(MONTH(E204)&lt;='IN-NX'!$P$3,'IN-NX'!$D$7=D204,OR(LEFT(TH!N204,2)="15",LEFT(TH!O204,2)="15")),"x","")</f>
        <v/>
      </c>
      <c r="AE204" s="66" t="str">
        <f>IF(AND(OR(LEFT(TH!N204,2)="15",LEFT(TH!O204,2)="15"),'152-CT'!$J$8=TH!F204),"x","")</f>
        <v/>
      </c>
      <c r="AF204" s="66" t="str">
        <f>IF(AND(OR(LEFT(TH!N204,2)="15",LEFT(TH!O204,2)="15"),'THE KHO'!$E$7=TH!F204),"x","")</f>
        <v/>
      </c>
      <c r="AG204" s="66" t="str">
        <f>IF(AND(N204="1521",MONTH(C204)='BK NL'!$M$11),"x","")</f>
        <v/>
      </c>
    </row>
    <row r="205" spans="1:33" s="411" customFormat="1" ht="15.75" customHeight="1">
      <c r="A205" s="398" t="str">
        <f>IF(B205&lt;&gt;"",IF(AND(B205&gt;=_TM1,B205&lt;=_TM2,OR(TH!N205="1111",TH!O205="1111")),TH!D205,""),"")</f>
        <v/>
      </c>
      <c r="B205" s="63">
        <f t="shared" si="5"/>
        <v>3</v>
      </c>
      <c r="C205" s="64">
        <v>42448</v>
      </c>
      <c r="D205" s="64" t="s">
        <v>8</v>
      </c>
      <c r="E205" s="64">
        <f t="shared" si="10"/>
        <v>42448</v>
      </c>
      <c r="F205" s="67" t="s">
        <v>414</v>
      </c>
      <c r="G205" s="361" t="s">
        <v>810</v>
      </c>
      <c r="H205" s="74" t="s">
        <v>181</v>
      </c>
      <c r="I205" s="515"/>
      <c r="J205" s="515"/>
      <c r="K205" s="507"/>
      <c r="L205" s="515"/>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6"/>
        <v>1</v>
      </c>
      <c r="AD205" s="66" t="str">
        <f>IF(AND(MONTH(E205)&lt;='IN-NX'!$P$3,'IN-NX'!$D$7=D205,OR(LEFT(TH!N205,2)="15",LEFT(TH!O205,2)="15")),"x","")</f>
        <v/>
      </c>
      <c r="AE205" s="66" t="str">
        <f>IF(AND(OR(LEFT(TH!N205,2)="15",LEFT(TH!O205,2)="15"),'152-CT'!$J$8=TH!F205),"x","")</f>
        <v/>
      </c>
      <c r="AF205" s="66" t="str">
        <f>IF(AND(OR(LEFT(TH!N205,2)="15",LEFT(TH!O205,2)="15"),'THE KHO'!$E$7=TH!F205),"x","")</f>
        <v/>
      </c>
      <c r="AG205" s="66" t="str">
        <f>IF(AND(N205="1521",MONTH(C205)='BK NL'!$M$11),"x","")</f>
        <v/>
      </c>
    </row>
    <row r="206" spans="1:33" s="411" customFormat="1" ht="15.75" customHeight="1">
      <c r="A206" s="398" t="str">
        <f>IF(B206&lt;&gt;"",IF(AND(B206&gt;=_TM1,B206&lt;=_TM2,OR(TH!N206="1111",TH!O206="1111")),TH!D206,""),"")</f>
        <v/>
      </c>
      <c r="B206" s="63">
        <f t="shared" si="5"/>
        <v>3</v>
      </c>
      <c r="C206" s="64">
        <v>42448</v>
      </c>
      <c r="D206" s="64" t="s">
        <v>8</v>
      </c>
      <c r="E206" s="64">
        <f t="shared" si="10"/>
        <v>42448</v>
      </c>
      <c r="F206" s="67" t="s">
        <v>414</v>
      </c>
      <c r="G206" s="361" t="s">
        <v>810</v>
      </c>
      <c r="H206" s="74" t="s">
        <v>185</v>
      </c>
      <c r="I206" s="517"/>
      <c r="J206" s="517"/>
      <c r="K206" s="509"/>
      <c r="L206" s="517"/>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6"/>
        <v>1</v>
      </c>
      <c r="AD206" s="66" t="str">
        <f>IF(AND(MONTH(E206)&lt;='IN-NX'!$P$3,'IN-NX'!$D$7=D206,OR(LEFT(TH!N206,2)="15",LEFT(TH!O206,2)="15")),"x","")</f>
        <v/>
      </c>
      <c r="AE206" s="66" t="str">
        <f>IF(AND(OR(LEFT(TH!N206,2)="15",LEFT(TH!O206,2)="15"),'152-CT'!$J$8=TH!F206),"x","")</f>
        <v/>
      </c>
      <c r="AF206" s="66" t="str">
        <f>IF(AND(OR(LEFT(TH!N206,2)="15",LEFT(TH!O206,2)="15"),'THE KHO'!$E$7=TH!F206),"x","")</f>
        <v/>
      </c>
      <c r="AG206" s="66" t="str">
        <f>IF(AND(N206="1521",MONTH(C206)='BK NL'!$M$11),"x","")</f>
        <v/>
      </c>
    </row>
    <row r="207" spans="1:33" s="411" customFormat="1" ht="15.75" customHeight="1">
      <c r="A207" s="398" t="str">
        <f>IF(B207&lt;&gt;"",IF(AND(B207&gt;=_TM1,B207&lt;=_TM2,OR(TH!N207="1111",TH!O207="1111")),TH!D207,""),"")</f>
        <v/>
      </c>
      <c r="B207" s="63">
        <f t="shared" si="5"/>
        <v>3</v>
      </c>
      <c r="C207" s="64">
        <v>42448</v>
      </c>
      <c r="D207" s="64" t="s">
        <v>8</v>
      </c>
      <c r="E207" s="64">
        <f t="shared" si="10"/>
        <v>42448</v>
      </c>
      <c r="F207" s="67" t="s">
        <v>438</v>
      </c>
      <c r="G207" s="361" t="s">
        <v>810</v>
      </c>
      <c r="H207" s="74" t="s">
        <v>439</v>
      </c>
      <c r="I207" s="515"/>
      <c r="J207" s="515"/>
      <c r="K207" s="507"/>
      <c r="L207" s="515"/>
      <c r="M207" s="65">
        <v>50000000</v>
      </c>
      <c r="N207" s="66" t="s">
        <v>107</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6"/>
        <v>1</v>
      </c>
      <c r="AD207" s="66" t="str">
        <f>IF(AND(MONTH(E207)&lt;='IN-NX'!$P$3,'IN-NX'!$D$7=D207,OR(LEFT(TH!N207,2)="15",LEFT(TH!O207,2)="15")),"x","")</f>
        <v/>
      </c>
      <c r="AE207" s="66" t="str">
        <f>IF(AND(OR(LEFT(TH!N207,2)="15",LEFT(TH!O207,2)="15"),'152-CT'!$J$8=TH!F207),"x","")</f>
        <v/>
      </c>
      <c r="AF207" s="66" t="str">
        <f>IF(AND(OR(LEFT(TH!N207,2)="15",LEFT(TH!O207,2)="15"),'THE KHO'!$E$7=TH!F207),"x","")</f>
        <v/>
      </c>
      <c r="AG207" s="66" t="str">
        <f>IF(AND(N207="1521",MONTH(C207)='BK NL'!$M$11),"x","")</f>
        <v/>
      </c>
    </row>
    <row r="208" spans="1:33" s="411" customFormat="1" ht="15.75" customHeight="1">
      <c r="A208" s="398" t="str">
        <f>IF(B208&lt;&gt;"",IF(AND(B208&gt;=_TM1,B208&lt;=_TM2,OR(TH!N208="1111",TH!O208="1111")),TH!D208,""),"")</f>
        <v/>
      </c>
      <c r="B208" s="63">
        <f t="shared" si="5"/>
        <v>3</v>
      </c>
      <c r="C208" s="64">
        <v>42448</v>
      </c>
      <c r="D208" s="64" t="s">
        <v>904</v>
      </c>
      <c r="E208" s="64">
        <f t="shared" si="10"/>
        <v>42448</v>
      </c>
      <c r="F208" s="67" t="s">
        <v>809</v>
      </c>
      <c r="G208" s="375"/>
      <c r="H208" s="74" t="s">
        <v>439</v>
      </c>
      <c r="I208" s="515"/>
      <c r="J208" s="515"/>
      <c r="K208" s="507"/>
      <c r="L208" s="515"/>
      <c r="M208" s="65">
        <v>50000000</v>
      </c>
      <c r="N208" s="66" t="s">
        <v>98</v>
      </c>
      <c r="O208" s="66" t="s">
        <v>107</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6"/>
        <v>1</v>
      </c>
      <c r="AD208" s="66" t="str">
        <f>IF(AND(MONTH(E208)&lt;='IN-NX'!$P$3,'IN-NX'!$D$7=D208,OR(LEFT(TH!N208,2)="15",LEFT(TH!O208,2)="15")),"x","")</f>
        <v/>
      </c>
      <c r="AE208" s="66" t="str">
        <f>IF(AND(OR(LEFT(TH!N208,2)="15",LEFT(TH!O208,2)="15"),'152-CT'!$J$8=TH!F208),"x","")</f>
        <v/>
      </c>
      <c r="AF208" s="66" t="str">
        <f>IF(AND(OR(LEFT(TH!N208,2)="15",LEFT(TH!O208,2)="15"),'THE KHO'!$E$7=TH!F208),"x","")</f>
        <v/>
      </c>
      <c r="AG208" s="66" t="str">
        <f>IF(AND(N208="1521",MONTH(C208)='BK NL'!$M$11),"x","")</f>
        <v/>
      </c>
    </row>
    <row r="209" spans="1:33" s="411" customFormat="1" ht="15.75" customHeight="1">
      <c r="A209" s="398" t="str">
        <f>IF(B209&lt;&gt;"",IF(AND(B209&gt;=_TM1,B209&lt;=_TM2,OR(TH!N209="1111",TH!O209="1111")),TH!D209,""),"")</f>
        <v/>
      </c>
      <c r="B209" s="63">
        <f t="shared" si="5"/>
        <v>3</v>
      </c>
      <c r="C209" s="64">
        <v>42450</v>
      </c>
      <c r="D209" s="64" t="s">
        <v>811</v>
      </c>
      <c r="E209" s="64">
        <f t="shared" si="10"/>
        <v>42450</v>
      </c>
      <c r="F209" s="67" t="s">
        <v>812</v>
      </c>
      <c r="G209" s="375" t="s">
        <v>813</v>
      </c>
      <c r="H209" s="7" t="s">
        <v>50</v>
      </c>
      <c r="I209" s="515"/>
      <c r="J209" s="515"/>
      <c r="K209" s="507"/>
      <c r="L209" s="515"/>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6"/>
        <v>1</v>
      </c>
      <c r="AD209" s="66" t="str">
        <f>IF(AND(MONTH(E209)&lt;='IN-NX'!$P$3,'IN-NX'!$D$7=D209,OR(LEFT(TH!N209,2)="15",LEFT(TH!O209,2)="15")),"x","")</f>
        <v/>
      </c>
      <c r="AE209" s="66" t="str">
        <f>IF(AND(OR(LEFT(TH!N209,2)="15",LEFT(TH!O209,2)="15"),'152-CT'!$J$8=TH!F209),"x","")</f>
        <v/>
      </c>
      <c r="AF209" s="66" t="str">
        <f>IF(AND(OR(LEFT(TH!N209,2)="15",LEFT(TH!O209,2)="15"),'THE KHO'!$E$7=TH!F209),"x","")</f>
        <v/>
      </c>
      <c r="AG209" s="66" t="str">
        <f>IF(AND(N209="1521",MONTH(C209)='BK NL'!$M$11),"x","")</f>
        <v/>
      </c>
    </row>
    <row r="210" spans="1:33" s="411" customFormat="1" ht="15.75" customHeight="1">
      <c r="A210" s="398" t="str">
        <f>IF(B210&lt;&gt;"",IF(AND(B210&gt;=_TM1,B210&lt;=_TM2,OR(TH!N210="1111",TH!O210="1111")),TH!D210,""),"")</f>
        <v/>
      </c>
      <c r="B210" s="63">
        <f t="shared" ref="B210" si="11">IF(C210&lt;&gt;"",MONTH(C210),"")</f>
        <v>3</v>
      </c>
      <c r="C210" s="64">
        <v>42450</v>
      </c>
      <c r="D210" s="64" t="s">
        <v>811</v>
      </c>
      <c r="E210" s="64">
        <f t="shared" ref="E210" si="12">C210</f>
        <v>42450</v>
      </c>
      <c r="F210" s="67" t="s">
        <v>814</v>
      </c>
      <c r="G210" s="375" t="s">
        <v>813</v>
      </c>
      <c r="H210" s="7" t="s">
        <v>50</v>
      </c>
      <c r="I210" s="515"/>
      <c r="J210" s="515"/>
      <c r="K210" s="507"/>
      <c r="L210" s="515"/>
      <c r="M210" s="65">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si="6"/>
        <v>1</v>
      </c>
      <c r="AD210" s="66" t="str">
        <f>IF(AND(MONTH(E210)&lt;='IN-NX'!$P$3,'IN-NX'!$D$7=D210,OR(LEFT(TH!N210,2)="15",LEFT(TH!O210,2)="15")),"x","")</f>
        <v/>
      </c>
      <c r="AE210" s="66" t="str">
        <f>IF(AND(OR(LEFT(TH!N210,2)="15",LEFT(TH!O210,2)="15"),'152-CT'!$J$8=TH!F210),"x","")</f>
        <v/>
      </c>
      <c r="AF210" s="66" t="str">
        <f>IF(AND(OR(LEFT(TH!N210,2)="15",LEFT(TH!O210,2)="15"),'THE KHO'!$E$7=TH!F210),"x","")</f>
        <v/>
      </c>
      <c r="AG210" s="66" t="str">
        <f>IF(AND(N210="1521",MONTH(C210)='BK NL'!$M$11),"x","")</f>
        <v/>
      </c>
    </row>
    <row r="211" spans="1:33" s="411" customFormat="1" ht="15.75" customHeight="1">
      <c r="A211" s="398" t="str">
        <f>IF(B211&lt;&gt;"",IF(AND(B211&gt;=_TM1,B211&lt;=_TM2,OR(TH!N211="1111",TH!O211="1111")),TH!D211,""),"")</f>
        <v/>
      </c>
      <c r="B211" s="63">
        <f t="shared" ref="B211" si="13">IF(C211&lt;&gt;"",MONTH(C211),"")</f>
        <v>3</v>
      </c>
      <c r="C211" s="64">
        <v>42450</v>
      </c>
      <c r="D211" s="64" t="s">
        <v>815</v>
      </c>
      <c r="E211" s="64">
        <f t="shared" ref="E211" si="14">C211</f>
        <v>42450</v>
      </c>
      <c r="F211" s="67" t="s">
        <v>777</v>
      </c>
      <c r="G211" s="375" t="s">
        <v>816</v>
      </c>
      <c r="H211" s="74" t="s">
        <v>331</v>
      </c>
      <c r="I211" s="515"/>
      <c r="J211" s="515"/>
      <c r="K211" s="507"/>
      <c r="L211" s="515"/>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6"/>
        <v>1</v>
      </c>
      <c r="AD211" s="66" t="str">
        <f>IF(AND(MONTH(E211)&lt;='IN-NX'!$P$3,'IN-NX'!$D$7=D211,OR(LEFT(TH!N211,2)="15",LEFT(TH!O211,2)="15")),"x","")</f>
        <v/>
      </c>
      <c r="AE211" s="66" t="str">
        <f>IF(AND(OR(LEFT(TH!N211,2)="15",LEFT(TH!O211,2)="15"),'152-CT'!$J$8=TH!F211),"x","")</f>
        <v/>
      </c>
      <c r="AF211" s="66" t="str">
        <f>IF(AND(OR(LEFT(TH!N211,2)="15",LEFT(TH!O211,2)="15"),'THE KHO'!$E$7=TH!F211),"x","")</f>
        <v/>
      </c>
      <c r="AG211" s="66" t="str">
        <f>IF(AND(N211="1521",MONTH(C211)='BK NL'!$M$11),"x","")</f>
        <v/>
      </c>
    </row>
    <row r="212" spans="1:33" s="411" customFormat="1" ht="15.75" customHeight="1">
      <c r="A212" s="398" t="str">
        <f>IF(B212&lt;&gt;"",IF(AND(B212&gt;=_TM1,B212&lt;=_TM2,OR(TH!N212="1111",TH!O212="1111")),TH!D212,""),"")</f>
        <v/>
      </c>
      <c r="B212" s="63">
        <f t="shared" ref="B212" si="15">IF(C212&lt;&gt;"",MONTH(C212),"")</f>
        <v>3</v>
      </c>
      <c r="C212" s="64">
        <v>42451</v>
      </c>
      <c r="D212" s="64" t="s">
        <v>817</v>
      </c>
      <c r="E212" s="64">
        <f t="shared" ref="E212:E213" si="16">C212</f>
        <v>42451</v>
      </c>
      <c r="F212" s="67" t="s">
        <v>818</v>
      </c>
      <c r="G212" s="375" t="s">
        <v>819</v>
      </c>
      <c r="H212" s="74" t="s">
        <v>820</v>
      </c>
      <c r="I212" s="515"/>
      <c r="J212" s="515"/>
      <c r="K212" s="507"/>
      <c r="L212" s="515"/>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6"/>
        <v>1</v>
      </c>
      <c r="AD212" s="66" t="str">
        <f>IF(AND(MONTH(E212)&lt;='IN-NX'!$P$3,'IN-NX'!$D$7=D212,OR(LEFT(TH!N212,2)="15",LEFT(TH!O212,2)="15")),"x","")</f>
        <v/>
      </c>
      <c r="AE212" s="66" t="str">
        <f>IF(AND(OR(LEFT(TH!N212,2)="15",LEFT(TH!O212,2)="15"),'152-CT'!$J$8=TH!F212),"x","")</f>
        <v/>
      </c>
      <c r="AF212" s="66" t="str">
        <f>IF(AND(OR(LEFT(TH!N212,2)="15",LEFT(TH!O212,2)="15"),'THE KHO'!$E$7=TH!F212),"x","")</f>
        <v/>
      </c>
      <c r="AG212" s="66" t="str">
        <f>IF(AND(N212="1521",MONTH(C212)='BK NL'!$M$11),"x","")</f>
        <v/>
      </c>
    </row>
    <row r="213" spans="1:33" s="411" customFormat="1" ht="15.75" customHeight="1">
      <c r="A213" s="398" t="str">
        <f>IF(B213&lt;&gt;"",IF(AND(B213&gt;=_TM1,B213&lt;=_TM2,OR(TH!N213="1111",TH!O213="1111")),TH!D213,""),"")</f>
        <v/>
      </c>
      <c r="B213" s="63">
        <f t="shared" si="5"/>
        <v>3</v>
      </c>
      <c r="C213" s="64">
        <v>42453</v>
      </c>
      <c r="D213" s="64" t="s">
        <v>821</v>
      </c>
      <c r="E213" s="64">
        <f t="shared" si="16"/>
        <v>42453</v>
      </c>
      <c r="F213" s="67" t="s">
        <v>822</v>
      </c>
      <c r="G213" s="375" t="s">
        <v>823</v>
      </c>
      <c r="H213" s="74" t="s">
        <v>824</v>
      </c>
      <c r="I213" s="515"/>
      <c r="J213" s="515"/>
      <c r="K213" s="507"/>
      <c r="L213" s="515"/>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6"/>
        <v>1</v>
      </c>
      <c r="AD213" s="66" t="str">
        <f>IF(AND(MONTH(E213)&lt;='IN-NX'!$P$3,'IN-NX'!$D$7=D213,OR(LEFT(TH!N213,2)="15",LEFT(TH!O213,2)="15")),"x","")</f>
        <v/>
      </c>
      <c r="AE213" s="66" t="str">
        <f>IF(AND(OR(LEFT(TH!N213,2)="15",LEFT(TH!O213,2)="15"),'152-CT'!$J$8=TH!F213),"x","")</f>
        <v/>
      </c>
      <c r="AF213" s="66" t="str">
        <f>IF(AND(OR(LEFT(TH!N213,2)="15",LEFT(TH!O213,2)="15"),'THE KHO'!$E$7=TH!F213),"x","")</f>
        <v/>
      </c>
      <c r="AG213" s="66" t="str">
        <f>IF(AND(N213="1521",MONTH(C213)='BK NL'!$M$11),"x","")</f>
        <v/>
      </c>
    </row>
    <row r="214" spans="1:33" s="411" customFormat="1" ht="15.75" customHeight="1">
      <c r="A214" s="398" t="str">
        <f>IF(B214&lt;&gt;"",IF(AND(B214&gt;=_TM1,B214&lt;=_TM2,OR(TH!N214="1111",TH!O214="1111")),TH!D214,""),"")</f>
        <v/>
      </c>
      <c r="B214" s="63">
        <f t="shared" ref="B214" si="17">IF(C214&lt;&gt;"",MONTH(C214),"")</f>
        <v>3</v>
      </c>
      <c r="C214" s="64">
        <v>42453</v>
      </c>
      <c r="D214" s="64" t="s">
        <v>821</v>
      </c>
      <c r="E214" s="64">
        <f t="shared" ref="E214:E215" si="18">C214</f>
        <v>42453</v>
      </c>
      <c r="F214" s="67" t="s">
        <v>825</v>
      </c>
      <c r="G214" s="375" t="s">
        <v>823</v>
      </c>
      <c r="H214" s="74" t="s">
        <v>824</v>
      </c>
      <c r="I214" s="515"/>
      <c r="J214" s="515"/>
      <c r="K214" s="507"/>
      <c r="L214" s="515"/>
      <c r="M214" s="65">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ref="AC214:AC277" si="19">IF(AND(1&lt;=$B214,$B214&lt;=3),"1",IF(AND(4&lt;=$B214,$B214&lt;=6),"2",IF(AND(7&lt;=$B214,$B214&lt;=9),"3",IF(AND(10&lt;=$B214,$B214&lt;=12),"4",""))))</f>
        <v>1</v>
      </c>
      <c r="AD214" s="66" t="str">
        <f>IF(AND(MONTH(E214)&lt;='IN-NX'!$P$3,'IN-NX'!$D$7=D214,OR(LEFT(TH!N214,2)="15",LEFT(TH!O214,2)="15")),"x","")</f>
        <v/>
      </c>
      <c r="AE214" s="66" t="str">
        <f>IF(AND(OR(LEFT(TH!N214,2)="15",LEFT(TH!O214,2)="15"),'152-CT'!$J$8=TH!F214),"x","")</f>
        <v/>
      </c>
      <c r="AF214" s="66" t="str">
        <f>IF(AND(OR(LEFT(TH!N214,2)="15",LEFT(TH!O214,2)="15"),'THE KHO'!$E$7=TH!F214),"x","")</f>
        <v/>
      </c>
      <c r="AG214" s="66" t="str">
        <f>IF(AND(N214="1521",MONTH(C214)='BK NL'!$M$11),"x","")</f>
        <v/>
      </c>
    </row>
    <row r="215" spans="1:33" s="411" customFormat="1" ht="15.75" customHeight="1">
      <c r="A215" s="398" t="str">
        <f>IF(B215&lt;&gt;"",IF(AND(B215&gt;=_TM1,B215&lt;=_TM2,OR(TH!N215="1111",TH!O215="1111")),TH!D215,""),"")</f>
        <v/>
      </c>
      <c r="B215" s="63">
        <f t="shared" si="5"/>
        <v>3</v>
      </c>
      <c r="C215" s="64">
        <v>42446</v>
      </c>
      <c r="D215" s="64" t="s">
        <v>45</v>
      </c>
      <c r="E215" s="64">
        <f t="shared" si="18"/>
        <v>42446</v>
      </c>
      <c r="F215" s="67" t="s">
        <v>801</v>
      </c>
      <c r="G215" s="375" t="s">
        <v>826</v>
      </c>
      <c r="H215" s="7" t="s">
        <v>50</v>
      </c>
      <c r="I215" s="516"/>
      <c r="J215" s="516"/>
      <c r="K215" s="508"/>
      <c r="L215" s="516"/>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9"/>
        <v>1</v>
      </c>
      <c r="AD215" s="66" t="str">
        <f>IF(AND(MONTH(E215)&lt;='IN-NX'!$P$3,'IN-NX'!$D$7=D215,OR(LEFT(TH!N215,2)="15",LEFT(TH!O215,2)="15")),"x","")</f>
        <v/>
      </c>
      <c r="AE215" s="66" t="str">
        <f>IF(AND(OR(LEFT(TH!N215,2)="15",LEFT(TH!O215,2)="15"),'152-CT'!$J$8=TH!F215),"x","")</f>
        <v/>
      </c>
      <c r="AF215" s="66" t="str">
        <f>IF(AND(OR(LEFT(TH!N215,2)="15",LEFT(TH!O215,2)="15"),'THE KHO'!$E$7=TH!F215),"x","")</f>
        <v/>
      </c>
      <c r="AG215" s="66" t="str">
        <f>IF(AND(N215="1521",MONTH(C215)='BK NL'!$M$11),"x","")</f>
        <v/>
      </c>
    </row>
    <row r="216" spans="1:33" s="411" customFormat="1" ht="15.75" customHeight="1">
      <c r="A216" s="398" t="str">
        <f>IF(B216&lt;&gt;"",IF(AND(B216&gt;=_TM1,B216&lt;=_TM2,OR(TH!N216="1111",TH!O216="1111")),TH!D216,""),"")</f>
        <v/>
      </c>
      <c r="B216" s="63">
        <f t="shared" ref="B216" si="20">IF(C216&lt;&gt;"",MONTH(C216),"")</f>
        <v>3</v>
      </c>
      <c r="C216" s="64">
        <v>42446</v>
      </c>
      <c r="D216" s="64" t="s">
        <v>45</v>
      </c>
      <c r="E216" s="64">
        <f t="shared" ref="E216" si="21">C216</f>
        <v>42446</v>
      </c>
      <c r="F216" s="67" t="s">
        <v>827</v>
      </c>
      <c r="G216" s="375" t="s">
        <v>826</v>
      </c>
      <c r="H216" s="7" t="s">
        <v>50</v>
      </c>
      <c r="I216" s="516"/>
      <c r="J216" s="516"/>
      <c r="K216" s="508"/>
      <c r="L216" s="516"/>
      <c r="M216" s="65">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9"/>
        <v>1</v>
      </c>
      <c r="AD216" s="66" t="str">
        <f>IF(AND(MONTH(E216)&lt;='IN-NX'!$P$3,'IN-NX'!$D$7=D216,OR(LEFT(TH!N216,2)="15",LEFT(TH!O216,2)="15")),"x","")</f>
        <v/>
      </c>
      <c r="AE216" s="66" t="str">
        <f>IF(AND(OR(LEFT(TH!N216,2)="15",LEFT(TH!O216,2)="15"),'152-CT'!$J$8=TH!F216),"x","")</f>
        <v/>
      </c>
      <c r="AF216" s="66" t="str">
        <f>IF(AND(OR(LEFT(TH!N216,2)="15",LEFT(TH!O216,2)="15"),'THE KHO'!$E$7=TH!F216),"x","")</f>
        <v/>
      </c>
      <c r="AG216" s="66" t="str">
        <f>IF(AND(N216="1521",MONTH(C216)='BK NL'!$M$11),"x","")</f>
        <v/>
      </c>
    </row>
    <row r="217" spans="1:33" s="411" customFormat="1" ht="15.75" customHeight="1">
      <c r="A217" s="398" t="str">
        <f>IF(B217&lt;&gt;"",IF(AND(B217&gt;=_TM1,B217&lt;=_TM2,OR(TH!N217="1111",TH!O217="1111")),TH!D217,""),"")</f>
        <v/>
      </c>
      <c r="B217" s="63">
        <f t="shared" ref="B217:B240" si="22">IF(C217&lt;&gt;"",MONTH(C217),"")</f>
        <v>2</v>
      </c>
      <c r="C217" s="64">
        <v>42414</v>
      </c>
      <c r="D217" s="501" t="s">
        <v>45</v>
      </c>
      <c r="E217" s="64">
        <v>42414</v>
      </c>
      <c r="F217" s="67" t="s">
        <v>828</v>
      </c>
      <c r="G217" s="501" t="s">
        <v>832</v>
      </c>
      <c r="H217" s="74" t="s">
        <v>222</v>
      </c>
      <c r="I217" s="515"/>
      <c r="J217" s="515"/>
      <c r="K217" s="507"/>
      <c r="L217" s="515"/>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9"/>
        <v>1</v>
      </c>
      <c r="AD217" s="66" t="str">
        <f>IF(AND(MONTH(E217)&lt;='IN-NX'!$P$3,'IN-NX'!$D$7=D217,OR(LEFT(TH!N217,2)="15",LEFT(TH!O217,2)="15")),"x","")</f>
        <v/>
      </c>
      <c r="AE217" s="66" t="str">
        <f>IF(AND(OR(LEFT(TH!N217,2)="15",LEFT(TH!O217,2)="15"),'152-CT'!$J$8=TH!F217),"x","")</f>
        <v/>
      </c>
      <c r="AF217" s="66" t="str">
        <f>IF(AND(OR(LEFT(TH!N217,2)="15",LEFT(TH!O217,2)="15"),'THE KHO'!$E$7=TH!F217),"x","")</f>
        <v/>
      </c>
      <c r="AG217" s="66" t="str">
        <f>IF(AND(N217="1521",MONTH(C217)='BK NL'!$M$11),"x","")</f>
        <v/>
      </c>
    </row>
    <row r="218" spans="1:33" s="411" customFormat="1" ht="15.75" customHeight="1">
      <c r="A218" s="398" t="str">
        <f>IF(B218&lt;&gt;"",IF(AND(B218&gt;=_TM1,B218&lt;=_TM2,OR(TH!N218="1111",TH!O218="1111")),TH!D218,""),"")</f>
        <v/>
      </c>
      <c r="B218" s="63">
        <f t="shared" si="22"/>
        <v>2</v>
      </c>
      <c r="C218" s="64">
        <v>42414</v>
      </c>
      <c r="D218" s="501" t="s">
        <v>45</v>
      </c>
      <c r="E218" s="64">
        <v>42414</v>
      </c>
      <c r="F218" s="67" t="s">
        <v>829</v>
      </c>
      <c r="G218" s="501" t="s">
        <v>832</v>
      </c>
      <c r="H218" s="74" t="s">
        <v>222</v>
      </c>
      <c r="I218" s="515"/>
      <c r="J218" s="515"/>
      <c r="K218" s="507"/>
      <c r="L218" s="515"/>
      <c r="M218" s="65">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9"/>
        <v>1</v>
      </c>
      <c r="AD218" s="66" t="str">
        <f>IF(AND(MONTH(E218)&lt;='IN-NX'!$P$3,'IN-NX'!$D$7=D218,OR(LEFT(TH!N218,2)="15",LEFT(TH!O218,2)="15")),"x","")</f>
        <v/>
      </c>
      <c r="AE218" s="66" t="str">
        <f>IF(AND(OR(LEFT(TH!N218,2)="15",LEFT(TH!O218,2)="15"),'152-CT'!$J$8=TH!F218),"x","")</f>
        <v/>
      </c>
      <c r="AF218" s="66" t="str">
        <f>IF(AND(OR(LEFT(TH!N218,2)="15",LEFT(TH!O218,2)="15"),'THE KHO'!$E$7=TH!F218),"x","")</f>
        <v/>
      </c>
      <c r="AG218" s="66" t="str">
        <f>IF(AND(N218="1521",MONTH(C218)='BK NL'!$M$11),"x","")</f>
        <v/>
      </c>
    </row>
    <row r="219" spans="1:33" s="411" customFormat="1" ht="15.75" customHeight="1">
      <c r="A219" s="398" t="str">
        <f>IF(B219&lt;&gt;"",IF(AND(B219&gt;=_TM1,B219&lt;=_TM2,OR(TH!N219="1111",TH!O219="1111")),TH!D219,""),"")</f>
        <v/>
      </c>
      <c r="B219" s="63">
        <f t="shared" si="22"/>
        <v>2</v>
      </c>
      <c r="C219" s="64">
        <v>42426</v>
      </c>
      <c r="D219" s="501" t="s">
        <v>45</v>
      </c>
      <c r="E219" s="64">
        <v>42426</v>
      </c>
      <c r="F219" s="67" t="s">
        <v>830</v>
      </c>
      <c r="G219" s="501" t="s">
        <v>833</v>
      </c>
      <c r="H219" s="74" t="s">
        <v>222</v>
      </c>
      <c r="I219" s="515"/>
      <c r="J219" s="515"/>
      <c r="K219" s="507"/>
      <c r="L219" s="515"/>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9"/>
        <v>1</v>
      </c>
      <c r="AD219" s="66" t="str">
        <f>IF(AND(MONTH(E219)&lt;='IN-NX'!$P$3,'IN-NX'!$D$7=D219,OR(LEFT(TH!N219,2)="15",LEFT(TH!O219,2)="15")),"x","")</f>
        <v/>
      </c>
      <c r="AE219" s="66" t="str">
        <f>IF(AND(OR(LEFT(TH!N219,2)="15",LEFT(TH!O219,2)="15"),'152-CT'!$J$8=TH!F219),"x","")</f>
        <v/>
      </c>
      <c r="AF219" s="66" t="str">
        <f>IF(AND(OR(LEFT(TH!N219,2)="15",LEFT(TH!O219,2)="15"),'THE KHO'!$E$7=TH!F219),"x","")</f>
        <v/>
      </c>
      <c r="AG219" s="66" t="str">
        <f>IF(AND(N219="1521",MONTH(C219)='BK NL'!$M$11),"x","")</f>
        <v/>
      </c>
    </row>
    <row r="220" spans="1:33" s="411" customFormat="1" ht="15.75" customHeight="1">
      <c r="A220" s="398" t="str">
        <f>IF(B220&lt;&gt;"",IF(AND(B220&gt;=_TM1,B220&lt;=_TM2,OR(TH!N220="1111",TH!O220="1111")),TH!D220,""),"")</f>
        <v/>
      </c>
      <c r="B220" s="63">
        <f t="shared" si="22"/>
        <v>2</v>
      </c>
      <c r="C220" s="64">
        <v>42426</v>
      </c>
      <c r="D220" s="501" t="s">
        <v>45</v>
      </c>
      <c r="E220" s="64">
        <v>42426</v>
      </c>
      <c r="F220" s="67" t="s">
        <v>831</v>
      </c>
      <c r="G220" s="501" t="s">
        <v>833</v>
      </c>
      <c r="H220" s="74" t="s">
        <v>222</v>
      </c>
      <c r="I220" s="515"/>
      <c r="J220" s="515"/>
      <c r="K220" s="507"/>
      <c r="L220" s="515"/>
      <c r="M220" s="65">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9"/>
        <v>1</v>
      </c>
      <c r="AD220" s="66" t="str">
        <f>IF(AND(MONTH(E220)&lt;='IN-NX'!$P$3,'IN-NX'!$D$7=D220,OR(LEFT(TH!N220,2)="15",LEFT(TH!O220,2)="15")),"x","")</f>
        <v/>
      </c>
      <c r="AE220" s="66" t="str">
        <f>IF(AND(OR(LEFT(TH!N220,2)="15",LEFT(TH!O220,2)="15"),'152-CT'!$J$8=TH!F220),"x","")</f>
        <v/>
      </c>
      <c r="AF220" s="66" t="str">
        <f>IF(AND(OR(LEFT(TH!N220,2)="15",LEFT(TH!O220,2)="15"),'THE KHO'!$E$7=TH!F220),"x","")</f>
        <v/>
      </c>
      <c r="AG220" s="66" t="str">
        <f>IF(AND(N220="1521",MONTH(C220)='BK NL'!$M$11),"x","")</f>
        <v/>
      </c>
    </row>
    <row r="221" spans="1:33" s="411" customFormat="1" ht="15.75" customHeight="1">
      <c r="A221" s="398" t="str">
        <f>IF(B221&lt;&gt;"",IF(AND(B221&gt;=_TM1,B221&lt;=_TM2,OR(TH!N221="1111",TH!O221="1111")),TH!D221,""),"")</f>
        <v/>
      </c>
      <c r="B221" s="63">
        <f t="shared" si="22"/>
        <v>3</v>
      </c>
      <c r="C221" s="64">
        <v>42454</v>
      </c>
      <c r="D221" s="64" t="s">
        <v>8</v>
      </c>
      <c r="E221" s="64">
        <f>C221</f>
        <v>42454</v>
      </c>
      <c r="F221" s="67" t="s">
        <v>834</v>
      </c>
      <c r="G221" s="375" t="s">
        <v>810</v>
      </c>
      <c r="H221" s="74"/>
      <c r="I221" s="515"/>
      <c r="J221" s="515"/>
      <c r="K221" s="507"/>
      <c r="L221" s="515"/>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9"/>
        <v>1</v>
      </c>
      <c r="AD221" s="66" t="str">
        <f>IF(AND(MONTH(E221)&lt;='IN-NX'!$P$3,'IN-NX'!$D$7=D221,OR(LEFT(TH!N221,2)="15",LEFT(TH!O221,2)="15")),"x","")</f>
        <v/>
      </c>
      <c r="AE221" s="66" t="str">
        <f>IF(AND(OR(LEFT(TH!N221,2)="15",LEFT(TH!O221,2)="15"),'152-CT'!$J$8=TH!F221),"x","")</f>
        <v/>
      </c>
      <c r="AF221" s="66" t="str">
        <f>IF(AND(OR(LEFT(TH!N221,2)="15",LEFT(TH!O221,2)="15"),'THE KHO'!$E$7=TH!F221),"x","")</f>
        <v/>
      </c>
      <c r="AG221" s="66" t="str">
        <f>IF(AND(N221="1521",MONTH(C221)='BK NL'!$M$11),"x","")</f>
        <v/>
      </c>
    </row>
    <row r="222" spans="1:33" s="411" customFormat="1" ht="15.75" customHeight="1">
      <c r="A222" s="398" t="str">
        <f>IF(B222&lt;&gt;"",IF(AND(B222&gt;=_TM1,B222&lt;=_TM2,OR(TH!N222="1111",TH!O222="1111")),TH!D222,""),"")</f>
        <v/>
      </c>
      <c r="B222" s="63">
        <f t="shared" si="22"/>
        <v>3</v>
      </c>
      <c r="C222" s="64">
        <v>42454</v>
      </c>
      <c r="D222" s="64" t="s">
        <v>8</v>
      </c>
      <c r="E222" s="64">
        <f t="shared" ref="E222:E231" si="23">C222</f>
        <v>42454</v>
      </c>
      <c r="F222" s="67" t="s">
        <v>836</v>
      </c>
      <c r="G222" s="375" t="s">
        <v>810</v>
      </c>
      <c r="H222" s="405"/>
      <c r="I222" s="516"/>
      <c r="J222" s="516"/>
      <c r="K222" s="508"/>
      <c r="L222" s="516"/>
      <c r="M222" s="65">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9"/>
        <v>1</v>
      </c>
      <c r="AD222" s="66" t="str">
        <f>IF(AND(MONTH(E222)&lt;='IN-NX'!$P$3,'IN-NX'!$D$7=D222,OR(LEFT(TH!N222,2)="15",LEFT(TH!O222,2)="15")),"x","")</f>
        <v/>
      </c>
      <c r="AE222" s="66" t="str">
        <f>IF(AND(OR(LEFT(TH!N222,2)="15",LEFT(TH!O222,2)="15"),'152-CT'!$J$8=TH!F222),"x","")</f>
        <v/>
      </c>
      <c r="AF222" s="66" t="str">
        <f>IF(AND(OR(LEFT(TH!N222,2)="15",LEFT(TH!O222,2)="15"),'THE KHO'!$E$7=TH!F222),"x","")</f>
        <v/>
      </c>
      <c r="AG222" s="66" t="str">
        <f>IF(AND(N222="1521",MONTH(C222)='BK NL'!$M$11),"x","")</f>
        <v/>
      </c>
    </row>
    <row r="223" spans="1:33" s="411" customFormat="1" ht="15.75" customHeight="1">
      <c r="A223" s="398" t="str">
        <f>IF(B223&lt;&gt;"",IF(AND(B223&gt;=_TM1,B223&lt;=_TM2,OR(TH!N223="1111",TH!O223="1111")),TH!D223,""),"")</f>
        <v/>
      </c>
      <c r="B223" s="63">
        <f t="shared" si="22"/>
        <v>3</v>
      </c>
      <c r="C223" s="64">
        <v>42454</v>
      </c>
      <c r="D223" s="64" t="s">
        <v>8</v>
      </c>
      <c r="E223" s="64">
        <f t="shared" si="23"/>
        <v>42454</v>
      </c>
      <c r="F223" s="67" t="s">
        <v>835</v>
      </c>
      <c r="G223" s="375" t="s">
        <v>810</v>
      </c>
      <c r="H223" s="405"/>
      <c r="I223" s="516"/>
      <c r="J223" s="516"/>
      <c r="K223" s="508"/>
      <c r="L223" s="516"/>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9"/>
        <v>1</v>
      </c>
      <c r="AD223" s="66" t="str">
        <f>IF(AND(MONTH(E223)&lt;='IN-NX'!$P$3,'IN-NX'!$D$7=D223,OR(LEFT(TH!N223,2)="15",LEFT(TH!O223,2)="15")),"x","")</f>
        <v/>
      </c>
      <c r="AE223" s="66" t="str">
        <f>IF(AND(OR(LEFT(TH!N223,2)="15",LEFT(TH!O223,2)="15"),'152-CT'!$J$8=TH!F223),"x","")</f>
        <v/>
      </c>
      <c r="AF223" s="66" t="str">
        <f>IF(AND(OR(LEFT(TH!N223,2)="15",LEFT(TH!O223,2)="15"),'THE KHO'!$E$7=TH!F223),"x","")</f>
        <v/>
      </c>
      <c r="AG223" s="66" t="str">
        <f>IF(AND(N223="1521",MONTH(C223)='BK NL'!$M$11),"x","")</f>
        <v/>
      </c>
    </row>
    <row r="224" spans="1:33" s="411" customFormat="1" ht="15.75" customHeight="1">
      <c r="A224" s="398" t="str">
        <f>IF(B224&lt;&gt;"",IF(AND(B224&gt;=_TM1,B224&lt;=_TM2,OR(TH!N224="1111",TH!O224="1111")),TH!D224,""),"")</f>
        <v/>
      </c>
      <c r="B224" s="63">
        <f t="shared" si="22"/>
        <v>3</v>
      </c>
      <c r="C224" s="64">
        <v>42454</v>
      </c>
      <c r="D224" s="64" t="s">
        <v>8</v>
      </c>
      <c r="E224" s="64">
        <f t="shared" si="23"/>
        <v>42454</v>
      </c>
      <c r="F224" s="67" t="s">
        <v>836</v>
      </c>
      <c r="G224" s="375" t="s">
        <v>810</v>
      </c>
      <c r="H224" s="74"/>
      <c r="I224" s="515"/>
      <c r="J224" s="515"/>
      <c r="K224" s="507"/>
      <c r="L224" s="515"/>
      <c r="M224" s="65">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9"/>
        <v>1</v>
      </c>
      <c r="AD224" s="66" t="str">
        <f>IF(AND(MONTH(E224)&lt;='IN-NX'!$P$3,'IN-NX'!$D$7=D224,OR(LEFT(TH!N224,2)="15",LEFT(TH!O224,2)="15")),"x","")</f>
        <v/>
      </c>
      <c r="AE224" s="66" t="str">
        <f>IF(AND(OR(LEFT(TH!N224,2)="15",LEFT(TH!O224,2)="15"),'152-CT'!$J$8=TH!F224),"x","")</f>
        <v/>
      </c>
      <c r="AF224" s="66" t="str">
        <f>IF(AND(OR(LEFT(TH!N224,2)="15",LEFT(TH!O224,2)="15"),'THE KHO'!$E$7=TH!F224),"x","")</f>
        <v/>
      </c>
      <c r="AG224" s="66" t="str">
        <f>IF(AND(N224="1521",MONTH(C224)='BK NL'!$M$11),"x","")</f>
        <v/>
      </c>
    </row>
    <row r="225" spans="1:33" s="411" customFormat="1" ht="15.75" customHeight="1">
      <c r="A225" s="398" t="str">
        <f>IF(B225&lt;&gt;"",IF(AND(B225&gt;=_TM1,B225&lt;=_TM2,OR(TH!N225="1111",TH!O225="1111")),TH!D225,""),"")</f>
        <v/>
      </c>
      <c r="B225" s="63">
        <f t="shared" ref="B225" si="24">IF(C225&lt;&gt;"",MONTH(C225),"")</f>
        <v>3</v>
      </c>
      <c r="C225" s="64">
        <v>42453</v>
      </c>
      <c r="D225" s="64" t="s">
        <v>12</v>
      </c>
      <c r="E225" s="64">
        <f t="shared" ref="E225" si="25">C225</f>
        <v>42453</v>
      </c>
      <c r="F225" s="67" t="s">
        <v>839</v>
      </c>
      <c r="G225" s="375" t="s">
        <v>810</v>
      </c>
      <c r="H225" s="74"/>
      <c r="I225" s="515"/>
      <c r="J225" s="515"/>
      <c r="K225" s="507"/>
      <c r="L225" s="515"/>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9"/>
        <v>1</v>
      </c>
      <c r="AD225" s="66" t="str">
        <f>IF(AND(MONTH(E225)&lt;='IN-NX'!$P$3,'IN-NX'!$D$7=D225,OR(LEFT(TH!N225,2)="15",LEFT(TH!O225,2)="15")),"x","")</f>
        <v/>
      </c>
      <c r="AE225" s="66" t="str">
        <f>IF(AND(OR(LEFT(TH!N225,2)="15",LEFT(TH!O225,2)="15"),'152-CT'!$J$8=TH!F225),"x","")</f>
        <v/>
      </c>
      <c r="AF225" s="66" t="str">
        <f>IF(AND(OR(LEFT(TH!N225,2)="15",LEFT(TH!O225,2)="15"),'THE KHO'!$E$7=TH!F225),"x","")</f>
        <v/>
      </c>
      <c r="AG225" s="66" t="str">
        <f>IF(AND(N225="1521",MONTH(C225)='BK NL'!$M$11),"x","")</f>
        <v/>
      </c>
    </row>
    <row r="226" spans="1:33" s="411" customFormat="1" ht="15.75" customHeight="1">
      <c r="A226" s="398" t="str">
        <f>IF(B226&lt;&gt;"",IF(AND(B226&gt;=_TM1,B226&lt;=_TM2,OR(TH!N226="1111",TH!O226="1111")),TH!D226,""),"")</f>
        <v/>
      </c>
      <c r="B226" s="63">
        <f t="shared" si="22"/>
        <v>3</v>
      </c>
      <c r="C226" s="64">
        <v>42458</v>
      </c>
      <c r="D226" s="64" t="s">
        <v>848</v>
      </c>
      <c r="E226" s="64">
        <f t="shared" si="23"/>
        <v>42458</v>
      </c>
      <c r="F226" s="67" t="s">
        <v>419</v>
      </c>
      <c r="G226" s="375" t="s">
        <v>810</v>
      </c>
      <c r="H226" s="74" t="s">
        <v>837</v>
      </c>
      <c r="I226" s="515"/>
      <c r="J226" s="515"/>
      <c r="K226" s="507"/>
      <c r="L226" s="515"/>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9"/>
        <v>1</v>
      </c>
      <c r="AD226" s="66" t="str">
        <f>IF(AND(MONTH(E226)&lt;='IN-NX'!$P$3,'IN-NX'!$D$7=D226,OR(LEFT(TH!N226,2)="15",LEFT(TH!O226,2)="15")),"x","")</f>
        <v/>
      </c>
      <c r="AE226" s="66" t="str">
        <f>IF(AND(OR(LEFT(TH!N226,2)="15",LEFT(TH!O226,2)="15"),'152-CT'!$J$8=TH!F226),"x","")</f>
        <v/>
      </c>
      <c r="AF226" s="66" t="str">
        <f>IF(AND(OR(LEFT(TH!N226,2)="15",LEFT(TH!O226,2)="15"),'THE KHO'!$E$7=TH!F226),"x","")</f>
        <v/>
      </c>
      <c r="AG226" s="66" t="str">
        <f>IF(AND(N226="1521",MONTH(C226)='BK NL'!$M$11),"x","")</f>
        <v/>
      </c>
    </row>
    <row r="227" spans="1:33" s="411" customFormat="1" ht="15.75" customHeight="1">
      <c r="A227" s="398" t="str">
        <f>IF(B227&lt;&gt;"",IF(AND(B227&gt;=_TM1,B227&lt;=_TM2,OR(TH!N227="1111",TH!O227="1111")),TH!D227,""),"")</f>
        <v/>
      </c>
      <c r="B227" s="63">
        <f t="shared" si="22"/>
        <v>3</v>
      </c>
      <c r="C227" s="64">
        <v>42458</v>
      </c>
      <c r="D227" s="64" t="s">
        <v>8</v>
      </c>
      <c r="E227" s="64">
        <f t="shared" si="23"/>
        <v>42458</v>
      </c>
      <c r="F227" s="67" t="s">
        <v>164</v>
      </c>
      <c r="G227" s="375" t="s">
        <v>810</v>
      </c>
      <c r="H227" s="7" t="s">
        <v>166</v>
      </c>
      <c r="I227" s="515"/>
      <c r="J227" s="515"/>
      <c r="K227" s="507"/>
      <c r="L227" s="515"/>
      <c r="M227" s="65">
        <v>50000000</v>
      </c>
      <c r="N227" s="66" t="s">
        <v>9</v>
      </c>
      <c r="O227" s="66" t="s">
        <v>31</v>
      </c>
      <c r="P227" s="66" t="str">
        <f>IF(AND('331-CT'!$E$7=TH!H227,OR(N227="331",O227="331")),"x","")</f>
        <v>x</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9"/>
        <v>1</v>
      </c>
      <c r="AD227" s="66" t="str">
        <f>IF(AND(MONTH(E227)&lt;='IN-NX'!$P$3,'IN-NX'!$D$7=D227,OR(LEFT(TH!N227,2)="15",LEFT(TH!O227,2)="15")),"x","")</f>
        <v/>
      </c>
      <c r="AE227" s="66" t="str">
        <f>IF(AND(OR(LEFT(TH!N227,2)="15",LEFT(TH!O227,2)="15"),'152-CT'!$J$8=TH!F227),"x","")</f>
        <v/>
      </c>
      <c r="AF227" s="66" t="str">
        <f>IF(AND(OR(LEFT(TH!N227,2)="15",LEFT(TH!O227,2)="15"),'THE KHO'!$E$7=TH!F227),"x","")</f>
        <v/>
      </c>
      <c r="AG227" s="66" t="str">
        <f>IF(AND(N227="1521",MONTH(C227)='BK NL'!$M$11),"x","")</f>
        <v/>
      </c>
    </row>
    <row r="228" spans="1:33" s="411" customFormat="1" ht="15.75" customHeight="1">
      <c r="A228" s="398" t="str">
        <f>IF(B228&lt;&gt;"",IF(AND(B228&gt;=_TM1,B228&lt;=_TM2,OR(TH!N228="1111",TH!O228="1111")),TH!D228,""),"")</f>
        <v/>
      </c>
      <c r="B228" s="63">
        <f t="shared" ref="B228" si="26">IF(C228&lt;&gt;"",MONTH(C228),"")</f>
        <v>3</v>
      </c>
      <c r="C228" s="64">
        <v>42458</v>
      </c>
      <c r="D228" s="64" t="s">
        <v>8</v>
      </c>
      <c r="E228" s="64">
        <f t="shared" ref="E228" si="27">C228</f>
        <v>42458</v>
      </c>
      <c r="F228" s="67" t="s">
        <v>22</v>
      </c>
      <c r="G228" s="375" t="s">
        <v>810</v>
      </c>
      <c r="H228" s="74"/>
      <c r="I228" s="515"/>
      <c r="J228" s="515"/>
      <c r="K228" s="507"/>
      <c r="L228" s="515"/>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9"/>
        <v>1</v>
      </c>
      <c r="AD228" s="66" t="str">
        <f>IF(AND(MONTH(E228)&lt;='IN-NX'!$P$3,'IN-NX'!$D$7=D228,OR(LEFT(TH!N228,2)="15",LEFT(TH!O228,2)="15")),"x","")</f>
        <v/>
      </c>
      <c r="AE228" s="66" t="str">
        <f>IF(AND(OR(LEFT(TH!N228,2)="15",LEFT(TH!O228,2)="15"),'152-CT'!$J$8=TH!F228),"x","")</f>
        <v/>
      </c>
      <c r="AF228" s="66" t="str">
        <f>IF(AND(OR(LEFT(TH!N228,2)="15",LEFT(TH!O228,2)="15"),'THE KHO'!$E$7=TH!F228),"x","")</f>
        <v/>
      </c>
      <c r="AG228" s="66" t="str">
        <f>IF(AND(N228="1521",MONTH(C228)='BK NL'!$M$11),"x","")</f>
        <v/>
      </c>
    </row>
    <row r="229" spans="1:33" s="411" customFormat="1" ht="15.75" customHeight="1">
      <c r="A229" s="398" t="str">
        <f>IF(B229&lt;&gt;"",IF(AND(B229&gt;=_TM1,B229&lt;=_TM2,OR(TH!N229="1111",TH!O229="1111")),TH!D229,""),"")</f>
        <v/>
      </c>
      <c r="B229" s="63">
        <f t="shared" si="22"/>
        <v>3</v>
      </c>
      <c r="C229" s="64">
        <v>42458</v>
      </c>
      <c r="D229" s="64" t="s">
        <v>8</v>
      </c>
      <c r="E229" s="64">
        <f t="shared" si="23"/>
        <v>42458</v>
      </c>
      <c r="F229" s="67" t="s">
        <v>23</v>
      </c>
      <c r="G229" s="375" t="s">
        <v>810</v>
      </c>
      <c r="H229" s="74"/>
      <c r="I229" s="515"/>
      <c r="J229" s="515"/>
      <c r="K229" s="507"/>
      <c r="L229" s="515"/>
      <c r="M229" s="65">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9"/>
        <v>1</v>
      </c>
      <c r="AD229" s="66" t="str">
        <f>IF(AND(MONTH(E229)&lt;='IN-NX'!$P$3,'IN-NX'!$D$7=D229,OR(LEFT(TH!N229,2)="15",LEFT(TH!O229,2)="15")),"x","")</f>
        <v/>
      </c>
      <c r="AE229" s="66" t="str">
        <f>IF(AND(OR(LEFT(TH!N229,2)="15",LEFT(TH!O229,2)="15"),'152-CT'!$J$8=TH!F229),"x","")</f>
        <v/>
      </c>
      <c r="AF229" s="66" t="str">
        <f>IF(AND(OR(LEFT(TH!N229,2)="15",LEFT(TH!O229,2)="15"),'THE KHO'!$E$7=TH!F229),"x","")</f>
        <v/>
      </c>
      <c r="AG229" s="66" t="str">
        <f>IF(AND(N229="1521",MONTH(C229)='BK NL'!$M$11),"x","")</f>
        <v/>
      </c>
    </row>
    <row r="230" spans="1:33" s="411" customFormat="1" ht="15.75" customHeight="1">
      <c r="A230" s="398" t="str">
        <f>IF(B230&lt;&gt;"",IF(AND(B230&gt;=_TM1,B230&lt;=_TM2,OR(TH!N230="1111",TH!O230="1111")),TH!D230,""),"")</f>
        <v/>
      </c>
      <c r="B230" s="63">
        <f t="shared" si="22"/>
        <v>3</v>
      </c>
      <c r="C230" s="64">
        <v>42459</v>
      </c>
      <c r="D230" s="64" t="s">
        <v>854</v>
      </c>
      <c r="E230" s="64">
        <f t="shared" si="23"/>
        <v>42459</v>
      </c>
      <c r="F230" s="67" t="s">
        <v>419</v>
      </c>
      <c r="G230" s="375" t="s">
        <v>810</v>
      </c>
      <c r="H230" s="74" t="s">
        <v>161</v>
      </c>
      <c r="I230" s="515"/>
      <c r="J230" s="515"/>
      <c r="K230" s="507"/>
      <c r="L230" s="515"/>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9"/>
        <v>1</v>
      </c>
      <c r="AD230" s="66" t="str">
        <f>IF(AND(MONTH(E230)&lt;='IN-NX'!$P$3,'IN-NX'!$D$7=D230,OR(LEFT(TH!N230,2)="15",LEFT(TH!O230,2)="15")),"x","")</f>
        <v/>
      </c>
      <c r="AE230" s="66" t="str">
        <f>IF(AND(OR(LEFT(TH!N230,2)="15",LEFT(TH!O230,2)="15"),'152-CT'!$J$8=TH!F230),"x","")</f>
        <v/>
      </c>
      <c r="AF230" s="66" t="str">
        <f>IF(AND(OR(LEFT(TH!N230,2)="15",LEFT(TH!O230,2)="15"),'THE KHO'!$E$7=TH!F230),"x","")</f>
        <v/>
      </c>
      <c r="AG230" s="66" t="str">
        <f>IF(AND(N230="1521",MONTH(C230)='BK NL'!$M$11),"x","")</f>
        <v/>
      </c>
    </row>
    <row r="231" spans="1:33" s="411" customFormat="1" ht="15.75" customHeight="1">
      <c r="A231" s="398" t="str">
        <f>IF(B231&lt;&gt;"",IF(AND(B231&gt;=_TM1,B231&lt;=_TM2,OR(TH!N231="1111",TH!O231="1111")),TH!D231,""),"")</f>
        <v/>
      </c>
      <c r="B231" s="63">
        <f t="shared" si="22"/>
        <v>3</v>
      </c>
      <c r="C231" s="64">
        <v>42459</v>
      </c>
      <c r="D231" s="64" t="s">
        <v>8</v>
      </c>
      <c r="E231" s="64">
        <f t="shared" si="23"/>
        <v>42459</v>
      </c>
      <c r="F231" s="67" t="s">
        <v>838</v>
      </c>
      <c r="G231" s="375" t="s">
        <v>810</v>
      </c>
      <c r="H231" s="74" t="s">
        <v>222</v>
      </c>
      <c r="I231" s="515"/>
      <c r="J231" s="515"/>
      <c r="K231" s="507"/>
      <c r="L231" s="515"/>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9"/>
        <v>1</v>
      </c>
      <c r="AD231" s="66" t="str">
        <f>IF(AND(MONTH(E231)&lt;='IN-NX'!$P$3,'IN-NX'!$D$7=D231,OR(LEFT(TH!N231,2)="15",LEFT(TH!O231,2)="15")),"x","")</f>
        <v/>
      </c>
      <c r="AE231" s="66" t="str">
        <f>IF(AND(OR(LEFT(TH!N231,2)="15",LEFT(TH!O231,2)="15"),'152-CT'!$J$8=TH!F231),"x","")</f>
        <v/>
      </c>
      <c r="AF231" s="66" t="str">
        <f>IF(AND(OR(LEFT(TH!N231,2)="15",LEFT(TH!O231,2)="15"),'THE KHO'!$E$7=TH!F231),"x","")</f>
        <v/>
      </c>
      <c r="AG231" s="66" t="str">
        <f>IF(AND(N231="1521",MONTH(C231)='BK NL'!$M$11),"x","")</f>
        <v/>
      </c>
    </row>
    <row r="232" spans="1:33" s="411" customFormat="1" ht="15.75" customHeight="1">
      <c r="A232" s="398" t="str">
        <f>IF(B232&lt;&gt;"",IF(AND(B232&gt;=_TM1,B232&lt;=_TM2,OR(TH!N232="1111",TH!O232="1111")),TH!D232,""),"")</f>
        <v/>
      </c>
      <c r="B232" s="63">
        <f t="shared" si="22"/>
        <v>3</v>
      </c>
      <c r="C232" s="64">
        <v>42459</v>
      </c>
      <c r="D232" s="64" t="s">
        <v>8</v>
      </c>
      <c r="E232" s="64">
        <f t="shared" ref="E232" si="28">C232</f>
        <v>42459</v>
      </c>
      <c r="F232" s="67" t="s">
        <v>22</v>
      </c>
      <c r="G232" s="375" t="s">
        <v>810</v>
      </c>
      <c r="H232" s="405"/>
      <c r="I232" s="516"/>
      <c r="J232" s="516"/>
      <c r="K232" s="508"/>
      <c r="L232" s="516"/>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9"/>
        <v>1</v>
      </c>
      <c r="AD232" s="66" t="str">
        <f>IF(AND(MONTH(E232)&lt;='IN-NX'!$P$3,'IN-NX'!$D$7=D232,OR(LEFT(TH!N232,2)="15",LEFT(TH!O232,2)="15")),"x","")</f>
        <v/>
      </c>
      <c r="AE232" s="66" t="str">
        <f>IF(AND(OR(LEFT(TH!N232,2)="15",LEFT(TH!O232,2)="15"),'152-CT'!$J$8=TH!F232),"x","")</f>
        <v/>
      </c>
      <c r="AF232" s="66" t="str">
        <f>IF(AND(OR(LEFT(TH!N232,2)="15",LEFT(TH!O232,2)="15"),'THE KHO'!$E$7=TH!F232),"x","")</f>
        <v/>
      </c>
      <c r="AG232" s="66" t="str">
        <f>IF(AND(N232="1521",MONTH(C232)='BK NL'!$M$11),"x","")</f>
        <v/>
      </c>
    </row>
    <row r="233" spans="1:33" s="411" customFormat="1" ht="15.75" customHeight="1">
      <c r="A233" s="398" t="str">
        <f>IF(B233&lt;&gt;"",IF(AND(B233&gt;=_TM1,B233&lt;=_TM2,OR(TH!N233="1111",TH!O233="1111")),TH!D233,""),"")</f>
        <v/>
      </c>
      <c r="B233" s="63">
        <f t="shared" si="22"/>
        <v>3</v>
      </c>
      <c r="C233" s="64">
        <v>42459</v>
      </c>
      <c r="D233" s="64" t="s">
        <v>8</v>
      </c>
      <c r="E233" s="64">
        <f t="shared" ref="E233" si="29">C233</f>
        <v>42459</v>
      </c>
      <c r="F233" s="67" t="s">
        <v>23</v>
      </c>
      <c r="G233" s="375" t="s">
        <v>810</v>
      </c>
      <c r="H233" s="74"/>
      <c r="I233" s="515"/>
      <c r="J233" s="515"/>
      <c r="K233" s="507"/>
      <c r="L233" s="515"/>
      <c r="M233" s="65">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9"/>
        <v>1</v>
      </c>
      <c r="AD233" s="66" t="str">
        <f>IF(AND(MONTH(E233)&lt;='IN-NX'!$P$3,'IN-NX'!$D$7=D233,OR(LEFT(TH!N233,2)="15",LEFT(TH!O233,2)="15")),"x","")</f>
        <v/>
      </c>
      <c r="AE233" s="66" t="str">
        <f>IF(AND(OR(LEFT(TH!N233,2)="15",LEFT(TH!O233,2)="15"),'152-CT'!$J$8=TH!F233),"x","")</f>
        <v/>
      </c>
      <c r="AF233" s="66" t="str">
        <f>IF(AND(OR(LEFT(TH!N233,2)="15",LEFT(TH!O233,2)="15"),'THE KHO'!$E$7=TH!F233),"x","")</f>
        <v/>
      </c>
      <c r="AG233" s="66" t="str">
        <f>IF(AND(N233="1521",MONTH(C233)='BK NL'!$M$11),"x","")</f>
        <v/>
      </c>
    </row>
    <row r="234" spans="1:33" s="411" customFormat="1" ht="15.75" customHeight="1">
      <c r="A234" s="398" t="str">
        <f>IF(B234&lt;&gt;"",IF(AND(B234&gt;=_TM1,B234&lt;=_TM2,OR(TH!N234="1111",TH!O234="1111")),TH!D234,""),"")</f>
        <v/>
      </c>
      <c r="B234" s="63">
        <f t="shared" si="22"/>
        <v>3</v>
      </c>
      <c r="C234" s="64">
        <v>42440</v>
      </c>
      <c r="D234" s="501" t="s">
        <v>45</v>
      </c>
      <c r="E234" s="64">
        <f>C234</f>
        <v>42440</v>
      </c>
      <c r="F234" s="67" t="s">
        <v>840</v>
      </c>
      <c r="G234" s="501" t="s">
        <v>844</v>
      </c>
      <c r="H234" s="74" t="s">
        <v>222</v>
      </c>
      <c r="I234" s="515"/>
      <c r="J234" s="515"/>
      <c r="K234" s="507"/>
      <c r="L234" s="515"/>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9"/>
        <v>1</v>
      </c>
      <c r="AD234" s="66" t="str">
        <f>IF(AND(MONTH(E234)&lt;='IN-NX'!$P$3,'IN-NX'!$D$7=D234,OR(LEFT(TH!N234,2)="15",LEFT(TH!O234,2)="15")),"x","")</f>
        <v/>
      </c>
      <c r="AE234" s="66" t="str">
        <f>IF(AND(OR(LEFT(TH!N234,2)="15",LEFT(TH!O234,2)="15"),'152-CT'!$J$8=TH!F234),"x","")</f>
        <v/>
      </c>
      <c r="AF234" s="66" t="str">
        <f>IF(AND(OR(LEFT(TH!N234,2)="15",LEFT(TH!O234,2)="15"),'THE KHO'!$E$7=TH!F234),"x","")</f>
        <v/>
      </c>
      <c r="AG234" s="66" t="str">
        <f>IF(AND(N234="1521",MONTH(C234)='BK NL'!$M$11),"x","")</f>
        <v/>
      </c>
    </row>
    <row r="235" spans="1:33" s="411" customFormat="1" ht="15.75" customHeight="1">
      <c r="A235" s="398" t="str">
        <f>IF(B235&lt;&gt;"",IF(AND(B235&gt;=_TM1,B235&lt;=_TM2,OR(TH!N235="1111",TH!O235="1111")),TH!D235,""),"")</f>
        <v/>
      </c>
      <c r="B235" s="63">
        <f t="shared" si="22"/>
        <v>3</v>
      </c>
      <c r="C235" s="64">
        <v>42440</v>
      </c>
      <c r="D235" s="501" t="s">
        <v>45</v>
      </c>
      <c r="E235" s="64">
        <f t="shared" ref="E235:E237" si="30">C235</f>
        <v>42440</v>
      </c>
      <c r="F235" s="67" t="s">
        <v>843</v>
      </c>
      <c r="G235" s="501" t="s">
        <v>844</v>
      </c>
      <c r="H235" s="74" t="s">
        <v>222</v>
      </c>
      <c r="I235" s="515"/>
      <c r="J235" s="515"/>
      <c r="K235" s="507"/>
      <c r="L235" s="515"/>
      <c r="M235" s="65">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9"/>
        <v>1</v>
      </c>
      <c r="AD235" s="66" t="str">
        <f>IF(AND(MONTH(E235)&lt;='IN-NX'!$P$3,'IN-NX'!$D$7=D235,OR(LEFT(TH!N235,2)="15",LEFT(TH!O235,2)="15")),"x","")</f>
        <v/>
      </c>
      <c r="AE235" s="66" t="str">
        <f>IF(AND(OR(LEFT(TH!N235,2)="15",LEFT(TH!O235,2)="15"),'152-CT'!$J$8=TH!F235),"x","")</f>
        <v/>
      </c>
      <c r="AF235" s="66" t="str">
        <f>IF(AND(OR(LEFT(TH!N235,2)="15",LEFT(TH!O235,2)="15"),'THE KHO'!$E$7=TH!F235),"x","")</f>
        <v/>
      </c>
      <c r="AG235" s="66" t="str">
        <f>IF(AND(N235="1521",MONTH(C235)='BK NL'!$M$11),"x","")</f>
        <v/>
      </c>
    </row>
    <row r="236" spans="1:33" s="411" customFormat="1" ht="15.75" customHeight="1">
      <c r="A236" s="398" t="str">
        <f>IF(B236&lt;&gt;"",IF(AND(B236&gt;=_TM1,B236&lt;=_TM2,OR(TH!N236="1111",TH!O236="1111")),TH!D236,""),"")</f>
        <v/>
      </c>
      <c r="B236" s="63">
        <f t="shared" si="22"/>
        <v>3</v>
      </c>
      <c r="C236" s="64">
        <v>42454</v>
      </c>
      <c r="D236" s="501" t="s">
        <v>45</v>
      </c>
      <c r="E236" s="64">
        <f t="shared" si="30"/>
        <v>42454</v>
      </c>
      <c r="F236" s="67" t="s">
        <v>841</v>
      </c>
      <c r="G236" s="501"/>
      <c r="H236" s="74" t="s">
        <v>222</v>
      </c>
      <c r="I236" s="515"/>
      <c r="J236" s="515"/>
      <c r="K236" s="507"/>
      <c r="L236" s="515"/>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9"/>
        <v>1</v>
      </c>
      <c r="AD236" s="66" t="str">
        <f>IF(AND(MONTH(E236)&lt;='IN-NX'!$P$3,'IN-NX'!$D$7=D236,OR(LEFT(TH!N236,2)="15",LEFT(TH!O236,2)="15")),"x","")</f>
        <v/>
      </c>
      <c r="AE236" s="66" t="str">
        <f>IF(AND(OR(LEFT(TH!N236,2)="15",LEFT(TH!O236,2)="15"),'152-CT'!$J$8=TH!F236),"x","")</f>
        <v/>
      </c>
      <c r="AF236" s="66" t="str">
        <f>IF(AND(OR(LEFT(TH!N236,2)="15",LEFT(TH!O236,2)="15"),'THE KHO'!$E$7=TH!F236),"x","")</f>
        <v/>
      </c>
      <c r="AG236" s="66" t="str">
        <f>IF(AND(N236="1521",MONTH(C236)='BK NL'!$M$11),"x","")</f>
        <v/>
      </c>
    </row>
    <row r="237" spans="1:33" s="411" customFormat="1" ht="15.75" customHeight="1">
      <c r="A237" s="398" t="str">
        <f>IF(B237&lt;&gt;"",IF(AND(B237&gt;=_TM1,B237&lt;=_TM2,OR(TH!N237="1111",TH!O237="1111")),TH!D237,""),"")</f>
        <v/>
      </c>
      <c r="B237" s="63">
        <f t="shared" si="22"/>
        <v>3</v>
      </c>
      <c r="C237" s="64">
        <v>42454</v>
      </c>
      <c r="D237" s="501" t="s">
        <v>45</v>
      </c>
      <c r="E237" s="64">
        <f t="shared" si="30"/>
        <v>42454</v>
      </c>
      <c r="F237" s="67" t="s">
        <v>842</v>
      </c>
      <c r="G237" s="501"/>
      <c r="H237" s="74" t="s">
        <v>222</v>
      </c>
      <c r="I237" s="515"/>
      <c r="J237" s="515"/>
      <c r="K237" s="507"/>
      <c r="L237" s="515"/>
      <c r="M237" s="65">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9"/>
        <v>1</v>
      </c>
      <c r="AD237" s="66" t="str">
        <f>IF(AND(MONTH(E237)&lt;='IN-NX'!$P$3,'IN-NX'!$D$7=D237,OR(LEFT(TH!N237,2)="15",LEFT(TH!O237,2)="15")),"x","")</f>
        <v/>
      </c>
      <c r="AE237" s="66" t="str">
        <f>IF(AND(OR(LEFT(TH!N237,2)="15",LEFT(TH!O237,2)="15"),'152-CT'!$J$8=TH!F237),"x","")</f>
        <v/>
      </c>
      <c r="AF237" s="66" t="str">
        <f>IF(AND(OR(LEFT(TH!N237,2)="15",LEFT(TH!O237,2)="15"),'THE KHO'!$E$7=TH!F237),"x","")</f>
        <v/>
      </c>
      <c r="AG237" s="66" t="str">
        <f>IF(AND(N237="1521",MONTH(C237)='BK NL'!$M$11),"x","")</f>
        <v/>
      </c>
    </row>
    <row r="238" spans="1:33" s="411" customFormat="1" ht="15.75" customHeight="1">
      <c r="A238" s="398" t="str">
        <f>IF(B238&lt;&gt;"",IF(AND(B238&gt;=_TM1,B238&lt;=_TM2,OR(TH!N238="1111",TH!O238="1111")),TH!D238,""),"")</f>
        <v/>
      </c>
      <c r="B238" s="63">
        <f t="shared" si="22"/>
        <v>3</v>
      </c>
      <c r="C238" s="64">
        <v>42443</v>
      </c>
      <c r="D238" s="501" t="s">
        <v>45</v>
      </c>
      <c r="E238" s="64">
        <f t="shared" ref="E238:E240" si="31">C238</f>
        <v>42443</v>
      </c>
      <c r="F238" s="67" t="s">
        <v>846</v>
      </c>
      <c r="G238" s="501" t="s">
        <v>845</v>
      </c>
      <c r="H238" s="7" t="s">
        <v>166</v>
      </c>
      <c r="I238" s="515"/>
      <c r="J238" s="515"/>
      <c r="K238" s="507"/>
      <c r="L238" s="515"/>
      <c r="M238" s="65">
        <v>2050000000</v>
      </c>
      <c r="N238" s="66" t="s">
        <v>243</v>
      </c>
      <c r="O238" s="66" t="s">
        <v>9</v>
      </c>
      <c r="P238" s="66" t="str">
        <f>IF(AND('331-CT'!$E$7=TH!H238,OR(N238="331",O238="331")),"x","")</f>
        <v>x</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9"/>
        <v>1</v>
      </c>
      <c r="AD238" s="66" t="str">
        <f>IF(AND(MONTH(E238)&lt;='IN-NX'!$P$3,'IN-NX'!$D$7=D238,OR(LEFT(TH!N238,2)="15",LEFT(TH!O238,2)="15")),"x","")</f>
        <v/>
      </c>
      <c r="AE238" s="66" t="str">
        <f>IF(AND(OR(LEFT(TH!N238,2)="15",LEFT(TH!O238,2)="15"),'152-CT'!$J$8=TH!F238),"x","")</f>
        <v/>
      </c>
      <c r="AF238" s="66" t="str">
        <f>IF(AND(OR(LEFT(TH!N238,2)="15",LEFT(TH!O238,2)="15"),'THE KHO'!$E$7=TH!F238),"x","")</f>
        <v/>
      </c>
      <c r="AG238" s="66" t="str">
        <f>IF(AND(N238="1521",MONTH(C238)='BK NL'!$M$11),"x","")</f>
        <v/>
      </c>
    </row>
    <row r="239" spans="1:33" s="411" customFormat="1" ht="15.75" customHeight="1">
      <c r="A239" s="398" t="str">
        <f>IF(B239&lt;&gt;"",IF(AND(B239&gt;=_TM1,B239&lt;=_TM2,OR(TH!N239="1111",TH!O239="1111")),TH!D239,""),"")</f>
        <v/>
      </c>
      <c r="B239" s="63">
        <f t="shared" si="22"/>
        <v>3</v>
      </c>
      <c r="C239" s="64">
        <v>42443</v>
      </c>
      <c r="D239" s="501" t="s">
        <v>45</v>
      </c>
      <c r="E239" s="64">
        <f t="shared" si="31"/>
        <v>42443</v>
      </c>
      <c r="F239" s="67" t="s">
        <v>847</v>
      </c>
      <c r="G239" s="501" t="s">
        <v>845</v>
      </c>
      <c r="H239" s="7" t="s">
        <v>166</v>
      </c>
      <c r="I239" s="515"/>
      <c r="J239" s="515"/>
      <c r="K239" s="507"/>
      <c r="L239" s="515"/>
      <c r="M239" s="65">
        <v>205000000</v>
      </c>
      <c r="N239" s="66" t="s">
        <v>10</v>
      </c>
      <c r="O239" s="66" t="s">
        <v>9</v>
      </c>
      <c r="P239" s="66" t="str">
        <f>IF(AND('331-CT'!$E$7=TH!H239,OR(N239="331",O239="331")),"x","")</f>
        <v>x</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x</v>
      </c>
      <c r="Y239" s="66" t="str">
        <f>IF(AND($N239=$X$7,$B239&lt;'1331'!$I$9),"x","")</f>
        <v/>
      </c>
      <c r="Z239" s="66" t="str">
        <f>IF(AND($O239=$X$7,$B239&lt;'1331'!$I$9),"x","")</f>
        <v/>
      </c>
      <c r="AA239" s="66" t="str">
        <f>IF(AND('341-CT'!$H$9=H239,OR(LEFT(N239,3)=$AA$7,LEFT(O239,3)=$AA$7)),"x","")</f>
        <v/>
      </c>
      <c r="AB239" s="66" t="str">
        <f>IF(OR(TH!N239=TH!$AB$7,O239=TH!$AB$7),"x","")</f>
        <v/>
      </c>
      <c r="AC239" s="66" t="str">
        <f t="shared" si="19"/>
        <v>1</v>
      </c>
      <c r="AD239" s="66" t="str">
        <f>IF(AND(MONTH(E239)&lt;='IN-NX'!$P$3,'IN-NX'!$D$7=D239,OR(LEFT(TH!N239,2)="15",LEFT(TH!O239,2)="15")),"x","")</f>
        <v/>
      </c>
      <c r="AE239" s="66" t="str">
        <f>IF(AND(OR(LEFT(TH!N239,2)="15",LEFT(TH!O239,2)="15"),'152-CT'!$J$8=TH!F239),"x","")</f>
        <v/>
      </c>
      <c r="AF239" s="66" t="str">
        <f>IF(AND(OR(LEFT(TH!N239,2)="15",LEFT(TH!O239,2)="15"),'THE KHO'!$E$7=TH!F239),"x","")</f>
        <v/>
      </c>
      <c r="AG239" s="66" t="str">
        <f>IF(AND(N239="1521",MONTH(C239)='BK NL'!$M$11),"x","")</f>
        <v/>
      </c>
    </row>
    <row r="240" spans="1:33" s="411" customFormat="1" ht="15.75" customHeight="1">
      <c r="A240" s="398" t="str">
        <f>IF(B240&lt;&gt;"",IF(AND(B240&gt;=_TM1,B240&lt;=_TM2,OR(TH!N240="1111",TH!O240="1111")),TH!D240,""),"")</f>
        <v/>
      </c>
      <c r="B240" s="63">
        <f t="shared" si="22"/>
        <v>3</v>
      </c>
      <c r="C240" s="64">
        <v>42460</v>
      </c>
      <c r="D240" s="64" t="s">
        <v>855</v>
      </c>
      <c r="E240" s="64">
        <f t="shared" si="31"/>
        <v>42460</v>
      </c>
      <c r="F240" s="67" t="s">
        <v>849</v>
      </c>
      <c r="G240" s="375" t="s">
        <v>850</v>
      </c>
      <c r="H240" s="405" t="s">
        <v>327</v>
      </c>
      <c r="I240" s="516"/>
      <c r="J240" s="516"/>
      <c r="K240" s="508"/>
      <c r="L240" s="516"/>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9"/>
        <v>1</v>
      </c>
      <c r="AD240" s="66" t="str">
        <f>IF(AND(MONTH(E240)&lt;='IN-NX'!$P$3,'IN-NX'!$D$7=D240,OR(LEFT(TH!N240,2)="15",LEFT(TH!O240,2)="15")),"x","")</f>
        <v/>
      </c>
      <c r="AE240" s="66" t="str">
        <f>IF(AND(OR(LEFT(TH!N240,2)="15",LEFT(TH!O240,2)="15"),'152-CT'!$J$8=TH!F240),"x","")</f>
        <v/>
      </c>
      <c r="AF240" s="66" t="str">
        <f>IF(AND(OR(LEFT(TH!N240,2)="15",LEFT(TH!O240,2)="15"),'THE KHO'!$E$7=TH!F240),"x","")</f>
        <v/>
      </c>
      <c r="AG240" s="66" t="str">
        <f>IF(AND(N240="1521",MONTH(C240)='BK NL'!$M$11),"x","")</f>
        <v/>
      </c>
    </row>
    <row r="241" spans="1:33" s="411" customFormat="1" ht="15.75" customHeight="1">
      <c r="A241" s="398" t="str">
        <f>IF(B241&lt;&gt;"",IF(AND(B241&gt;=_TM1,B241&lt;=_TM2,OR(TH!N241="1111",TH!O241="1111")),TH!D241,""),"")</f>
        <v/>
      </c>
      <c r="B241" s="63">
        <f t="shared" ref="B241" si="32">IF(C241&lt;&gt;"",MONTH(C241),"")</f>
        <v>3</v>
      </c>
      <c r="C241" s="64">
        <v>42460</v>
      </c>
      <c r="D241" s="64" t="s">
        <v>902</v>
      </c>
      <c r="E241" s="64">
        <f t="shared" ref="E241" si="33">C241</f>
        <v>42460</v>
      </c>
      <c r="F241" s="67" t="s">
        <v>851</v>
      </c>
      <c r="G241" s="375" t="s">
        <v>852</v>
      </c>
      <c r="H241" s="405" t="s">
        <v>853</v>
      </c>
      <c r="I241" s="516"/>
      <c r="J241" s="516"/>
      <c r="K241" s="508"/>
      <c r="L241" s="516"/>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9"/>
        <v>1</v>
      </c>
      <c r="AD241" s="66" t="str">
        <f>IF(AND(MONTH(E241)&lt;='IN-NX'!$P$3,'IN-NX'!$D$7=D241,OR(LEFT(TH!N241,2)="15",LEFT(TH!O241,2)="15")),"x","")</f>
        <v/>
      </c>
      <c r="AE241" s="66" t="str">
        <f>IF(AND(OR(LEFT(TH!N241,2)="15",LEFT(TH!O241,2)="15"),'152-CT'!$J$8=TH!F241),"x","")</f>
        <v/>
      </c>
      <c r="AF241" s="66" t="str">
        <f>IF(AND(OR(LEFT(TH!N241,2)="15",LEFT(TH!O241,2)="15"),'THE KHO'!$E$7=TH!F241),"x","")</f>
        <v/>
      </c>
      <c r="AG241" s="66" t="str">
        <f>IF(AND(N241="1521",MONTH(C241)='BK NL'!$M$11),"x","")</f>
        <v/>
      </c>
    </row>
    <row r="242" spans="1:33" ht="15.75" customHeight="1">
      <c r="A242" s="398" t="str">
        <f>IF(B242&lt;&gt;"",IF(AND(B242&gt;=_TM1,B242&lt;=_TM2,OR(TH!N242="1111",TH!O242="1111")),TH!D242,""),"")</f>
        <v/>
      </c>
      <c r="B242" s="63">
        <f t="shared" ref="B242:B243" si="34">IF(C242&lt;&gt;"",MONTH(C242),"")</f>
        <v>3</v>
      </c>
      <c r="C242" s="64">
        <v>42460</v>
      </c>
      <c r="D242" s="64" t="s">
        <v>903</v>
      </c>
      <c r="E242" s="64">
        <v>42450</v>
      </c>
      <c r="F242" s="67" t="s">
        <v>857</v>
      </c>
      <c r="G242" s="375" t="s">
        <v>859</v>
      </c>
      <c r="H242" s="74" t="s">
        <v>88</v>
      </c>
      <c r="I242" s="515"/>
      <c r="J242" s="515"/>
      <c r="K242" s="507"/>
      <c r="L242" s="515"/>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9"/>
        <v>1</v>
      </c>
      <c r="AD242" s="66" t="str">
        <f>IF(AND(MONTH(E242)&lt;='IN-NX'!$P$3,'IN-NX'!$D$7=D242,OR(LEFT(TH!N242,2)="15",LEFT(TH!O242,2)="15")),"x","")</f>
        <v/>
      </c>
      <c r="AE242" s="66" t="str">
        <f>IF(AND(OR(LEFT(TH!N242,2)="15",LEFT(TH!O242,2)="15"),'152-CT'!$J$8=TH!F242),"x","")</f>
        <v/>
      </c>
      <c r="AF242" s="66" t="str">
        <f>IF(AND(OR(LEFT(TH!N242,2)="15",LEFT(TH!O242,2)="15"),'THE KHO'!$E$7=TH!F242),"x","")</f>
        <v/>
      </c>
      <c r="AG242" s="66" t="str">
        <f>IF(AND(N242="1521",MONTH(C242)='BK NL'!$M$11),"x","")</f>
        <v/>
      </c>
    </row>
    <row r="243" spans="1:33" ht="15.75" customHeight="1">
      <c r="A243" s="398" t="str">
        <f>IF(B243&lt;&gt;"",IF(AND(B243&gt;=_TM1,B243&lt;=_TM2,OR(TH!N243="1111",TH!O243="1111")),TH!D243,""),"")</f>
        <v/>
      </c>
      <c r="B243" s="63">
        <f t="shared" si="34"/>
        <v>3</v>
      </c>
      <c r="C243" s="64">
        <v>42460</v>
      </c>
      <c r="D243" s="64" t="s">
        <v>903</v>
      </c>
      <c r="E243" s="64">
        <v>42450</v>
      </c>
      <c r="F243" s="67" t="s">
        <v>858</v>
      </c>
      <c r="G243" s="375" t="s">
        <v>859</v>
      </c>
      <c r="H243" s="74" t="s">
        <v>88</v>
      </c>
      <c r="I243" s="515"/>
      <c r="J243" s="515"/>
      <c r="K243" s="507"/>
      <c r="L243" s="515"/>
      <c r="M243" s="65">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9"/>
        <v>1</v>
      </c>
      <c r="AD243" s="66" t="str">
        <f>IF(AND(MONTH(E243)&lt;='IN-NX'!$P$3,'IN-NX'!$D$7=D243,OR(LEFT(TH!N243,2)="15",LEFT(TH!O243,2)="15")),"x","")</f>
        <v/>
      </c>
      <c r="AE243" s="66" t="str">
        <f>IF(AND(OR(LEFT(TH!N243,2)="15",LEFT(TH!O243,2)="15"),'152-CT'!$J$8=TH!F243),"x","")</f>
        <v/>
      </c>
      <c r="AF243" s="66" t="str">
        <f>IF(AND(OR(LEFT(TH!N243,2)="15",LEFT(TH!O243,2)="15"),'THE KHO'!$E$7=TH!F243),"x","")</f>
        <v/>
      </c>
      <c r="AG243" s="66" t="str">
        <f>IF(AND(N243="1521",MONTH(C243)='BK NL'!$M$11),"x","")</f>
        <v/>
      </c>
    </row>
    <row r="244" spans="1:33" ht="15.75" customHeight="1">
      <c r="A244" s="398" t="str">
        <f>IF(B244&lt;&gt;"",IF(AND(B244&gt;=_TM1,B244&lt;=_TM2,OR(TH!N244="1111",TH!O244="1111")),TH!D244,""),"")</f>
        <v>C01</v>
      </c>
      <c r="B244" s="63">
        <f>IF(C244&lt;&gt;"",MONTH(C244),"")</f>
        <v>4</v>
      </c>
      <c r="C244" s="64">
        <v>42462</v>
      </c>
      <c r="D244" s="64" t="s">
        <v>42</v>
      </c>
      <c r="E244" s="64">
        <v>42358</v>
      </c>
      <c r="F244" s="67" t="s">
        <v>868</v>
      </c>
      <c r="G244" s="375" t="s">
        <v>884</v>
      </c>
      <c r="H244" s="74" t="s">
        <v>870</v>
      </c>
      <c r="I244" s="515"/>
      <c r="J244" s="515"/>
      <c r="K244" s="507"/>
      <c r="L244" s="515"/>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IF(AND(1&lt;=$B244,$B244&lt;=3),"1",IF(AND(4&lt;=$B244,$B244&lt;=6),"2",IF(AND(7&lt;=$B244,$B244&lt;=9),"3",IF(AND(10&lt;=$B244,$B244&lt;=12),"4",""))))</f>
        <v>2</v>
      </c>
      <c r="AD244" s="66" t="str">
        <f>IF(AND(MONTH(E244)&lt;='IN-NX'!$P$3,'IN-NX'!$D$7=D244,OR(LEFT(TH!N244,2)="15",LEFT(TH!O244,2)="15")),"x","")</f>
        <v/>
      </c>
      <c r="AE244" s="66" t="str">
        <f>IF(AND(OR(LEFT(TH!N244,2)="15",LEFT(TH!O244,2)="15"),'152-CT'!$J$8=TH!F244),"x","")</f>
        <v/>
      </c>
      <c r="AF244" s="66" t="str">
        <f>IF(AND(OR(LEFT(TH!N244,2)="15",LEFT(TH!O244,2)="15"),'THE KHO'!$E$7=TH!F244),"x","")</f>
        <v/>
      </c>
      <c r="AG244" s="66" t="str">
        <f>IF(AND(N244="1521",MONTH(C244)='BK NL'!$M$11),"x","")</f>
        <v/>
      </c>
    </row>
    <row r="245" spans="1:33" ht="15.75" customHeight="1">
      <c r="A245" s="398" t="str">
        <f>IF(B245&lt;&gt;"",IF(AND(B245&gt;=_TM1,B245&lt;=_TM2,OR(TH!N245="1111",TH!O245="1111")),TH!D245,""),"")</f>
        <v>C01</v>
      </c>
      <c r="B245" s="63">
        <f>IF(C245&lt;&gt;"",MONTH(C245),"")</f>
        <v>4</v>
      </c>
      <c r="C245" s="64">
        <v>42462</v>
      </c>
      <c r="D245" s="64" t="s">
        <v>42</v>
      </c>
      <c r="E245" s="64">
        <v>42358</v>
      </c>
      <c r="F245" s="67" t="s">
        <v>869</v>
      </c>
      <c r="G245" s="375" t="s">
        <v>884</v>
      </c>
      <c r="H245" s="74" t="s">
        <v>870</v>
      </c>
      <c r="I245" s="515"/>
      <c r="J245" s="515"/>
      <c r="K245" s="507"/>
      <c r="L245" s="515"/>
      <c r="M245" s="65">
        <v>1008700</v>
      </c>
      <c r="N245" s="66" t="s">
        <v>10</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IF(AND(1&lt;=$B245,$B245&lt;=3),"1",IF(AND(4&lt;=$B245,$B245&lt;=6),"2",IF(AND(7&lt;=$B245,$B245&lt;=9),"3",IF(AND(10&lt;=$B245,$B245&lt;=12),"4",""))))</f>
        <v>2</v>
      </c>
      <c r="AD245" s="66" t="str">
        <f>IF(AND(MONTH(E245)&lt;='IN-NX'!$P$3,'IN-NX'!$D$7=D245,OR(LEFT(TH!N245,2)="15",LEFT(TH!O245,2)="15")),"x","")</f>
        <v/>
      </c>
      <c r="AE245" s="66" t="str">
        <f>IF(AND(OR(LEFT(TH!N245,2)="15",LEFT(TH!O245,2)="15"),'152-CT'!$J$8=TH!F245),"x","")</f>
        <v/>
      </c>
      <c r="AF245" s="66" t="str">
        <f>IF(AND(OR(LEFT(TH!N245,2)="15",LEFT(TH!O245,2)="15"),'THE KHO'!$E$7=TH!F245),"x","")</f>
        <v/>
      </c>
      <c r="AG245" s="66" t="str">
        <f>IF(AND(N245="1521",MONTH(C245)='BK NL'!$M$11),"x","")</f>
        <v/>
      </c>
    </row>
    <row r="246" spans="1:33" ht="15.75" customHeight="1">
      <c r="A246" s="398" t="str">
        <f>IF(B246&lt;&gt;"",IF(AND(B246&gt;=_TM1,B246&lt;=_TM2,OR(TH!N246="1111",TH!O246="1111")),TH!D246,""),"")</f>
        <v>C02</v>
      </c>
      <c r="B246" s="63">
        <f>IF(C246&lt;&gt;"",MONTH(C246),"")</f>
        <v>4</v>
      </c>
      <c r="C246" s="64">
        <v>42462</v>
      </c>
      <c r="D246" s="64" t="s">
        <v>54</v>
      </c>
      <c r="E246" s="64">
        <v>42361</v>
      </c>
      <c r="F246" s="67" t="s">
        <v>961</v>
      </c>
      <c r="G246" s="375" t="s">
        <v>963</v>
      </c>
      <c r="H246" s="74" t="s">
        <v>964</v>
      </c>
      <c r="I246" s="515"/>
      <c r="J246" s="515"/>
      <c r="K246" s="507"/>
      <c r="L246" s="515"/>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IF(AND(1&lt;=$B246,$B246&lt;=3),"1",IF(AND(4&lt;=$B246,$B246&lt;=6),"2",IF(AND(7&lt;=$B246,$B246&lt;=9),"3",IF(AND(10&lt;=$B246,$B246&lt;=12),"4",""))))</f>
        <v>2</v>
      </c>
      <c r="AD246" s="66" t="str">
        <f>IF(AND(MONTH(E246)&lt;='IN-NX'!$P$3,'IN-NX'!$D$7=D246,OR(LEFT(TH!N246,2)="15",LEFT(TH!O246,2)="15")),"x","")</f>
        <v/>
      </c>
      <c r="AE246" s="66" t="str">
        <f>IF(AND(OR(LEFT(TH!N246,2)="15",LEFT(TH!O246,2)="15"),'152-CT'!$J$8=TH!F246),"x","")</f>
        <v/>
      </c>
      <c r="AF246" s="66" t="str">
        <f>IF(AND(OR(LEFT(TH!N246,2)="15",LEFT(TH!O246,2)="15"),'THE KHO'!$E$7=TH!F246),"x","")</f>
        <v/>
      </c>
      <c r="AG246" s="66" t="str">
        <f>IF(AND(N246="1521",MONTH(C246)='BK NL'!$M$11),"x","")</f>
        <v/>
      </c>
    </row>
    <row r="247" spans="1:33" ht="15.75" customHeight="1">
      <c r="A247" s="398" t="str">
        <f>IF(B247&lt;&gt;"",IF(AND(B247&gt;=_TM1,B247&lt;=_TM2,OR(TH!N247="1111",TH!O247="1111")),TH!D247,""),"")</f>
        <v>C02</v>
      </c>
      <c r="B247" s="63">
        <f>IF(C247&lt;&gt;"",MONTH(C247),"")</f>
        <v>4</v>
      </c>
      <c r="C247" s="64">
        <v>42462</v>
      </c>
      <c r="D247" s="64" t="s">
        <v>54</v>
      </c>
      <c r="E247" s="64">
        <v>42361</v>
      </c>
      <c r="F247" s="67" t="s">
        <v>962</v>
      </c>
      <c r="G247" s="375" t="s">
        <v>963</v>
      </c>
      <c r="H247" s="74" t="s">
        <v>964</v>
      </c>
      <c r="I247" s="515"/>
      <c r="J247" s="515"/>
      <c r="K247" s="507"/>
      <c r="L247" s="515"/>
      <c r="M247" s="65">
        <v>1673000</v>
      </c>
      <c r="N247" s="66" t="s">
        <v>10</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IF(AND(1&lt;=$B247,$B247&lt;=3),"1",IF(AND(4&lt;=$B247,$B247&lt;=6),"2",IF(AND(7&lt;=$B247,$B247&lt;=9),"3",IF(AND(10&lt;=$B247,$B247&lt;=12),"4",""))))</f>
        <v>2</v>
      </c>
      <c r="AD247" s="66" t="str">
        <f>IF(AND(MONTH(E247)&lt;='IN-NX'!$P$3,'IN-NX'!$D$7=D247,OR(LEFT(TH!N247,2)="15",LEFT(TH!O247,2)="15")),"x","")</f>
        <v/>
      </c>
      <c r="AE247" s="66" t="str">
        <f>IF(AND(OR(LEFT(TH!N247,2)="15",LEFT(TH!O247,2)="15"),'152-CT'!$J$8=TH!F247),"x","")</f>
        <v/>
      </c>
      <c r="AF247" s="66" t="str">
        <f>IF(AND(OR(LEFT(TH!N247,2)="15",LEFT(TH!O247,2)="15"),'THE KHO'!$E$7=TH!F247),"x","")</f>
        <v/>
      </c>
      <c r="AG247" s="66" t="str">
        <f>IF(AND(N247="1521",MONTH(C247)='BK NL'!$M$11),"x","")</f>
        <v/>
      </c>
    </row>
    <row r="248" spans="1:33" ht="15.75" customHeight="1">
      <c r="A248" s="398" t="str">
        <f>IF(B248&lt;&gt;"",IF(AND(B248&gt;=_TM1,B248&lt;=_TM2,OR(TH!N248="1111",TH!O248="1111")),TH!D248,""),"")</f>
        <v>C03</v>
      </c>
      <c r="B248" s="63">
        <f>IF(C248&lt;&gt;"",MONTH(C248),"")</f>
        <v>4</v>
      </c>
      <c r="C248" s="64">
        <v>42462</v>
      </c>
      <c r="D248" s="64" t="s">
        <v>55</v>
      </c>
      <c r="E248" s="64">
        <v>42363</v>
      </c>
      <c r="F248" s="67" t="s">
        <v>965</v>
      </c>
      <c r="G248" s="375" t="s">
        <v>967</v>
      </c>
      <c r="H248" s="74" t="s">
        <v>964</v>
      </c>
      <c r="I248" s="515"/>
      <c r="J248" s="515"/>
      <c r="K248" s="507"/>
      <c r="L248" s="515"/>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IF(AND(1&lt;=$B248,$B248&lt;=3),"1",IF(AND(4&lt;=$B248,$B248&lt;=6),"2",IF(AND(7&lt;=$B248,$B248&lt;=9),"3",IF(AND(10&lt;=$B248,$B248&lt;=12),"4",""))))</f>
        <v>2</v>
      </c>
      <c r="AD248" s="66" t="str">
        <f>IF(AND(MONTH(E248)&lt;='IN-NX'!$P$3,'IN-NX'!$D$7=D248,OR(LEFT(TH!N248,2)="15",LEFT(TH!O248,2)="15")),"x","")</f>
        <v/>
      </c>
      <c r="AE248" s="66" t="str">
        <f>IF(AND(OR(LEFT(TH!N248,2)="15",LEFT(TH!O248,2)="15"),'152-CT'!$J$8=TH!F248),"x","")</f>
        <v/>
      </c>
      <c r="AF248" s="66" t="str">
        <f>IF(AND(OR(LEFT(TH!N248,2)="15",LEFT(TH!O248,2)="15"),'THE KHO'!$E$7=TH!F248),"x","")</f>
        <v/>
      </c>
      <c r="AG248" s="66" t="str">
        <f>IF(AND(N248="1521",MONTH(C248)='BK NL'!$M$11),"x","")</f>
        <v/>
      </c>
    </row>
    <row r="249" spans="1:33" ht="15.75" customHeight="1">
      <c r="A249" s="398" t="str">
        <f>IF(B249&lt;&gt;"",IF(AND(B249&gt;=_TM1,B249&lt;=_TM2,OR(TH!N249="1111",TH!O249="1111")),TH!D249,""),"")</f>
        <v>C03</v>
      </c>
      <c r="B249" s="63">
        <f>IF(C249&lt;&gt;"",MONTH(C249),"")</f>
        <v>4</v>
      </c>
      <c r="C249" s="64">
        <v>42462</v>
      </c>
      <c r="D249" s="64" t="s">
        <v>55</v>
      </c>
      <c r="E249" s="64">
        <v>42363</v>
      </c>
      <c r="F249" s="67" t="s">
        <v>966</v>
      </c>
      <c r="G249" s="375" t="s">
        <v>967</v>
      </c>
      <c r="H249" s="74" t="s">
        <v>964</v>
      </c>
      <c r="I249" s="515"/>
      <c r="J249" s="515"/>
      <c r="K249" s="507"/>
      <c r="L249" s="515"/>
      <c r="M249" s="65">
        <v>1800000</v>
      </c>
      <c r="N249" s="66" t="s">
        <v>10</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IF(AND(1&lt;=$B249,$B249&lt;=3),"1",IF(AND(4&lt;=$B249,$B249&lt;=6),"2",IF(AND(7&lt;=$B249,$B249&lt;=9),"3",IF(AND(10&lt;=$B249,$B249&lt;=12),"4",""))))</f>
        <v>2</v>
      </c>
      <c r="AD249" s="66" t="str">
        <f>IF(AND(MONTH(E249)&lt;='IN-NX'!$P$3,'IN-NX'!$D$7=D249,OR(LEFT(TH!N249,2)="15",LEFT(TH!O249,2)="15")),"x","")</f>
        <v/>
      </c>
      <c r="AE249" s="66" t="str">
        <f>IF(AND(OR(LEFT(TH!N249,2)="15",LEFT(TH!O249,2)="15"),'152-CT'!$J$8=TH!F249),"x","")</f>
        <v/>
      </c>
      <c r="AF249" s="66" t="str">
        <f>IF(AND(OR(LEFT(TH!N249,2)="15",LEFT(TH!O249,2)="15"),'THE KHO'!$E$7=TH!F249),"x","")</f>
        <v/>
      </c>
      <c r="AG249" s="66" t="str">
        <f>IF(AND(N249="1521",MONTH(C249)='BK NL'!$M$11),"x","")</f>
        <v/>
      </c>
    </row>
    <row r="250" spans="1:33" ht="15.75" customHeight="1">
      <c r="A250" s="398" t="str">
        <f>IF(B250&lt;&gt;"",IF(AND(B250&gt;=_TM1,B250&lt;=_TM2,OR(TH!N250="1111",TH!O250="1111")),TH!D250,""),"")</f>
        <v>C04</v>
      </c>
      <c r="B250" s="63">
        <f>IF(C250&lt;&gt;"",MONTH(C250),"")</f>
        <v>4</v>
      </c>
      <c r="C250" s="64">
        <v>42462</v>
      </c>
      <c r="D250" s="64" t="s">
        <v>41</v>
      </c>
      <c r="E250" s="64">
        <v>42377</v>
      </c>
      <c r="F250" s="67" t="s">
        <v>871</v>
      </c>
      <c r="G250" s="375" t="s">
        <v>883</v>
      </c>
      <c r="H250" s="405" t="s">
        <v>873</v>
      </c>
      <c r="I250" s="516"/>
      <c r="J250" s="516"/>
      <c r="K250" s="508"/>
      <c r="L250" s="516"/>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IF(AND(1&lt;=$B250,$B250&lt;=3),"1",IF(AND(4&lt;=$B250,$B250&lt;=6),"2",IF(AND(7&lt;=$B250,$B250&lt;=9),"3",IF(AND(10&lt;=$B250,$B250&lt;=12),"4",""))))</f>
        <v>2</v>
      </c>
      <c r="AD250" s="66" t="str">
        <f>IF(AND(MONTH(E250)&lt;='IN-NX'!$P$3,'IN-NX'!$D$7=D250,OR(LEFT(TH!N250,2)="15",LEFT(TH!O250,2)="15")),"x","")</f>
        <v/>
      </c>
      <c r="AE250" s="66" t="str">
        <f>IF(AND(OR(LEFT(TH!N250,2)="15",LEFT(TH!O250,2)="15"),'152-CT'!$J$8=TH!F250),"x","")</f>
        <v/>
      </c>
      <c r="AF250" s="66" t="str">
        <f>IF(AND(OR(LEFT(TH!N250,2)="15",LEFT(TH!O250,2)="15"),'THE KHO'!$E$7=TH!F250),"x","")</f>
        <v/>
      </c>
      <c r="AG250" s="66" t="str">
        <f>IF(AND(N250="1521",MONTH(C250)='BK NL'!$M$11),"x","")</f>
        <v/>
      </c>
    </row>
    <row r="251" spans="1:33" ht="15.75" customHeight="1">
      <c r="A251" s="398" t="str">
        <f>IF(B251&lt;&gt;"",IF(AND(B251&gt;=_TM1,B251&lt;=_TM2,OR(TH!N251="1111",TH!O251="1111")),TH!D251,""),"")</f>
        <v>C04</v>
      </c>
      <c r="B251" s="63">
        <f>IF(C251&lt;&gt;"",MONTH(C251),"")</f>
        <v>4</v>
      </c>
      <c r="C251" s="64">
        <v>42462</v>
      </c>
      <c r="D251" s="64" t="s">
        <v>41</v>
      </c>
      <c r="E251" s="64">
        <v>42377</v>
      </c>
      <c r="F251" s="67" t="s">
        <v>872</v>
      </c>
      <c r="G251" s="375" t="s">
        <v>883</v>
      </c>
      <c r="H251" s="405" t="s">
        <v>873</v>
      </c>
      <c r="I251" s="516"/>
      <c r="J251" s="516"/>
      <c r="K251" s="508"/>
      <c r="L251" s="516"/>
      <c r="M251" s="65">
        <v>1779222</v>
      </c>
      <c r="N251" s="66" t="s">
        <v>10</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IF(AND(1&lt;=$B251,$B251&lt;=3),"1",IF(AND(4&lt;=$B251,$B251&lt;=6),"2",IF(AND(7&lt;=$B251,$B251&lt;=9),"3",IF(AND(10&lt;=$B251,$B251&lt;=12),"4",""))))</f>
        <v>2</v>
      </c>
      <c r="AD251" s="66" t="str">
        <f>IF(AND(MONTH(E251)&lt;='IN-NX'!$P$3,'IN-NX'!$D$7=D251,OR(LEFT(TH!N251,2)="15",LEFT(TH!O251,2)="15")),"x","")</f>
        <v/>
      </c>
      <c r="AE251" s="66" t="str">
        <f>IF(AND(OR(LEFT(TH!N251,2)="15",LEFT(TH!O251,2)="15"),'152-CT'!$J$8=TH!F251),"x","")</f>
        <v/>
      </c>
      <c r="AF251" s="66" t="str">
        <f>IF(AND(OR(LEFT(TH!N251,2)="15",LEFT(TH!O251,2)="15"),'THE KHO'!$E$7=TH!F251),"x","")</f>
        <v/>
      </c>
      <c r="AG251" s="66" t="str">
        <f>IF(AND(N251="1521",MONTH(C251)='BK NL'!$M$11),"x","")</f>
        <v/>
      </c>
    </row>
    <row r="252" spans="1:33" ht="15.75" customHeight="1">
      <c r="A252" s="398" t="str">
        <f>IF(B252&lt;&gt;"",IF(AND(B252&gt;=_TM1,B252&lt;=_TM2,OR(TH!N252="1111",TH!O252="1111")),TH!D252,""),"")</f>
        <v>C05</v>
      </c>
      <c r="B252" s="63">
        <f>IF(C252&lt;&gt;"",MONTH(C252),"")</f>
        <v>4</v>
      </c>
      <c r="C252" s="64">
        <v>42462</v>
      </c>
      <c r="D252" s="64" t="s">
        <v>40</v>
      </c>
      <c r="E252" s="64">
        <v>42378</v>
      </c>
      <c r="F252" s="67" t="s">
        <v>874</v>
      </c>
      <c r="G252" s="375" t="s">
        <v>882</v>
      </c>
      <c r="H252" s="405" t="s">
        <v>873</v>
      </c>
      <c r="I252" s="516"/>
      <c r="J252" s="516"/>
      <c r="K252" s="508"/>
      <c r="L252" s="516"/>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IF(AND(1&lt;=$B252,$B252&lt;=3),"1",IF(AND(4&lt;=$B252,$B252&lt;=6),"2",IF(AND(7&lt;=$B252,$B252&lt;=9),"3",IF(AND(10&lt;=$B252,$B252&lt;=12),"4",""))))</f>
        <v>2</v>
      </c>
      <c r="AD252" s="66" t="str">
        <f>IF(AND(MONTH(E252)&lt;='IN-NX'!$P$3,'IN-NX'!$D$7=D252,OR(LEFT(TH!N252,2)="15",LEFT(TH!O252,2)="15")),"x","")</f>
        <v/>
      </c>
      <c r="AE252" s="66" t="str">
        <f>IF(AND(OR(LEFT(TH!N252,2)="15",LEFT(TH!O252,2)="15"),'152-CT'!$J$8=TH!F252),"x","")</f>
        <v/>
      </c>
      <c r="AF252" s="66" t="str">
        <f>IF(AND(OR(LEFT(TH!N252,2)="15",LEFT(TH!O252,2)="15"),'THE KHO'!$E$7=TH!F252),"x","")</f>
        <v/>
      </c>
      <c r="AG252" s="66" t="str">
        <f>IF(AND(N252="1521",MONTH(C252)='BK NL'!$M$11),"x","")</f>
        <v/>
      </c>
    </row>
    <row r="253" spans="1:33" ht="15.75" customHeight="1">
      <c r="A253" s="398" t="str">
        <f>IF(B253&lt;&gt;"",IF(AND(B253&gt;=_TM1,B253&lt;=_TM2,OR(TH!N253="1111",TH!O253="1111")),TH!D253,""),"")</f>
        <v>C05</v>
      </c>
      <c r="B253" s="63">
        <f>IF(C253&lt;&gt;"",MONTH(C253),"")</f>
        <v>4</v>
      </c>
      <c r="C253" s="64">
        <v>42462</v>
      </c>
      <c r="D253" s="64" t="s">
        <v>40</v>
      </c>
      <c r="E253" s="64">
        <v>42378</v>
      </c>
      <c r="F253" s="67" t="s">
        <v>875</v>
      </c>
      <c r="G253" s="375" t="s">
        <v>882</v>
      </c>
      <c r="H253" s="405" t="s">
        <v>873</v>
      </c>
      <c r="I253" s="515"/>
      <c r="J253" s="515"/>
      <c r="K253" s="507"/>
      <c r="L253" s="515"/>
      <c r="M253" s="65">
        <v>1734789</v>
      </c>
      <c r="N253" s="66" t="s">
        <v>10</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IF(AND(1&lt;=$B253,$B253&lt;=3),"1",IF(AND(4&lt;=$B253,$B253&lt;=6),"2",IF(AND(7&lt;=$B253,$B253&lt;=9),"3",IF(AND(10&lt;=$B253,$B253&lt;=12),"4",""))))</f>
        <v>2</v>
      </c>
      <c r="AD253" s="66" t="str">
        <f>IF(AND(MONTH(E253)&lt;='IN-NX'!$P$3,'IN-NX'!$D$7=D253,OR(LEFT(TH!N253,2)="15",LEFT(TH!O253,2)="15")),"x","")</f>
        <v/>
      </c>
      <c r="AE253" s="66" t="str">
        <f>IF(AND(OR(LEFT(TH!N253,2)="15",LEFT(TH!O253,2)="15"),'152-CT'!$J$8=TH!F253),"x","")</f>
        <v/>
      </c>
      <c r="AF253" s="66" t="str">
        <f>IF(AND(OR(LEFT(TH!N253,2)="15",LEFT(TH!O253,2)="15"),'THE KHO'!$E$7=TH!F253),"x","")</f>
        <v/>
      </c>
      <c r="AG253" s="66" t="str">
        <f>IF(AND(N253="1521",MONTH(C253)='BK NL'!$M$11),"x","")</f>
        <v/>
      </c>
    </row>
    <row r="254" spans="1:33" ht="15.75" customHeight="1">
      <c r="A254" s="398" t="str">
        <f>IF(B254&lt;&gt;"",IF(AND(B254&gt;=_TM1,B254&lt;=_TM2,OR(TH!N254="1111",TH!O254="1111")),TH!D254,""),"")</f>
        <v>C06</v>
      </c>
      <c r="B254" s="63">
        <f>IF(C254&lt;&gt;"",MONTH(C254),"")</f>
        <v>4</v>
      </c>
      <c r="C254" s="64">
        <v>42462</v>
      </c>
      <c r="D254" s="64" t="s">
        <v>64</v>
      </c>
      <c r="E254" s="64">
        <v>42379</v>
      </c>
      <c r="F254" s="67" t="s">
        <v>871</v>
      </c>
      <c r="G254" s="375" t="s">
        <v>877</v>
      </c>
      <c r="H254" s="74" t="s">
        <v>876</v>
      </c>
      <c r="I254" s="515"/>
      <c r="J254" s="515"/>
      <c r="K254" s="507"/>
      <c r="L254" s="515"/>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IF(AND(1&lt;=$B254,$B254&lt;=3),"1",IF(AND(4&lt;=$B254,$B254&lt;=6),"2",IF(AND(7&lt;=$B254,$B254&lt;=9),"3",IF(AND(10&lt;=$B254,$B254&lt;=12),"4",""))))</f>
        <v>2</v>
      </c>
      <c r="AD254" s="66" t="str">
        <f>IF(AND(MONTH(E254)&lt;='IN-NX'!$P$3,'IN-NX'!$D$7=D254,OR(LEFT(TH!N254,2)="15",LEFT(TH!O254,2)="15")),"x","")</f>
        <v/>
      </c>
      <c r="AE254" s="66" t="str">
        <f>IF(AND(OR(LEFT(TH!N254,2)="15",LEFT(TH!O254,2)="15"),'152-CT'!$J$8=TH!F254),"x","")</f>
        <v/>
      </c>
      <c r="AF254" s="66" t="str">
        <f>IF(AND(OR(LEFT(TH!N254,2)="15",LEFT(TH!O254,2)="15"),'THE KHO'!$E$7=TH!F254),"x","")</f>
        <v/>
      </c>
      <c r="AG254" s="66" t="str">
        <f>IF(AND(N254="1521",MONTH(C254)='BK NL'!$M$11),"x","")</f>
        <v/>
      </c>
    </row>
    <row r="255" spans="1:33" ht="15.75" customHeight="1">
      <c r="A255" s="398" t="str">
        <f>IF(B255&lt;&gt;"",IF(AND(B255&gt;=_TM1,B255&lt;=_TM2,OR(TH!N255="1111",TH!O255="1111")),TH!D255,""),"")</f>
        <v>C06</v>
      </c>
      <c r="B255" s="63">
        <f>IF(C255&lt;&gt;"",MONTH(C255),"")</f>
        <v>4</v>
      </c>
      <c r="C255" s="64">
        <v>42462</v>
      </c>
      <c r="D255" s="64" t="s">
        <v>64</v>
      </c>
      <c r="E255" s="64">
        <v>42379</v>
      </c>
      <c r="F255" s="67" t="s">
        <v>872</v>
      </c>
      <c r="G255" s="375" t="s">
        <v>877</v>
      </c>
      <c r="H255" s="74" t="s">
        <v>876</v>
      </c>
      <c r="I255" s="516"/>
      <c r="J255" s="516"/>
      <c r="K255" s="508"/>
      <c r="L255" s="516"/>
      <c r="M255" s="65">
        <v>1784000</v>
      </c>
      <c r="N255" s="66" t="s">
        <v>10</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IF(AND(1&lt;=$B255,$B255&lt;=3),"1",IF(AND(4&lt;=$B255,$B255&lt;=6),"2",IF(AND(7&lt;=$B255,$B255&lt;=9),"3",IF(AND(10&lt;=$B255,$B255&lt;=12),"4",""))))</f>
        <v>2</v>
      </c>
      <c r="AD255" s="66" t="str">
        <f>IF(AND(MONTH(E255)&lt;='IN-NX'!$P$3,'IN-NX'!$D$7=D255,OR(LEFT(TH!N255,2)="15",LEFT(TH!O255,2)="15")),"x","")</f>
        <v/>
      </c>
      <c r="AE255" s="66" t="str">
        <f>IF(AND(OR(LEFT(TH!N255,2)="15",LEFT(TH!O255,2)="15"),'152-CT'!$J$8=TH!F255),"x","")</f>
        <v/>
      </c>
      <c r="AF255" s="66" t="str">
        <f>IF(AND(OR(LEFT(TH!N255,2)="15",LEFT(TH!O255,2)="15"),'THE KHO'!$E$7=TH!F255),"x","")</f>
        <v/>
      </c>
      <c r="AG255" s="66" t="str">
        <f>IF(AND(N255="1521",MONTH(C255)='BK NL'!$M$11),"x","")</f>
        <v/>
      </c>
    </row>
    <row r="256" spans="1:33" ht="15.75" customHeight="1">
      <c r="A256" s="398" t="str">
        <f>IF(B256&lt;&gt;"",IF(AND(B256&gt;=_TM1,B256&lt;=_TM2,OR(TH!N256="1111",TH!O256="1111")),TH!D256,""),"")</f>
        <v>C07</v>
      </c>
      <c r="B256" s="63">
        <f>IF(C256&lt;&gt;"",MONTH(C256),"")</f>
        <v>4</v>
      </c>
      <c r="C256" s="64">
        <v>42462</v>
      </c>
      <c r="D256" s="64" t="s">
        <v>65</v>
      </c>
      <c r="E256" s="64">
        <v>42388</v>
      </c>
      <c r="F256" s="67" t="s">
        <v>878</v>
      </c>
      <c r="G256" s="375" t="s">
        <v>880</v>
      </c>
      <c r="H256" s="405" t="s">
        <v>881</v>
      </c>
      <c r="I256" s="516"/>
      <c r="J256" s="516"/>
      <c r="K256" s="508"/>
      <c r="L256" s="516"/>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IF(AND(1&lt;=$B256,$B256&lt;=3),"1",IF(AND(4&lt;=$B256,$B256&lt;=6),"2",IF(AND(7&lt;=$B256,$B256&lt;=9),"3",IF(AND(10&lt;=$B256,$B256&lt;=12),"4",""))))</f>
        <v>2</v>
      </c>
      <c r="AD256" s="66" t="str">
        <f>IF(AND(MONTH(E256)&lt;='IN-NX'!$P$3,'IN-NX'!$D$7=D256,OR(LEFT(TH!N256,2)="15",LEFT(TH!O256,2)="15")),"x","")</f>
        <v/>
      </c>
      <c r="AE256" s="66" t="str">
        <f>IF(AND(OR(LEFT(TH!N256,2)="15",LEFT(TH!O256,2)="15"),'152-CT'!$J$8=TH!F256),"x","")</f>
        <v/>
      </c>
      <c r="AF256" s="66" t="str">
        <f>IF(AND(OR(LEFT(TH!N256,2)="15",LEFT(TH!O256,2)="15"),'THE KHO'!$E$7=TH!F256),"x","")</f>
        <v/>
      </c>
      <c r="AG256" s="66" t="str">
        <f>IF(AND(N256="1521",MONTH(C256)='BK NL'!$M$11),"x","")</f>
        <v/>
      </c>
    </row>
    <row r="257" spans="1:33" ht="15.75" customHeight="1">
      <c r="A257" s="398" t="str">
        <f>IF(B257&lt;&gt;"",IF(AND(B257&gt;=_TM1,B257&lt;=_TM2,OR(TH!N257="1111",TH!O257="1111")),TH!D257,""),"")</f>
        <v>C07</v>
      </c>
      <c r="B257" s="63">
        <f>IF(C257&lt;&gt;"",MONTH(C257),"")</f>
        <v>4</v>
      </c>
      <c r="C257" s="64">
        <v>42462</v>
      </c>
      <c r="D257" s="64" t="s">
        <v>65</v>
      </c>
      <c r="E257" s="64">
        <v>42388</v>
      </c>
      <c r="F257" s="67" t="s">
        <v>879</v>
      </c>
      <c r="G257" s="375" t="s">
        <v>880</v>
      </c>
      <c r="H257" s="405" t="s">
        <v>881</v>
      </c>
      <c r="I257" s="516"/>
      <c r="J257" s="516"/>
      <c r="K257" s="508"/>
      <c r="L257" s="516"/>
      <c r="M257" s="65">
        <v>1626364</v>
      </c>
      <c r="N257" s="66" t="s">
        <v>10</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IF(AND(1&lt;=$B257,$B257&lt;=3),"1",IF(AND(4&lt;=$B257,$B257&lt;=6),"2",IF(AND(7&lt;=$B257,$B257&lt;=9),"3",IF(AND(10&lt;=$B257,$B257&lt;=12),"4",""))))</f>
        <v>2</v>
      </c>
      <c r="AD257" s="66" t="str">
        <f>IF(AND(MONTH(E257)&lt;='IN-NX'!$P$3,'IN-NX'!$D$7=D257,OR(LEFT(TH!N257,2)="15",LEFT(TH!O257,2)="15")),"x","")</f>
        <v/>
      </c>
      <c r="AE257" s="66" t="str">
        <f>IF(AND(OR(LEFT(TH!N257,2)="15",LEFT(TH!O257,2)="15"),'152-CT'!$J$8=TH!F257),"x","")</f>
        <v/>
      </c>
      <c r="AF257" s="66" t="str">
        <f>IF(AND(OR(LEFT(TH!N257,2)="15",LEFT(TH!O257,2)="15"),'THE KHO'!$E$7=TH!F257),"x","")</f>
        <v/>
      </c>
      <c r="AG257" s="66" t="str">
        <f>IF(AND(N257="1521",MONTH(C257)='BK NL'!$M$11),"x","")</f>
        <v/>
      </c>
    </row>
    <row r="258" spans="1:33" ht="15.75" customHeight="1">
      <c r="A258" s="398" t="str">
        <f>IF(B258&lt;&gt;"",IF(AND(B258&gt;=_TM1,B258&lt;=_TM2,OR(TH!N258="1111",TH!O258="1111")),TH!D258,""),"")</f>
        <v>C08</v>
      </c>
      <c r="B258" s="63">
        <f>IF(C258&lt;&gt;"",MONTH(C258),"")</f>
        <v>4</v>
      </c>
      <c r="C258" s="64">
        <v>42462</v>
      </c>
      <c r="D258" s="64" t="s">
        <v>66</v>
      </c>
      <c r="E258" s="64">
        <f>C258</f>
        <v>42462</v>
      </c>
      <c r="F258" s="67" t="s">
        <v>408</v>
      </c>
      <c r="G258" s="375" t="s">
        <v>856</v>
      </c>
      <c r="H258" s="405" t="s">
        <v>327</v>
      </c>
      <c r="I258" s="516"/>
      <c r="J258" s="516"/>
      <c r="K258" s="508"/>
      <c r="L258" s="516"/>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IF(AND(1&lt;=$B258,$B258&lt;=3),"1",IF(AND(4&lt;=$B258,$B258&lt;=6),"2",IF(AND(7&lt;=$B258,$B258&lt;=9),"3",IF(AND(10&lt;=$B258,$B258&lt;=12),"4",""))))</f>
        <v>2</v>
      </c>
      <c r="AD258" s="66" t="str">
        <f>IF(AND(MONTH(E258)&lt;='IN-NX'!$P$3,'IN-NX'!$D$7=D258,OR(LEFT(TH!N258,2)="15",LEFT(TH!O258,2)="15")),"x","")</f>
        <v/>
      </c>
      <c r="AE258" s="66" t="str">
        <f>IF(AND(OR(LEFT(TH!N258,2)="15",LEFT(TH!O258,2)="15"),'152-CT'!$J$8=TH!F258),"x","")</f>
        <v/>
      </c>
      <c r="AF258" s="66" t="str">
        <f>IF(AND(OR(LEFT(TH!N258,2)="15",LEFT(TH!O258,2)="15"),'THE KHO'!$E$7=TH!F258),"x","")</f>
        <v/>
      </c>
      <c r="AG258" s="66" t="str">
        <f>IF(AND(N258="1521",MONTH(C258)='BK NL'!$M$11),"x","")</f>
        <v/>
      </c>
    </row>
    <row r="259" spans="1:33" ht="15.75" customHeight="1">
      <c r="A259" s="398" t="str">
        <f>IF(B259&lt;&gt;"",IF(AND(B259&gt;=_TM1,B259&lt;=_TM2,OR(TH!N259="1111",TH!O259="1111")),TH!D259,""),"")</f>
        <v>C09</v>
      </c>
      <c r="B259" s="63">
        <f>IF(C259&lt;&gt;"",MONTH(C259),"")</f>
        <v>4</v>
      </c>
      <c r="C259" s="64">
        <v>42462</v>
      </c>
      <c r="D259" s="64" t="s">
        <v>71</v>
      </c>
      <c r="E259" s="64">
        <f>C259</f>
        <v>42462</v>
      </c>
      <c r="F259" s="67" t="s">
        <v>864</v>
      </c>
      <c r="G259" s="375"/>
      <c r="H259" s="74" t="s">
        <v>183</v>
      </c>
      <c r="I259" s="515"/>
      <c r="J259" s="515"/>
      <c r="K259" s="507"/>
      <c r="L259" s="515"/>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IF(AND(1&lt;=$B259,$B259&lt;=3),"1",IF(AND(4&lt;=$B259,$B259&lt;=6),"2",IF(AND(7&lt;=$B259,$B259&lt;=9),"3",IF(AND(10&lt;=$B259,$B259&lt;=12),"4",""))))</f>
        <v>2</v>
      </c>
      <c r="AD259" s="66" t="str">
        <f>IF(AND(MONTH(E259)&lt;='IN-NX'!$P$3,'IN-NX'!$D$7=D259,OR(LEFT(TH!N259,2)="15",LEFT(TH!O259,2)="15")),"x","")</f>
        <v/>
      </c>
      <c r="AE259" s="66" t="str">
        <f>IF(AND(OR(LEFT(TH!N259,2)="15",LEFT(TH!O259,2)="15"),'152-CT'!$J$8=TH!F259),"x","")</f>
        <v/>
      </c>
      <c r="AF259" s="66" t="str">
        <f>IF(AND(OR(LEFT(TH!N259,2)="15",LEFT(TH!O259,2)="15"),'THE KHO'!$E$7=TH!F259),"x","")</f>
        <v/>
      </c>
      <c r="AG259" s="66" t="str">
        <f>IF(AND(N259="1521",MONTH(C259)='BK NL'!$M$11),"x","")</f>
        <v/>
      </c>
    </row>
    <row r="260" spans="1:33" ht="15.75" customHeight="1">
      <c r="A260" s="398" t="str">
        <f>IF(B260&lt;&gt;"",IF(AND(B260&gt;=_TM1,B260&lt;=_TM2,OR(TH!N260="1111",TH!O260="1111")),TH!D260,""),"")</f>
        <v>C09</v>
      </c>
      <c r="B260" s="63">
        <f>IF(C260&lt;&gt;"",MONTH(C260),"")</f>
        <v>4</v>
      </c>
      <c r="C260" s="64">
        <v>42462</v>
      </c>
      <c r="D260" s="64" t="s">
        <v>71</v>
      </c>
      <c r="E260" s="64">
        <f>C260</f>
        <v>42462</v>
      </c>
      <c r="F260" s="67" t="s">
        <v>865</v>
      </c>
      <c r="G260" s="375"/>
      <c r="H260" s="74" t="s">
        <v>183</v>
      </c>
      <c r="I260" s="515"/>
      <c r="J260" s="515"/>
      <c r="K260" s="507"/>
      <c r="L260" s="515"/>
      <c r="M260" s="65">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IF(AND(1&lt;=$B260,$B260&lt;=3),"1",IF(AND(4&lt;=$B260,$B260&lt;=6),"2",IF(AND(7&lt;=$B260,$B260&lt;=9),"3",IF(AND(10&lt;=$B260,$B260&lt;=12),"4",""))))</f>
        <v>2</v>
      </c>
      <c r="AD260" s="66" t="str">
        <f>IF(AND(MONTH(E260)&lt;='IN-NX'!$P$3,'IN-NX'!$D$7=D260,OR(LEFT(TH!N260,2)="15",LEFT(TH!O260,2)="15")),"x","")</f>
        <v/>
      </c>
      <c r="AE260" s="66" t="str">
        <f>IF(AND(OR(LEFT(TH!N260,2)="15",LEFT(TH!O260,2)="15"),'152-CT'!$J$8=TH!F260),"x","")</f>
        <v/>
      </c>
      <c r="AF260" s="66" t="str">
        <f>IF(AND(OR(LEFT(TH!N260,2)="15",LEFT(TH!O260,2)="15"),'THE KHO'!$E$7=TH!F260),"x","")</f>
        <v/>
      </c>
      <c r="AG260" s="66" t="str">
        <f>IF(AND(N260="1521",MONTH(C260)='BK NL'!$M$11),"x","")</f>
        <v/>
      </c>
    </row>
    <row r="261" spans="1:33" ht="15.75" customHeight="1">
      <c r="A261" s="398" t="str">
        <f>IF(B261&lt;&gt;"",IF(AND(B261&gt;=_TM1,B261&lt;=_TM2,OR(TH!N261="1111",TH!O261="1111")),TH!D261,""),"")</f>
        <v>C10</v>
      </c>
      <c r="B261" s="63">
        <f>IF(C261&lt;&gt;"",MONTH(C261),"")</f>
        <v>4</v>
      </c>
      <c r="C261" s="64">
        <v>42467</v>
      </c>
      <c r="D261" s="64" t="s">
        <v>72</v>
      </c>
      <c r="E261" s="64">
        <f>C261</f>
        <v>42467</v>
      </c>
      <c r="F261" s="67" t="s">
        <v>408</v>
      </c>
      <c r="G261" s="375" t="s">
        <v>860</v>
      </c>
      <c r="H261" s="405" t="s">
        <v>327</v>
      </c>
      <c r="I261" s="516"/>
      <c r="J261" s="516"/>
      <c r="K261" s="508"/>
      <c r="L261" s="516"/>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IF(AND(1&lt;=$B261,$B261&lt;=3),"1",IF(AND(4&lt;=$B261,$B261&lt;=6),"2",IF(AND(7&lt;=$B261,$B261&lt;=9),"3",IF(AND(10&lt;=$B261,$B261&lt;=12),"4",""))))</f>
        <v>2</v>
      </c>
      <c r="AD261" s="66" t="str">
        <f>IF(AND(MONTH(E261)&lt;='IN-NX'!$P$3,'IN-NX'!$D$7=D261,OR(LEFT(TH!N261,2)="15",LEFT(TH!O261,2)="15")),"x","")</f>
        <v/>
      </c>
      <c r="AE261" s="66" t="str">
        <f>IF(AND(OR(LEFT(TH!N261,2)="15",LEFT(TH!O261,2)="15"),'152-CT'!$J$8=TH!F261),"x","")</f>
        <v/>
      </c>
      <c r="AF261" s="66" t="str">
        <f>IF(AND(OR(LEFT(TH!N261,2)="15",LEFT(TH!O261,2)="15"),'THE KHO'!$E$7=TH!F261),"x","")</f>
        <v/>
      </c>
      <c r="AG261" s="66" t="str">
        <f>IF(AND(N261="1521",MONTH(C261)='BK NL'!$M$11),"x","")</f>
        <v/>
      </c>
    </row>
    <row r="262" spans="1:33" ht="15.75" customHeight="1">
      <c r="A262" s="398" t="str">
        <f>IF(B262&lt;&gt;"",IF(AND(B262&gt;=_TM1,B262&lt;=_TM2,OR(TH!N262="1111",TH!O262="1111")),TH!D262,""),"")</f>
        <v>C11</v>
      </c>
      <c r="B262" s="63">
        <f>IF(C262&lt;&gt;"",MONTH(C262),"")</f>
        <v>4</v>
      </c>
      <c r="C262" s="64">
        <v>42470</v>
      </c>
      <c r="D262" s="64" t="s">
        <v>73</v>
      </c>
      <c r="E262" s="64">
        <f>C262</f>
        <v>42470</v>
      </c>
      <c r="F262" s="67" t="s">
        <v>861</v>
      </c>
      <c r="G262" s="375" t="s">
        <v>863</v>
      </c>
      <c r="H262" s="74" t="s">
        <v>323</v>
      </c>
      <c r="I262" s="516"/>
      <c r="J262" s="516"/>
      <c r="K262" s="508"/>
      <c r="L262" s="516"/>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IF(AND(1&lt;=$B262,$B262&lt;=3),"1",IF(AND(4&lt;=$B262,$B262&lt;=6),"2",IF(AND(7&lt;=$B262,$B262&lt;=9),"3",IF(AND(10&lt;=$B262,$B262&lt;=12),"4",""))))</f>
        <v>2</v>
      </c>
      <c r="AD262" s="66" t="str">
        <f>IF(AND(MONTH(E262)&lt;='IN-NX'!$P$3,'IN-NX'!$D$7=D262,OR(LEFT(TH!N262,2)="15",LEFT(TH!O262,2)="15")),"x","")</f>
        <v/>
      </c>
      <c r="AE262" s="66" t="str">
        <f>IF(AND(OR(LEFT(TH!N262,2)="15",LEFT(TH!O262,2)="15"),'152-CT'!$J$8=TH!F262),"x","")</f>
        <v/>
      </c>
      <c r="AF262" s="66" t="str">
        <f>IF(AND(OR(LEFT(TH!N262,2)="15",LEFT(TH!O262,2)="15"),'THE KHO'!$E$7=TH!F262),"x","")</f>
        <v/>
      </c>
      <c r="AG262" s="66" t="str">
        <f>IF(AND(N262="1521",MONTH(C262)='BK NL'!$M$11),"x","")</f>
        <v/>
      </c>
    </row>
    <row r="263" spans="1:33" ht="15.75" customHeight="1">
      <c r="A263" s="398" t="str">
        <f>IF(B263&lt;&gt;"",IF(AND(B263&gt;=_TM1,B263&lt;=_TM2,OR(TH!N263="1111",TH!O263="1111")),TH!D263,""),"")</f>
        <v>C11</v>
      </c>
      <c r="B263" s="63">
        <f>IF(C263&lt;&gt;"",MONTH(C263),"")</f>
        <v>4</v>
      </c>
      <c r="C263" s="64">
        <v>42470</v>
      </c>
      <c r="D263" s="64" t="s">
        <v>73</v>
      </c>
      <c r="E263" s="64">
        <f>C263</f>
        <v>42470</v>
      </c>
      <c r="F263" s="67" t="s">
        <v>862</v>
      </c>
      <c r="G263" s="375" t="s">
        <v>863</v>
      </c>
      <c r="H263" s="74" t="s">
        <v>323</v>
      </c>
      <c r="I263" s="516"/>
      <c r="J263" s="516"/>
      <c r="K263" s="508"/>
      <c r="L263" s="516"/>
      <c r="M263" s="65">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IF(AND(1&lt;=$B263,$B263&lt;=3),"1",IF(AND(4&lt;=$B263,$B263&lt;=6),"2",IF(AND(7&lt;=$B263,$B263&lt;=9),"3",IF(AND(10&lt;=$B263,$B263&lt;=12),"4",""))))</f>
        <v>2</v>
      </c>
      <c r="AD263" s="66" t="str">
        <f>IF(AND(MONTH(E263)&lt;='IN-NX'!$P$3,'IN-NX'!$D$7=D263,OR(LEFT(TH!N263,2)="15",LEFT(TH!O263,2)="15")),"x","")</f>
        <v/>
      </c>
      <c r="AE263" s="66" t="str">
        <f>IF(AND(OR(LEFT(TH!N263,2)="15",LEFT(TH!O263,2)="15"),'152-CT'!$J$8=TH!F263),"x","")</f>
        <v/>
      </c>
      <c r="AF263" s="66" t="str">
        <f>IF(AND(OR(LEFT(TH!N263,2)="15",LEFT(TH!O263,2)="15"),'THE KHO'!$E$7=TH!F263),"x","")</f>
        <v/>
      </c>
      <c r="AG263" s="66" t="str">
        <f>IF(AND(N263="1521",MONTH(C263)='BK NL'!$M$11),"x","")</f>
        <v/>
      </c>
    </row>
    <row r="264" spans="1:33" ht="15.75" customHeight="1">
      <c r="A264" s="398" t="str">
        <f>IF(B264&lt;&gt;"",IF(AND(B264&gt;=_TM1,B264&lt;=_TM2,OR(TH!N264="1111",TH!O264="1111")),TH!D264,""),"")</f>
        <v>C12</v>
      </c>
      <c r="B264" s="63">
        <f>IF(C264&lt;&gt;"",MONTH(C264),"")</f>
        <v>4</v>
      </c>
      <c r="C264" s="64">
        <v>42471</v>
      </c>
      <c r="D264" s="64" t="s">
        <v>74</v>
      </c>
      <c r="E264" s="64">
        <f>C264</f>
        <v>42471</v>
      </c>
      <c r="F264" s="67" t="s">
        <v>887</v>
      </c>
      <c r="G264" s="375" t="s">
        <v>889</v>
      </c>
      <c r="H264" s="406" t="s">
        <v>890</v>
      </c>
      <c r="I264" s="518"/>
      <c r="J264" s="518"/>
      <c r="K264" s="510"/>
      <c r="L264" s="518"/>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IF(AND(1&lt;=$B264,$B264&lt;=3),"1",IF(AND(4&lt;=$B264,$B264&lt;=6),"2",IF(AND(7&lt;=$B264,$B264&lt;=9),"3",IF(AND(10&lt;=$B264,$B264&lt;=12),"4",""))))</f>
        <v>2</v>
      </c>
      <c r="AD264" s="66" t="str">
        <f>IF(AND(MONTH(E264)&lt;='IN-NX'!$P$3,'IN-NX'!$D$7=D264,OR(LEFT(TH!N264,2)="15",LEFT(TH!O264,2)="15")),"x","")</f>
        <v/>
      </c>
      <c r="AE264" s="66" t="str">
        <f>IF(AND(OR(LEFT(TH!N264,2)="15",LEFT(TH!O264,2)="15"),'152-CT'!$J$8=TH!F264),"x","")</f>
        <v/>
      </c>
      <c r="AF264" s="66" t="str">
        <f>IF(AND(OR(LEFT(TH!N264,2)="15",LEFT(TH!O264,2)="15"),'THE KHO'!$E$7=TH!F264),"x","")</f>
        <v/>
      </c>
      <c r="AG264" s="66" t="str">
        <f>IF(AND(N264="1521",MONTH(C264)='BK NL'!$M$11),"x","")</f>
        <v/>
      </c>
    </row>
    <row r="265" spans="1:33" ht="15.75" customHeight="1">
      <c r="A265" s="398" t="str">
        <f>IF(B265&lt;&gt;"",IF(AND(B265&gt;=_TM1,B265&lt;=_TM2,OR(TH!N265="1111",TH!O265="1111")),TH!D265,""),"")</f>
        <v>C12</v>
      </c>
      <c r="B265" s="63">
        <f>IF(C265&lt;&gt;"",MONTH(C265),"")</f>
        <v>4</v>
      </c>
      <c r="C265" s="64">
        <v>42471</v>
      </c>
      <c r="D265" s="64" t="s">
        <v>74</v>
      </c>
      <c r="E265" s="64">
        <f>C265</f>
        <v>42471</v>
      </c>
      <c r="F265" s="67" t="s">
        <v>888</v>
      </c>
      <c r="G265" s="375" t="s">
        <v>889</v>
      </c>
      <c r="H265" s="406" t="s">
        <v>890</v>
      </c>
      <c r="I265" s="515"/>
      <c r="J265" s="515"/>
      <c r="K265" s="507"/>
      <c r="L265" s="515"/>
      <c r="M265" s="65">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IF(AND(1&lt;=$B265,$B265&lt;=3),"1",IF(AND(4&lt;=$B265,$B265&lt;=6),"2",IF(AND(7&lt;=$B265,$B265&lt;=9),"3",IF(AND(10&lt;=$B265,$B265&lt;=12),"4",""))))</f>
        <v>2</v>
      </c>
      <c r="AD265" s="66" t="str">
        <f>IF(AND(MONTH(E265)&lt;='IN-NX'!$P$3,'IN-NX'!$D$7=D265,OR(LEFT(TH!N265,2)="15",LEFT(TH!O265,2)="15")),"x","")</f>
        <v/>
      </c>
      <c r="AE265" s="66" t="str">
        <f>IF(AND(OR(LEFT(TH!N265,2)="15",LEFT(TH!O265,2)="15"),'152-CT'!$J$8=TH!F265),"x","")</f>
        <v/>
      </c>
      <c r="AF265" s="66" t="str">
        <f>IF(AND(OR(LEFT(TH!N265,2)="15",LEFT(TH!O265,2)="15"),'THE KHO'!$E$7=TH!F265),"x","")</f>
        <v/>
      </c>
      <c r="AG265" s="66" t="str">
        <f>IF(AND(N265="1521",MONTH(C265)='BK NL'!$M$11),"x","")</f>
        <v/>
      </c>
    </row>
    <row r="266" spans="1:33" ht="15.75" customHeight="1">
      <c r="A266" s="398" t="str">
        <f>IF(B266&lt;&gt;"",IF(AND(B266&gt;=_TM1,B266&lt;=_TM2,OR(TH!N266="1111",TH!O266="1111")),TH!D266,""),"")</f>
        <v>C13</v>
      </c>
      <c r="B266" s="63">
        <f>IF(C266&lt;&gt;"",MONTH(C266),"")</f>
        <v>4</v>
      </c>
      <c r="C266" s="64">
        <v>42472</v>
      </c>
      <c r="D266" s="64" t="s">
        <v>75</v>
      </c>
      <c r="E266" s="64">
        <f>C266</f>
        <v>42472</v>
      </c>
      <c r="F266" s="67" t="s">
        <v>408</v>
      </c>
      <c r="G266" s="375" t="s">
        <v>894</v>
      </c>
      <c r="H266" s="405" t="s">
        <v>327</v>
      </c>
      <c r="I266" s="516"/>
      <c r="J266" s="516"/>
      <c r="K266" s="508"/>
      <c r="L266" s="516"/>
      <c r="M266" s="65">
        <v>1388000</v>
      </c>
      <c r="N266" s="66" t="s">
        <v>243</v>
      </c>
      <c r="O266" s="66" t="s">
        <v>98</v>
      </c>
      <c r="P266" s="66" t="str">
        <f>IF(AND('331-CT'!$E$7=TH!H266,OR(N266="331",O266="331")),"x","")</f>
        <v/>
      </c>
      <c r="Q266" s="66" t="str">
        <f>IF(AND($B266&gt;='111'!$N$11,$B266&lt;='111'!$O$11,OR($N266=$Q$7,$O266=$Q$7)),"x","")</f>
        <v>x</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IF(AND(1&lt;=$B266,$B266&lt;=3),"1",IF(AND(4&lt;=$B266,$B266&lt;=6),"2",IF(AND(7&lt;=$B266,$B266&lt;=9),"3",IF(AND(10&lt;=$B266,$B266&lt;=12),"4",""))))</f>
        <v>2</v>
      </c>
      <c r="AD266" s="66" t="str">
        <f>IF(AND(MONTH(E266)&lt;='IN-NX'!$P$3,'IN-NX'!$D$7=D266,OR(LEFT(TH!N266,2)="15",LEFT(TH!O266,2)="15")),"x","")</f>
        <v/>
      </c>
      <c r="AE266" s="66" t="str">
        <f>IF(AND(OR(LEFT(TH!N266,2)="15",LEFT(TH!O266,2)="15"),'152-CT'!$J$8=TH!F266),"x","")</f>
        <v/>
      </c>
      <c r="AF266" s="66" t="str">
        <f>IF(AND(OR(LEFT(TH!N266,2)="15",LEFT(TH!O266,2)="15"),'THE KHO'!$E$7=TH!F266),"x","")</f>
        <v/>
      </c>
      <c r="AG266" s="66" t="str">
        <f>IF(AND(N266="1521",MONTH(C266)='BK NL'!$M$11),"x","")</f>
        <v/>
      </c>
    </row>
    <row r="267" spans="1:33" ht="15.75" customHeight="1">
      <c r="A267" s="398" t="str">
        <f>IF(B267&lt;&gt;"",IF(AND(B267&gt;=_TM1,B267&lt;=_TM2,OR(TH!N267="1111",TH!O267="1111")),TH!D267,""),"")</f>
        <v/>
      </c>
      <c r="B267" s="63">
        <f>IF(C267&lt;&gt;"",MONTH(C267),"")</f>
        <v>4</v>
      </c>
      <c r="C267" s="64">
        <v>42472</v>
      </c>
      <c r="D267" s="64" t="s">
        <v>796</v>
      </c>
      <c r="E267" s="64">
        <f>C267</f>
        <v>42472</v>
      </c>
      <c r="F267" s="67" t="s">
        <v>898</v>
      </c>
      <c r="G267" s="375" t="s">
        <v>901</v>
      </c>
      <c r="H267" s="67" t="s">
        <v>770</v>
      </c>
      <c r="I267" s="515">
        <v>3000</v>
      </c>
      <c r="J267" s="515">
        <v>800</v>
      </c>
      <c r="K267" s="507"/>
      <c r="L267" s="515"/>
      <c r="M267" s="65">
        <f>ROUND(I267*J267,0)</f>
        <v>2400000</v>
      </c>
      <c r="N267" s="66" t="s">
        <v>474</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IF(AND(1&lt;=$B267,$B267&lt;=3),"1",IF(AND(4&lt;=$B267,$B267&lt;=6),"2",IF(AND(7&lt;=$B267,$B267&lt;=9),"3",IF(AND(10&lt;=$B267,$B267&lt;=12),"4",""))))</f>
        <v>2</v>
      </c>
      <c r="AD267" s="66" t="str">
        <f>IF(AND(MONTH(E267)&lt;='IN-NX'!$P$3,'IN-NX'!$D$7=D267,OR(LEFT(TH!N267,2)="15",LEFT(TH!O267,2)="15")),"x","")</f>
        <v/>
      </c>
      <c r="AE267" s="66" t="str">
        <f>IF(AND(OR(LEFT(TH!N267,2)="15",LEFT(TH!O267,2)="15"),'152-CT'!$J$8=TH!F267),"x","")</f>
        <v/>
      </c>
      <c r="AF267" s="66" t="str">
        <f>IF(AND(OR(LEFT(TH!N267,2)="15",LEFT(TH!O267,2)="15"),'THE KHO'!$E$7=TH!F267),"x","")</f>
        <v/>
      </c>
      <c r="AG267" s="66" t="str">
        <f>IF(AND(N267="1521",MONTH(C267)='BK NL'!$M$11),"x","")</f>
        <v/>
      </c>
    </row>
    <row r="268" spans="1:33" ht="15.75" customHeight="1">
      <c r="A268" s="398" t="str">
        <f>IF(B268&lt;&gt;"",IF(AND(B268&gt;=_TM1,B268&lt;=_TM2,OR(TH!N268="1111",TH!O268="1111")),TH!D268,""),"")</f>
        <v/>
      </c>
      <c r="B268" s="63">
        <f>IF(C268&lt;&gt;"",MONTH(C268),"")</f>
        <v>4</v>
      </c>
      <c r="C268" s="64">
        <v>42472</v>
      </c>
      <c r="D268" s="64" t="s">
        <v>796</v>
      </c>
      <c r="E268" s="64">
        <f>C268</f>
        <v>42472</v>
      </c>
      <c r="F268" s="67" t="s">
        <v>899</v>
      </c>
      <c r="G268" s="375" t="s">
        <v>901</v>
      </c>
      <c r="H268" s="67" t="s">
        <v>770</v>
      </c>
      <c r="I268" s="515">
        <v>2000</v>
      </c>
      <c r="J268" s="515">
        <v>900</v>
      </c>
      <c r="K268" s="507"/>
      <c r="L268" s="515"/>
      <c r="M268" s="65">
        <f>ROUND(I268*J268,0)</f>
        <v>1800000</v>
      </c>
      <c r="N268" s="66" t="s">
        <v>474</v>
      </c>
      <c r="O268" s="66" t="s">
        <v>9</v>
      </c>
      <c r="P268" s="66" t="str">
        <f>IF(AND('331-CT'!$E$7=TH!H268,OR(N268="331",O268="331")),"x","")</f>
        <v/>
      </c>
      <c r="Q268" s="66" t="str">
        <f>IF(AND($B268&gt;='111'!$N$11,$B268&lt;='111'!$O$11,OR($N268=$Q$7,$O268=$Q$7)),"x","")</f>
        <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IF(AND(1&lt;=$B268,$B268&lt;=3),"1",IF(AND(4&lt;=$B268,$B268&lt;=6),"2",IF(AND(7&lt;=$B268,$B268&lt;=9),"3",IF(AND(10&lt;=$B268,$B268&lt;=12),"4",""))))</f>
        <v>2</v>
      </c>
      <c r="AD268" s="66" t="str">
        <f>IF(AND(MONTH(E268)&lt;='IN-NX'!$P$3,'IN-NX'!$D$7=D268,OR(LEFT(TH!N268,2)="15",LEFT(TH!O268,2)="15")),"x","")</f>
        <v/>
      </c>
      <c r="AE268" s="66" t="str">
        <f>IF(AND(OR(LEFT(TH!N268,2)="15",LEFT(TH!O268,2)="15"),'152-CT'!$J$8=TH!F268),"x","")</f>
        <v/>
      </c>
      <c r="AF268" s="66" t="str">
        <f>IF(AND(OR(LEFT(TH!N268,2)="15",LEFT(TH!O268,2)="15"),'THE KHO'!$E$7=TH!F268),"x","")</f>
        <v/>
      </c>
      <c r="AG268" s="66" t="str">
        <f>IF(AND(N268="1521",MONTH(C268)='BK NL'!$M$11),"x","")</f>
        <v/>
      </c>
    </row>
    <row r="269" spans="1:33" ht="15.75" customHeight="1">
      <c r="A269" s="398" t="str">
        <f>IF(B269&lt;&gt;"",IF(AND(B269&gt;=_TM1,B269&lt;=_TM2,OR(TH!N269="1111",TH!O269="1111")),TH!D269,""),"")</f>
        <v/>
      </c>
      <c r="B269" s="63">
        <f>IF(C269&lt;&gt;"",MONTH(C269),"")</f>
        <v>4</v>
      </c>
      <c r="C269" s="64">
        <v>42472</v>
      </c>
      <c r="D269" s="64" t="s">
        <v>796</v>
      </c>
      <c r="E269" s="64">
        <f>C269</f>
        <v>42472</v>
      </c>
      <c r="F269" s="67" t="s">
        <v>900</v>
      </c>
      <c r="G269" s="375" t="s">
        <v>901</v>
      </c>
      <c r="H269" s="67" t="s">
        <v>770</v>
      </c>
      <c r="I269" s="518"/>
      <c r="J269" s="518"/>
      <c r="K269" s="510"/>
      <c r="L269" s="518"/>
      <c r="M269" s="65">
        <v>420000</v>
      </c>
      <c r="N269" s="66" t="s">
        <v>10</v>
      </c>
      <c r="O269" s="66" t="s">
        <v>9</v>
      </c>
      <c r="P269" s="66" t="str">
        <f>IF(AND('331-CT'!$E$7=TH!H269,OR(N269="331",O269="331")),"x","")</f>
        <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IF(AND(1&lt;=$B269,$B269&lt;=3),"1",IF(AND(4&lt;=$B269,$B269&lt;=6),"2",IF(AND(7&lt;=$B269,$B269&lt;=9),"3",IF(AND(10&lt;=$B269,$B269&lt;=12),"4",""))))</f>
        <v>2</v>
      </c>
      <c r="AD269" s="66" t="str">
        <f>IF(AND(MONTH(E269)&lt;='IN-NX'!$P$3,'IN-NX'!$D$7=D269,OR(LEFT(TH!N269,2)="15",LEFT(TH!O269,2)="15")),"x","")</f>
        <v/>
      </c>
      <c r="AE269" s="66" t="str">
        <f>IF(AND(OR(LEFT(TH!N269,2)="15",LEFT(TH!O269,2)="15"),'152-CT'!$J$8=TH!F269),"x","")</f>
        <v/>
      </c>
      <c r="AF269" s="66" t="str">
        <f>IF(AND(OR(LEFT(TH!N269,2)="15",LEFT(TH!O269,2)="15"),'THE KHO'!$E$7=TH!F269),"x","")</f>
        <v/>
      </c>
      <c r="AG269" s="66" t="str">
        <f>IF(AND(N269="1521",MONTH(C269)='BK NL'!$M$11),"x","")</f>
        <v/>
      </c>
    </row>
    <row r="270" spans="1:33" ht="15.75" customHeight="1">
      <c r="A270" s="398" t="str">
        <f>IF(B270&lt;&gt;"",IF(AND(B270&gt;=_TM1,B270&lt;=_TM2,OR(TH!N270="1111",TH!O270="1111")),TH!D270,""),"")</f>
        <v>C14</v>
      </c>
      <c r="B270" s="63">
        <f>IF(C270&lt;&gt;"",MONTH(C270),"")</f>
        <v>4</v>
      </c>
      <c r="C270" s="64">
        <v>42474</v>
      </c>
      <c r="D270" s="64" t="s">
        <v>76</v>
      </c>
      <c r="E270" s="64">
        <f>C270</f>
        <v>42474</v>
      </c>
      <c r="F270" s="67" t="s">
        <v>891</v>
      </c>
      <c r="G270" s="375" t="s">
        <v>892</v>
      </c>
      <c r="H270" s="74" t="s">
        <v>893</v>
      </c>
      <c r="I270" s="515"/>
      <c r="J270" s="515"/>
      <c r="K270" s="507"/>
      <c r="L270" s="515"/>
      <c r="M270" s="65">
        <v>50000</v>
      </c>
      <c r="N270" s="66" t="s">
        <v>136</v>
      </c>
      <c r="O270" s="66" t="s">
        <v>98</v>
      </c>
      <c r="P270" s="66" t="str">
        <f>IF(AND('331-CT'!$E$7=TH!H270,OR(N270="331",O270="331")),"x","")</f>
        <v/>
      </c>
      <c r="Q270" s="66" t="str">
        <f>IF(AND($B270&gt;='111'!$N$11,$B270&lt;='111'!$O$11,OR($N270=$Q$7,$O270=$Q$7)),"x","")</f>
        <v>x</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IF(AND(1&lt;=$B270,$B270&lt;=3),"1",IF(AND(4&lt;=$B270,$B270&lt;=6),"2",IF(AND(7&lt;=$B270,$B270&lt;=9),"3",IF(AND(10&lt;=$B270,$B270&lt;=12),"4",""))))</f>
        <v>2</v>
      </c>
      <c r="AD270" s="66" t="str">
        <f>IF(AND(MONTH(E270)&lt;='IN-NX'!$P$3,'IN-NX'!$D$7=D270,OR(LEFT(TH!N270,2)="15",LEFT(TH!O270,2)="15")),"x","")</f>
        <v/>
      </c>
      <c r="AE270" s="66" t="str">
        <f>IF(AND(OR(LEFT(TH!N270,2)="15",LEFT(TH!O270,2)="15"),'152-CT'!$J$8=TH!F270),"x","")</f>
        <v/>
      </c>
      <c r="AF270" s="66" t="str">
        <f>IF(AND(OR(LEFT(TH!N270,2)="15",LEFT(TH!O270,2)="15"),'THE KHO'!$E$7=TH!F270),"x","")</f>
        <v/>
      </c>
      <c r="AG270" s="66" t="str">
        <f>IF(AND(N270="1521",MONTH(C270)='BK NL'!$M$11),"x","")</f>
        <v/>
      </c>
    </row>
    <row r="271" spans="1:33" ht="15.75" customHeight="1">
      <c r="A271" s="398" t="str">
        <f>IF(B271&lt;&gt;"",IF(AND(B271&gt;=_TM1,B271&lt;=_TM2,OR(TH!N271="1111",TH!O271="1111")),TH!D271,""),"")</f>
        <v>C15</v>
      </c>
      <c r="B271" s="63">
        <f>IF(C271&lt;&gt;"",MONTH(C271),"")</f>
        <v>4</v>
      </c>
      <c r="C271" s="64">
        <v>42474</v>
      </c>
      <c r="D271" s="64" t="s">
        <v>77</v>
      </c>
      <c r="E271" s="64">
        <f>C271</f>
        <v>42474</v>
      </c>
      <c r="F271" s="67" t="s">
        <v>895</v>
      </c>
      <c r="G271" s="375" t="s">
        <v>896</v>
      </c>
      <c r="H271" s="406" t="s">
        <v>897</v>
      </c>
      <c r="I271" s="518"/>
      <c r="J271" s="518"/>
      <c r="K271" s="510"/>
      <c r="L271" s="518"/>
      <c r="M271" s="65">
        <v>2220000</v>
      </c>
      <c r="N271" s="66" t="s">
        <v>243</v>
      </c>
      <c r="O271" s="66" t="s">
        <v>98</v>
      </c>
      <c r="P271" s="66" t="str">
        <f>IF(AND('331-CT'!$E$7=TH!H271,OR(N271="331",O271="331")),"x","")</f>
        <v/>
      </c>
      <c r="Q271" s="66" t="str">
        <f>IF(AND($B271&gt;='111'!$N$11,$B271&lt;='111'!$O$11,OR($N271=$Q$7,$O271=$Q$7)),"x","")</f>
        <v>x</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IF(AND(1&lt;=$B271,$B271&lt;=3),"1",IF(AND(4&lt;=$B271,$B271&lt;=6),"2",IF(AND(7&lt;=$B271,$B271&lt;=9),"3",IF(AND(10&lt;=$B271,$B271&lt;=12),"4",""))))</f>
        <v>2</v>
      </c>
      <c r="AD271" s="66" t="str">
        <f>IF(AND(MONTH(E271)&lt;='IN-NX'!$P$3,'IN-NX'!$D$7=D271,OR(LEFT(TH!N271,2)="15",LEFT(TH!O271,2)="15")),"x","")</f>
        <v/>
      </c>
      <c r="AE271" s="66" t="str">
        <f>IF(AND(OR(LEFT(TH!N271,2)="15",LEFT(TH!O271,2)="15"),'152-CT'!$J$8=TH!F271),"x","")</f>
        <v/>
      </c>
      <c r="AF271" s="66" t="str">
        <f>IF(AND(OR(LEFT(TH!N271,2)="15",LEFT(TH!O271,2)="15"),'THE KHO'!$E$7=TH!F271),"x","")</f>
        <v/>
      </c>
      <c r="AG271" s="66" t="str">
        <f>IF(AND(N271="1521",MONTH(C271)='BK NL'!$M$11),"x","")</f>
        <v/>
      </c>
    </row>
    <row r="272" spans="1:33" s="1049" customFormat="1" ht="15.75" customHeight="1">
      <c r="A272" s="398" t="str">
        <f>IF(B272&lt;&gt;"",IF(AND(B272&gt;=_TM1,B272&lt;=_TM2,OR(TH!N272="1111",TH!O272="1111")),TH!D272,""),"")</f>
        <v>C16</v>
      </c>
      <c r="B272" s="63">
        <f>IF(C272&lt;&gt;"",MONTH(C272),"")</f>
        <v>4</v>
      </c>
      <c r="C272" s="64">
        <f>E272</f>
        <v>42480</v>
      </c>
      <c r="D272" s="64" t="s">
        <v>78</v>
      </c>
      <c r="E272" s="64">
        <v>42480</v>
      </c>
      <c r="F272" s="67" t="s">
        <v>912</v>
      </c>
      <c r="G272" s="375" t="s">
        <v>906</v>
      </c>
      <c r="H272" s="74" t="s">
        <v>162</v>
      </c>
      <c r="I272" s="516"/>
      <c r="J272" s="516"/>
      <c r="K272" s="508"/>
      <c r="L272" s="516"/>
      <c r="M272" s="65">
        <f>65000+210000+130634+219164</f>
        <v>624798</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IF(AND(1&lt;=$B272,$B272&lt;=3),"1",IF(AND(4&lt;=$B272,$B272&lt;=6),"2",IF(AND(7&lt;=$B272,$B272&lt;=9),"3",IF(AND(10&lt;=$B272,$B272&lt;=12),"4",""))))</f>
        <v>2</v>
      </c>
      <c r="AD272" s="66" t="str">
        <f>IF(AND(MONTH(E272)&lt;='IN-NX'!$P$3,'IN-NX'!$D$7=D272,OR(LEFT(TH!N272,2)="15",LEFT(TH!O272,2)="15")),"x","")</f>
        <v/>
      </c>
      <c r="AE272" s="66" t="str">
        <f>IF(AND(OR(LEFT(TH!N272,2)="15",LEFT(TH!O272,2)="15"),'152-CT'!$J$8=TH!F272),"x","")</f>
        <v/>
      </c>
      <c r="AF272" s="66" t="str">
        <f>IF(AND(OR(LEFT(TH!N272,2)="15",LEFT(TH!O272,2)="15"),'THE KHO'!$E$7=TH!F272),"x","")</f>
        <v/>
      </c>
      <c r="AG272" s="66" t="str">
        <f>IF(AND(N272="1521",MONTH(C272)='BK NL'!$M$11),"x","")</f>
        <v/>
      </c>
    </row>
    <row r="273" spans="1:34" s="1049" customFormat="1" ht="15.75" customHeight="1">
      <c r="A273" s="398" t="str">
        <f>IF(B273&lt;&gt;"",IF(AND(B273&gt;=_TM1,B273&lt;=_TM2,OR(TH!N273="1111",TH!O273="1111")),TH!D273,""),"")</f>
        <v>C16</v>
      </c>
      <c r="B273" s="63">
        <f>IF(C273&lt;&gt;"",MONTH(C273),"")</f>
        <v>4</v>
      </c>
      <c r="C273" s="64">
        <f>E273</f>
        <v>42480</v>
      </c>
      <c r="D273" s="64" t="s">
        <v>78</v>
      </c>
      <c r="E273" s="64">
        <v>42480</v>
      </c>
      <c r="F273" s="67" t="s">
        <v>913</v>
      </c>
      <c r="G273" s="375" t="s">
        <v>906</v>
      </c>
      <c r="H273" s="74" t="s">
        <v>162</v>
      </c>
      <c r="I273" s="515"/>
      <c r="J273" s="515"/>
      <c r="K273" s="507"/>
      <c r="L273" s="515"/>
      <c r="M273" s="65">
        <f>6500+21000+13063+21916</f>
        <v>62479</v>
      </c>
      <c r="N273" s="66" t="s">
        <v>10</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IF(AND(1&lt;=$B273,$B273&lt;=3),"1",IF(AND(4&lt;=$B273,$B273&lt;=6),"2",IF(AND(7&lt;=$B273,$B273&lt;=9),"3",IF(AND(10&lt;=$B273,$B273&lt;=12),"4",""))))</f>
        <v>2</v>
      </c>
      <c r="AD273" s="66" t="str">
        <f>IF(AND(MONTH(E273)&lt;='IN-NX'!$P$3,'IN-NX'!$D$7=D273,OR(LEFT(TH!N273,2)="15",LEFT(TH!O273,2)="15")),"x","")</f>
        <v/>
      </c>
      <c r="AE273" s="66" t="str">
        <f>IF(AND(OR(LEFT(TH!N273,2)="15",LEFT(TH!O273,2)="15"),'152-CT'!$J$8=TH!F273),"x","")</f>
        <v/>
      </c>
      <c r="AF273" s="66" t="str">
        <f>IF(AND(OR(LEFT(TH!N273,2)="15",LEFT(TH!O273,2)="15"),'THE KHO'!$E$7=TH!F273),"x","")</f>
        <v/>
      </c>
      <c r="AG273" s="66" t="str">
        <f>IF(AND(N273="1521",MONTH(C273)='BK NL'!$M$11),"x","")</f>
        <v/>
      </c>
    </row>
    <row r="274" spans="1:34" ht="15.75" customHeight="1">
      <c r="A274" s="398" t="str">
        <f>IF(B274&lt;&gt;"",IF(AND(B274&gt;=_TM1,B274&lt;=_TM2,OR(TH!N274="1111",TH!O274="1111")),TH!D274,""),"")</f>
        <v>C17</v>
      </c>
      <c r="B274" s="63">
        <f>IF(C274&lt;&gt;"",MONTH(C274),"")</f>
        <v>4</v>
      </c>
      <c r="C274" s="64">
        <f>E274</f>
        <v>42480</v>
      </c>
      <c r="D274" s="64" t="s">
        <v>79</v>
      </c>
      <c r="E274" s="64">
        <v>42480</v>
      </c>
      <c r="F274" s="67" t="s">
        <v>812</v>
      </c>
      <c r="G274" s="375" t="s">
        <v>907</v>
      </c>
      <c r="H274" s="7" t="s">
        <v>50</v>
      </c>
      <c r="I274" s="515"/>
      <c r="J274" s="515"/>
      <c r="K274" s="507"/>
      <c r="L274" s="515"/>
      <c r="M274" s="65">
        <v>6523636</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IF(AND(1&lt;=$B274,$B274&lt;=3),"1",IF(AND(4&lt;=$B274,$B274&lt;=6),"2",IF(AND(7&lt;=$B274,$B274&lt;=9),"3",IF(AND(10&lt;=$B274,$B274&lt;=12),"4",""))))</f>
        <v>2</v>
      </c>
      <c r="AD274" s="66" t="str">
        <f>IF(AND(MONTH(E274)&lt;='IN-NX'!$P$3,'IN-NX'!$D$7=D274,OR(LEFT(TH!N274,2)="15",LEFT(TH!O274,2)="15")),"x","")</f>
        <v/>
      </c>
      <c r="AE274" s="66" t="str">
        <f>IF(AND(OR(LEFT(TH!N274,2)="15",LEFT(TH!O274,2)="15"),'152-CT'!$J$8=TH!F274),"x","")</f>
        <v/>
      </c>
      <c r="AF274" s="66" t="str">
        <f>IF(AND(OR(LEFT(TH!N274,2)="15",LEFT(TH!O274,2)="15"),'THE KHO'!$E$7=TH!F274),"x","")</f>
        <v/>
      </c>
      <c r="AG274" s="66" t="str">
        <f>IF(AND(N274="1521",MONTH(C274)='BK NL'!$M$11),"x","")</f>
        <v/>
      </c>
    </row>
    <row r="275" spans="1:34" ht="15.75" customHeight="1">
      <c r="A275" s="398" t="str">
        <f>IF(B275&lt;&gt;"",IF(AND(B275&gt;=_TM1,B275&lt;=_TM2,OR(TH!N275="1111",TH!O275="1111")),TH!D275,""),"")</f>
        <v>C17</v>
      </c>
      <c r="B275" s="63">
        <f>IF(C275&lt;&gt;"",MONTH(C275),"")</f>
        <v>4</v>
      </c>
      <c r="C275" s="64">
        <f>E275</f>
        <v>42480</v>
      </c>
      <c r="D275" s="64" t="s">
        <v>79</v>
      </c>
      <c r="E275" s="64">
        <v>42480</v>
      </c>
      <c r="F275" s="67" t="s">
        <v>814</v>
      </c>
      <c r="G275" s="375" t="s">
        <v>907</v>
      </c>
      <c r="H275" s="7" t="s">
        <v>50</v>
      </c>
      <c r="I275" s="515"/>
      <c r="J275" s="515"/>
      <c r="K275" s="507"/>
      <c r="L275" s="515"/>
      <c r="M275" s="65">
        <v>652364</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IF(AND(1&lt;=$B275,$B275&lt;=3),"1",IF(AND(4&lt;=$B275,$B275&lt;=6),"2",IF(AND(7&lt;=$B275,$B275&lt;=9),"3",IF(AND(10&lt;=$B275,$B275&lt;=12),"4",""))))</f>
        <v>2</v>
      </c>
      <c r="AD275" s="66" t="str">
        <f>IF(AND(MONTH(E275)&lt;='IN-NX'!$P$3,'IN-NX'!$D$7=D275,OR(LEFT(TH!N275,2)="15",LEFT(TH!O275,2)="15")),"x","")</f>
        <v/>
      </c>
      <c r="AE275" s="66" t="str">
        <f>IF(AND(OR(LEFT(TH!N275,2)="15",LEFT(TH!O275,2)="15"),'152-CT'!$J$8=TH!F275),"x","")</f>
        <v/>
      </c>
      <c r="AF275" s="66" t="str">
        <f>IF(AND(OR(LEFT(TH!N275,2)="15",LEFT(TH!O275,2)="15"),'THE KHO'!$E$7=TH!F275),"x","")</f>
        <v/>
      </c>
      <c r="AG275" s="66" t="str">
        <f>IF(AND(N275="1521",MONTH(C275)='BK NL'!$M$11),"x","")</f>
        <v/>
      </c>
    </row>
    <row r="276" spans="1:34" ht="15.75" customHeight="1">
      <c r="A276" s="398" t="str">
        <f>IF(B276&lt;&gt;"",IF(AND(B276&gt;=_TM1,B276&lt;=_TM2,OR(TH!N276="1111",TH!O276="1111")),TH!D276,""),"")</f>
        <v/>
      </c>
      <c r="B276" s="63">
        <f>IF(C276&lt;&gt;"",MONTH(C276),"")</f>
        <v>4</v>
      </c>
      <c r="C276" s="64">
        <f>E276</f>
        <v>42481</v>
      </c>
      <c r="D276" s="64" t="s">
        <v>12</v>
      </c>
      <c r="E276" s="64">
        <v>42481</v>
      </c>
      <c r="F276" s="67" t="s">
        <v>800</v>
      </c>
      <c r="G276" s="361" t="s">
        <v>810</v>
      </c>
      <c r="H276" s="74" t="s">
        <v>439</v>
      </c>
      <c r="I276" s="515"/>
      <c r="J276" s="515"/>
      <c r="K276" s="507"/>
      <c r="L276" s="515"/>
      <c r="M276" s="65">
        <v>40000000</v>
      </c>
      <c r="N276" s="66" t="s">
        <v>31</v>
      </c>
      <c r="O276" s="66" t="s">
        <v>107</v>
      </c>
      <c r="P276" s="66" t="str">
        <f>IF(AND('331-CT'!$E$7=TH!H316,OR(N276="331",O276="331")),"x","")</f>
        <v/>
      </c>
      <c r="Q276" s="66" t="str">
        <f>IF(AND($B276&gt;='111'!$N$11,$B276&lt;='111'!$O$11,OR($N276=$Q$7,$O276=$Q$7)),"x","")</f>
        <v/>
      </c>
      <c r="R276" s="66" t="str">
        <f>IF(AND($N276=$Q$7,$B276&lt;'111'!$N$11),"x","")</f>
        <v/>
      </c>
      <c r="S276" s="66" t="str">
        <f>IF(AND($O276=$Q$7,$B276&lt;'111'!$N$11),"x","")</f>
        <v/>
      </c>
      <c r="T276" s="66" t="str">
        <f>IF(AND($B276&gt;='112'!$M$9,$B276&lt;='112'!$N$9,OR($N276='112'!$I$6,$O276='112'!$I$6)),"x","")</f>
        <v>x</v>
      </c>
      <c r="U276" s="66" t="str">
        <f>IF(AND($N276='112'!$I$6,$B276&lt;'112'!$M$9),"x","")</f>
        <v/>
      </c>
      <c r="V276" s="66" t="str">
        <f>IF(AND($O276='112'!$I$6,$B276&lt;'112'!$M$9),"x","")</f>
        <v/>
      </c>
      <c r="W276" s="66" t="str">
        <f>IF(AND('131-CT'!$H$9=TH!H316,OR(N276="131",O276="131")),"x","")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IF(OR(TH!N316=TH!$AB$7,O276=TH!$AB$7),"x","")</f>
        <v>x</v>
      </c>
      <c r="AC276" s="66" t="str">
        <f>IF(AND(1&lt;=$B276,$B276&lt;=3),"1",IF(AND(4&lt;=$B276,$B276&lt;=6),"2",IF(AND(7&lt;=$B276,$B276&lt;=9),"3",IF(AND(10&lt;=$B276,$B276&lt;=12),"4",""))))</f>
        <v>2</v>
      </c>
      <c r="AD276" s="66" t="str">
        <f>IF(AND(MONTH(E276)&lt;='IN-NX'!$P$3,'IN-NX'!$D$7=D276,OR(LEFT(TH!N316,2)="15",LEFT(TH!O316,2)="15")),"x","")</f>
        <v/>
      </c>
      <c r="AE276" s="66" t="str">
        <f>IF(AND(OR(LEFT(TH!N316,2)="15",LEFT(TH!O316,2)="15"),'152-CT'!$J$8=TH!F316),"x","")</f>
        <v/>
      </c>
      <c r="AF276" s="66" t="str">
        <f>IF(AND(OR(LEFT(TH!N316,2)="15",LEFT(TH!O316,2)="15"),'THE KHO'!$E$7=TH!F316),"x","")</f>
        <v/>
      </c>
      <c r="AG276" s="66" t="str">
        <f>IF(AND(N276="1521",MONTH(C276)='BK NL'!$M$11),"x","")</f>
        <v/>
      </c>
    </row>
    <row r="277" spans="1:34" ht="15.75" customHeight="1">
      <c r="A277" s="398" t="str">
        <f>IF(B277&lt;&gt;"",IF(AND(B277&gt;=_TM1,B277&lt;=_TM2,OR(TH!N277="1111",TH!O277="1111")),TH!D277,""),"")</f>
        <v>C18</v>
      </c>
      <c r="B277" s="63">
        <f>IF(C277&lt;&gt;"",MONTH(C277),"")</f>
        <v>4</v>
      </c>
      <c r="C277" s="64">
        <f>E277</f>
        <v>42481</v>
      </c>
      <c r="D277" s="64" t="s">
        <v>80</v>
      </c>
      <c r="E277" s="64">
        <v>42481</v>
      </c>
      <c r="F277" s="67" t="s">
        <v>447</v>
      </c>
      <c r="G277" s="361" t="s">
        <v>810</v>
      </c>
      <c r="H277" s="74" t="s">
        <v>439</v>
      </c>
      <c r="I277" s="515"/>
      <c r="J277" s="515"/>
      <c r="K277" s="507"/>
      <c r="L277" s="515"/>
      <c r="M277" s="65">
        <v>40000000</v>
      </c>
      <c r="N277" s="66" t="s">
        <v>107</v>
      </c>
      <c r="O277" s="66" t="s">
        <v>98</v>
      </c>
      <c r="P277" s="66" t="str">
        <f>IF(AND('331-CT'!$E$7=TH!H317,OR(N277="331",O277="331")),"x","")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IF(AND('131-CT'!$H$9=TH!H317,OR(N277="131",O277="131")),"x","")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IF(OR(TH!N317=TH!$AB$7,O277=TH!$AB$7),"x","")</f>
        <v/>
      </c>
      <c r="AC277" s="66" t="str">
        <f>IF(AND(1&lt;=$B277,$B277&lt;=3),"1",IF(AND(4&lt;=$B277,$B277&lt;=6),"2",IF(AND(7&lt;=$B277,$B277&lt;=9),"3",IF(AND(10&lt;=$B277,$B277&lt;=12),"4",""))))</f>
        <v>2</v>
      </c>
      <c r="AD277" s="66" t="str">
        <f>IF(AND(MONTH(E277)&lt;='IN-NX'!$P$3,'IN-NX'!$D$7=D277,OR(LEFT(TH!N317,2)="15",LEFT(TH!O317,2)="15")),"x","")</f>
        <v/>
      </c>
      <c r="AE277" s="66" t="str">
        <f>IF(AND(OR(LEFT(TH!N317,2)="15",LEFT(TH!O317,2)="15"),'152-CT'!$J$8=TH!F317),"x","")</f>
        <v/>
      </c>
      <c r="AF277" s="66" t="str">
        <f>IF(AND(OR(LEFT(TH!N317,2)="15",LEFT(TH!O317,2)="15"),'THE KHO'!$E$7=TH!F317),"x","")</f>
        <v/>
      </c>
      <c r="AG277" s="66" t="str">
        <f>IF(AND(N277="1521",MONTH(C277)='BK NL'!$M$11),"x","")</f>
        <v/>
      </c>
    </row>
    <row r="278" spans="1:34" ht="15.75" customHeight="1">
      <c r="A278" s="398" t="str">
        <f>IF(B278&lt;&gt;"",IF(AND(B278&gt;=_TM1,B278&lt;=_TM2,OR(TH!N278="1111",TH!O278="1111")),TH!D278,""),"")</f>
        <v>C19</v>
      </c>
      <c r="B278" s="63">
        <f>IF(C278&lt;&gt;"",MONTH(C278),"")</f>
        <v>4</v>
      </c>
      <c r="C278" s="64">
        <f>E278</f>
        <v>42481</v>
      </c>
      <c r="D278" s="64" t="s">
        <v>81</v>
      </c>
      <c r="E278" s="64">
        <v>42481</v>
      </c>
      <c r="F278" s="67" t="s">
        <v>419</v>
      </c>
      <c r="G278" s="361" t="s">
        <v>810</v>
      </c>
      <c r="H278" s="74" t="s">
        <v>161</v>
      </c>
      <c r="I278" s="515"/>
      <c r="J278" s="515"/>
      <c r="K278" s="507"/>
      <c r="L278" s="515"/>
      <c r="M278" s="65">
        <v>130000000</v>
      </c>
      <c r="N278" s="66" t="s">
        <v>31</v>
      </c>
      <c r="O278" s="66" t="s">
        <v>98</v>
      </c>
      <c r="P278" s="66" t="str">
        <f>IF(AND('331-CT'!$E$7=TH!H318,OR(N278="331",O278="331")),"x","")</f>
        <v/>
      </c>
      <c r="Q278" s="66" t="str">
        <f>IF(AND($B278&gt;='111'!$N$11,$B278&lt;='111'!$O$11,OR($N278=$Q$7,$O278=$Q$7)),"x","")</f>
        <v>x</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IF(AND('131-CT'!$H$9=TH!H318,OR(N278="131",O278="131")),"x","")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IF(OR(TH!N318=TH!$AB$7,O278=TH!$AB$7),"x","")</f>
        <v/>
      </c>
      <c r="AC278" s="66" t="str">
        <f>IF(AND(1&lt;=$B278,$B278&lt;=3),"1",IF(AND(4&lt;=$B278,$B278&lt;=6),"2",IF(AND(7&lt;=$B278,$B278&lt;=9),"3",IF(AND(10&lt;=$B278,$B278&lt;=12),"4",""))))</f>
        <v>2</v>
      </c>
      <c r="AD278" s="66" t="str">
        <f>IF(AND(MONTH(E278)&lt;='IN-NX'!$P$3,'IN-NX'!$D$7=D278,OR(LEFT(TH!N318,2)="15",LEFT(TH!O318,2)="15")),"x","")</f>
        <v/>
      </c>
      <c r="AE278" s="66" t="str">
        <f>IF(AND(OR(LEFT(TH!N318,2)="15",LEFT(TH!O318,2)="15"),'152-CT'!$J$8=TH!F318),"x","")</f>
        <v/>
      </c>
      <c r="AF278" s="66" t="str">
        <f>IF(AND(OR(LEFT(TH!N318,2)="15",LEFT(TH!O318,2)="15"),'THE KHO'!$E$7=TH!F318),"x","")</f>
        <v/>
      </c>
      <c r="AG278" s="66" t="str">
        <f>IF(AND(N278="1521",MONTH(C278)='BK NL'!$M$11),"x","")</f>
        <v/>
      </c>
    </row>
    <row r="279" spans="1:34" ht="15.75" customHeight="1">
      <c r="A279" s="398" t="str">
        <f>IF(B279&lt;&gt;"",IF(AND(B279&gt;=_TM1,B279&lt;=_TM2,OR(TH!N279="1111",TH!O279="1111")),TH!D279,""),"")</f>
        <v>C19</v>
      </c>
      <c r="B279" s="63">
        <f>IF(C279&lt;&gt;"",MONTH(C279),"")</f>
        <v>4</v>
      </c>
      <c r="C279" s="64">
        <f>E279</f>
        <v>42481</v>
      </c>
      <c r="D279" s="64" t="s">
        <v>81</v>
      </c>
      <c r="E279" s="64">
        <v>42481</v>
      </c>
      <c r="F279" s="67" t="s">
        <v>419</v>
      </c>
      <c r="G279" s="361" t="s">
        <v>810</v>
      </c>
      <c r="H279" s="74" t="s">
        <v>161</v>
      </c>
      <c r="I279" s="515"/>
      <c r="J279" s="515"/>
      <c r="K279" s="507"/>
      <c r="L279" s="515"/>
      <c r="M279" s="65">
        <v>60000000</v>
      </c>
      <c r="N279" s="66" t="s">
        <v>31</v>
      </c>
      <c r="O279" s="66" t="s">
        <v>98</v>
      </c>
      <c r="P279" s="66" t="str">
        <f>IF(AND('331-CT'!$E$7=TH!H319,OR(N279="331",O279="331")),"x","")</f>
        <v/>
      </c>
      <c r="Q279" s="66" t="str">
        <f>IF(AND($B279&gt;='111'!$N$11,$B279&lt;='111'!$O$11,OR($N279=$Q$7,$O279=$Q$7)),"x","")</f>
        <v>x</v>
      </c>
      <c r="R279" s="66" t="str">
        <f>IF(AND($N279=$Q$7,$B279&lt;'111'!$N$11),"x","")</f>
        <v/>
      </c>
      <c r="S279" s="66" t="str">
        <f>IF(AND($O279=$Q$7,$B279&lt;'111'!$N$11),"x","")</f>
        <v/>
      </c>
      <c r="T279" s="66" t="str">
        <f>IF(AND($B279&gt;='112'!$M$9,$B279&lt;='112'!$N$9,OR($N279='112'!$I$6,$O279='112'!$I$6)),"x","")</f>
        <v>x</v>
      </c>
      <c r="U279" s="66" t="str">
        <f>IF(AND($N279='112'!$I$6,$B279&lt;'112'!$M$9),"x","")</f>
        <v/>
      </c>
      <c r="V279" s="66" t="str">
        <f>IF(AND($O279='112'!$I$6,$B279&lt;'112'!$M$9),"x","")</f>
        <v/>
      </c>
      <c r="W279" s="66" t="str">
        <f>IF(AND('131-CT'!$H$9=TH!H319,OR(N279="131",O279="131")),"x","")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IF(OR(TH!N319=TH!$AB$7,O279=TH!$AB$7),"x","")</f>
        <v/>
      </c>
      <c r="AC279" s="66" t="str">
        <f>IF(AND(1&lt;=$B279,$B279&lt;=3),"1",IF(AND(4&lt;=$B279,$B279&lt;=6),"2",IF(AND(7&lt;=$B279,$B279&lt;=9),"3",IF(AND(10&lt;=$B279,$B279&lt;=12),"4",""))))</f>
        <v>2</v>
      </c>
      <c r="AD279" s="66" t="str">
        <f>IF(AND(MONTH(E279)&lt;='IN-NX'!$P$3,'IN-NX'!$D$7=D279,OR(LEFT(TH!N319,2)="15",LEFT(TH!O319,2)="15")),"x","")</f>
        <v/>
      </c>
      <c r="AE279" s="66" t="str">
        <f>IF(AND(OR(LEFT(TH!N319,2)="15",LEFT(TH!O319,2)="15"),'152-CT'!$J$8=TH!F319),"x","")</f>
        <v/>
      </c>
      <c r="AF279" s="66" t="str">
        <f>IF(AND(OR(LEFT(TH!N319,2)="15",LEFT(TH!O319,2)="15"),'THE KHO'!$E$7=TH!F319),"x","")</f>
        <v/>
      </c>
      <c r="AG279" s="66" t="str">
        <f>IF(AND(N279="1521",MONTH(C279)='BK NL'!$M$11),"x","")</f>
        <v/>
      </c>
    </row>
    <row r="280" spans="1:34" ht="15.75" customHeight="1">
      <c r="A280" s="398" t="str">
        <f>IF(B280&lt;&gt;"",IF(AND(B280&gt;=_TM1,B280&lt;=_TM2,OR(TH!N280="1111",TH!O280="1111")),TH!D280,""),"")</f>
        <v/>
      </c>
      <c r="B280" s="63">
        <f>IF(C280&lt;&gt;"",MONTH(C280),"")</f>
        <v>4</v>
      </c>
      <c r="C280" s="64">
        <f>E280</f>
        <v>42481</v>
      </c>
      <c r="D280" s="64" t="s">
        <v>8</v>
      </c>
      <c r="E280" s="64">
        <v>42481</v>
      </c>
      <c r="F280" s="67" t="s">
        <v>414</v>
      </c>
      <c r="G280" s="361" t="s">
        <v>810</v>
      </c>
      <c r="H280" s="74" t="s">
        <v>167</v>
      </c>
      <c r="I280" s="515"/>
      <c r="J280" s="515"/>
      <c r="K280" s="507"/>
      <c r="L280" s="515"/>
      <c r="M280" s="65">
        <v>8187032</v>
      </c>
      <c r="N280" s="66" t="s">
        <v>134</v>
      </c>
      <c r="O280" s="66" t="s">
        <v>31</v>
      </c>
      <c r="P280" s="66" t="str">
        <f>IF(AND('331-CT'!$E$7=TH!H330,OR(N280="331",O280="331")),"x","")</f>
        <v/>
      </c>
      <c r="Q280" s="66" t="str">
        <f>IF(AND($B280&gt;='111'!$N$11,$B280&lt;='111'!$O$11,OR($N280=$Q$7,$O280=$Q$7)),"x","")</f>
        <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IF(AND('131-CT'!$H$9=TH!H330,OR(N280="131",O280="131")),"x","")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IF(OR(TH!N330=TH!$AB$7,O280=TH!$AB$7),"x","")</f>
        <v/>
      </c>
      <c r="AC280" s="66" t="str">
        <f>IF(AND(1&lt;=$B280,$B280&lt;=3),"1",IF(AND(4&lt;=$B280,$B280&lt;=6),"2",IF(AND(7&lt;=$B280,$B280&lt;=9),"3",IF(AND(10&lt;=$B280,$B280&lt;=12),"4",""))))</f>
        <v>2</v>
      </c>
      <c r="AD280" s="66" t="str">
        <f>IF(AND(MONTH(E280)&lt;='IN-NX'!$P$3,'IN-NX'!$D$7=D280,OR(LEFT(TH!N330,2)="15",LEFT(TH!O330,2)="15")),"x","")</f>
        <v/>
      </c>
      <c r="AE280" s="66" t="str">
        <f>IF(AND(OR(LEFT(TH!N330,2)="15",LEFT(TH!O330,2)="15"),'152-CT'!$J$8=TH!F330),"x","")</f>
        <v/>
      </c>
      <c r="AF280" s="66" t="str">
        <f>IF(AND(OR(LEFT(TH!N330,2)="15",LEFT(TH!O330,2)="15"),'THE KHO'!$E$7=TH!F330),"x","")</f>
        <v/>
      </c>
      <c r="AG280" s="66" t="str">
        <f>IF(AND(N280="1521",MONTH(C280)='BK NL'!$M$11),"x","")</f>
        <v/>
      </c>
    </row>
    <row r="281" spans="1:34" ht="15.75" customHeight="1">
      <c r="A281" s="398" t="str">
        <f>IF(B281&lt;&gt;"",IF(AND(B281&gt;=_TM1,B281&lt;=_TM2,OR(TH!N281="1111",TH!O281="1111")),TH!D281,""),"")</f>
        <v/>
      </c>
      <c r="B281" s="81">
        <f>IF(C281&lt;&gt;"",MONTH(C281),"")</f>
        <v>4</v>
      </c>
      <c r="C281" s="64">
        <f>E281</f>
        <v>42481</v>
      </c>
      <c r="D281" s="64" t="s">
        <v>8</v>
      </c>
      <c r="E281" s="64">
        <v>42481</v>
      </c>
      <c r="F281" s="67" t="s">
        <v>414</v>
      </c>
      <c r="G281" s="361" t="s">
        <v>810</v>
      </c>
      <c r="H281" s="74" t="s">
        <v>168</v>
      </c>
      <c r="I281" s="513"/>
      <c r="J281" s="513"/>
      <c r="K281" s="505"/>
      <c r="L281" s="513"/>
      <c r="M281" s="85">
        <v>16374064</v>
      </c>
      <c r="N281" s="66" t="s">
        <v>134</v>
      </c>
      <c r="O281" s="66" t="s">
        <v>31</v>
      </c>
      <c r="P281" s="66" t="str">
        <f>IF(AND('331-CT'!$E$7=TH!H331,OR(N281="331",O281="331")),"x","")</f>
        <v/>
      </c>
      <c r="Q281" s="66" t="str">
        <f>IF(AND($B281&gt;='111'!$N$11,$B281&lt;='111'!$O$11,OR($N281=$Q$7,$O281=$Q$7)),"x","")</f>
        <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IF(AND('131-CT'!$H$9=TH!H331,OR(N281="131",O281="131")),"x","")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IF(OR(TH!N331=TH!$AB$7,O281=TH!$AB$7),"x","")</f>
        <v/>
      </c>
      <c r="AC281" s="66" t="str">
        <f>IF(AND(1&lt;=$B281,$B281&lt;=3),"1",IF(AND(4&lt;=$B281,$B281&lt;=6),"2",IF(AND(7&lt;=$B281,$B281&lt;=9),"3",IF(AND(10&lt;=$B281,$B281&lt;=12),"4",""))))</f>
        <v>2</v>
      </c>
      <c r="AD281" s="66" t="str">
        <f>IF(AND(MONTH(E281)&lt;='IN-NX'!$P$3,'IN-NX'!$D$7=D281,OR(LEFT(TH!N331,2)="15",LEFT(TH!O331,2)="15")),"x","")</f>
        <v/>
      </c>
      <c r="AE281" s="66" t="str">
        <f>IF(AND(OR(LEFT(TH!N331,2)="15",LEFT(TH!O331,2)="15"),'152-CT'!$J$8=TH!F331),"x","")</f>
        <v/>
      </c>
      <c r="AF281" s="66" t="str">
        <f>IF(AND(OR(LEFT(TH!N331,2)="15",LEFT(TH!O331,2)="15"),'THE KHO'!$E$7=TH!F331),"x","")</f>
        <v/>
      </c>
      <c r="AG281" s="66" t="str">
        <f>IF(AND(N281="1521",MONTH(C281)='BK NL'!$M$11),"x","")</f>
        <v/>
      </c>
    </row>
    <row r="282" spans="1:34" ht="15.75" customHeight="1">
      <c r="A282" s="398" t="str">
        <f>IF(B282&lt;&gt;"",IF(AND(B282&gt;=_TM1,B282&lt;=_TM2,OR(TH!N282="1111",TH!O282="1111")),TH!D282,""),"")</f>
        <v/>
      </c>
      <c r="B282" s="63">
        <f>IF(C282&lt;&gt;"",MONTH(C282),"")</f>
        <v>4</v>
      </c>
      <c r="C282" s="64">
        <f>E282</f>
        <v>42481</v>
      </c>
      <c r="D282" s="64" t="s">
        <v>8</v>
      </c>
      <c r="E282" s="64">
        <v>42481</v>
      </c>
      <c r="F282" s="67" t="s">
        <v>414</v>
      </c>
      <c r="G282" s="361" t="s">
        <v>810</v>
      </c>
      <c r="H282" s="75" t="s">
        <v>170</v>
      </c>
      <c r="I282" s="515"/>
      <c r="J282" s="515"/>
      <c r="K282" s="507"/>
      <c r="L282" s="515"/>
      <c r="M282" s="65">
        <v>13099251</v>
      </c>
      <c r="N282" s="66" t="s">
        <v>134</v>
      </c>
      <c r="O282" s="66" t="s">
        <v>31</v>
      </c>
      <c r="P282" s="66" t="str">
        <f>IF(AND('331-CT'!$E$7=TH!H332,OR(N282="331",O282="331")),"x","")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IF(AND('131-CT'!$H$9=TH!H332,OR(N282="131",O282="131")),"x","")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IF(OR(TH!N332=TH!$AB$7,O282=TH!$AB$7),"x","")</f>
        <v/>
      </c>
      <c r="AC282" s="66" t="str">
        <f>IF(AND(1&lt;=$B282,$B282&lt;=3),"1",IF(AND(4&lt;=$B282,$B282&lt;=6),"2",IF(AND(7&lt;=$B282,$B282&lt;=9),"3",IF(AND(10&lt;=$B282,$B282&lt;=12),"4",""))))</f>
        <v>2</v>
      </c>
      <c r="AD282" s="66" t="str">
        <f>IF(AND(MONTH(E282)&lt;='IN-NX'!$P$3,'IN-NX'!$D$7=D282,OR(LEFT(TH!N332,2)="15",LEFT(TH!O332,2)="15")),"x","")</f>
        <v/>
      </c>
      <c r="AE282" s="66" t="str">
        <f>IF(AND(OR(LEFT(TH!N332,2)="15",LEFT(TH!O332,2)="15"),'152-CT'!$J$8=TH!F332),"x","")</f>
        <v/>
      </c>
      <c r="AF282" s="66" t="str">
        <f>IF(AND(OR(LEFT(TH!N332,2)="15",LEFT(TH!O332,2)="15"),'THE KHO'!$E$7=TH!F332),"x","")</f>
        <v/>
      </c>
      <c r="AG282" s="66" t="str">
        <f>IF(AND(N282="1521",MONTH(C282)='BK NL'!$M$11),"x","")</f>
        <v/>
      </c>
    </row>
    <row r="283" spans="1:34" ht="15.75" customHeight="1">
      <c r="A283" s="398" t="str">
        <f>IF(B283&lt;&gt;"",IF(AND(B283&gt;=_TM1,B283&lt;=_TM2,OR(TH!N283="1111",TH!O283="1111")),TH!D283,""),"")</f>
        <v/>
      </c>
      <c r="B283" s="63">
        <f>IF(C283&lt;&gt;"",MONTH(C283),"")</f>
        <v>4</v>
      </c>
      <c r="C283" s="64">
        <f>E283</f>
        <v>42481</v>
      </c>
      <c r="D283" s="64" t="s">
        <v>8</v>
      </c>
      <c r="E283" s="64">
        <v>42481</v>
      </c>
      <c r="F283" s="67" t="s">
        <v>414</v>
      </c>
      <c r="G283" s="361" t="s">
        <v>810</v>
      </c>
      <c r="H283" s="74" t="s">
        <v>169</v>
      </c>
      <c r="I283" s="518"/>
      <c r="J283" s="518"/>
      <c r="K283" s="510"/>
      <c r="L283" s="518"/>
      <c r="M283" s="65">
        <v>12280547</v>
      </c>
      <c r="N283" s="66" t="s">
        <v>134</v>
      </c>
      <c r="O283" s="66" t="s">
        <v>31</v>
      </c>
      <c r="P283" s="66" t="str">
        <f>IF(AND('331-CT'!$E$7=TH!H333,OR(N283="331",O283="331")),"x","")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IF(AND('131-CT'!$H$9=TH!H333,OR(N283="131",O283="131")),"x","")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IF(OR(TH!N333=TH!$AB$7,O283=TH!$AB$7),"x","")</f>
        <v/>
      </c>
      <c r="AC283" s="66" t="str">
        <f>IF(AND(1&lt;=$B283,$B283&lt;=3),"1",IF(AND(4&lt;=$B283,$B283&lt;=6),"2",IF(AND(7&lt;=$B283,$B283&lt;=9),"3",IF(AND(10&lt;=$B283,$B283&lt;=12),"4",""))))</f>
        <v>2</v>
      </c>
      <c r="AD283" s="66" t="str">
        <f>IF(AND(MONTH(E283)&lt;='IN-NX'!$P$3,'IN-NX'!$D$7=D283,OR(LEFT(TH!N333,2)="15",LEFT(TH!O333,2)="15")),"x","")</f>
        <v/>
      </c>
      <c r="AE283" s="66" t="str">
        <f>IF(AND(OR(LEFT(TH!N333,2)="15",LEFT(TH!O333,2)="15"),'152-CT'!$J$8=TH!F333),"x","")</f>
        <v/>
      </c>
      <c r="AF283" s="66" t="str">
        <f>IF(AND(OR(LEFT(TH!N333,2)="15",LEFT(TH!O333,2)="15"),'THE KHO'!$E$7=TH!F333),"x","")</f>
        <v/>
      </c>
      <c r="AG283" s="66" t="str">
        <f>IF(AND(N283="1521",MONTH(C283)='BK NL'!$M$11),"x","")</f>
        <v/>
      </c>
    </row>
    <row r="284" spans="1:34" ht="15.75" customHeight="1">
      <c r="A284" s="398" t="str">
        <f>IF(B284&lt;&gt;"",IF(AND(B284&gt;=_TM1,B284&lt;=_TM2,OR(TH!N284="1111",TH!O284="1111")),TH!D284,""),"")</f>
        <v/>
      </c>
      <c r="B284" s="63">
        <f>IF(C284&lt;&gt;"",MONTH(C284),"")</f>
        <v>4</v>
      </c>
      <c r="C284" s="64">
        <f>E284</f>
        <v>42481</v>
      </c>
      <c r="D284" s="64" t="s">
        <v>8</v>
      </c>
      <c r="E284" s="64">
        <v>42481</v>
      </c>
      <c r="F284" s="67" t="s">
        <v>414</v>
      </c>
      <c r="G284" s="361" t="s">
        <v>810</v>
      </c>
      <c r="H284" s="74" t="s">
        <v>171</v>
      </c>
      <c r="I284" s="515"/>
      <c r="J284" s="515"/>
      <c r="K284" s="507"/>
      <c r="L284" s="515"/>
      <c r="M284" s="65">
        <v>8187032</v>
      </c>
      <c r="N284" s="66" t="s">
        <v>134</v>
      </c>
      <c r="O284" s="66" t="s">
        <v>31</v>
      </c>
      <c r="P284" s="66" t="str">
        <f>IF(AND('331-CT'!$E$7=TH!H334,OR(N284="331",O284="331")),"x","")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IF(AND('131-CT'!$H$9=TH!H334,OR(N284="131",O284="131")),"x","")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IF(OR(TH!N334=TH!$AB$7,O284=TH!$AB$7),"x","")</f>
        <v/>
      </c>
      <c r="AC284" s="66" t="str">
        <f>IF(AND(1&lt;=$B284,$B284&lt;=3),"1",IF(AND(4&lt;=$B284,$B284&lt;=6),"2",IF(AND(7&lt;=$B284,$B284&lt;=9),"3",IF(AND(10&lt;=$B284,$B284&lt;=12),"4",""))))</f>
        <v>2</v>
      </c>
      <c r="AD284" s="66" t="str">
        <f>IF(AND(MONTH(E284)&lt;='IN-NX'!$P$3,'IN-NX'!$D$7=D284,OR(LEFT(TH!N334,2)="15",LEFT(TH!O334,2)="15")),"x","")</f>
        <v/>
      </c>
      <c r="AE284" s="66" t="str">
        <f>IF(AND(OR(LEFT(TH!N334,2)="15",LEFT(TH!O334,2)="15"),'152-CT'!$J$8=TH!F334),"x","")</f>
        <v/>
      </c>
      <c r="AF284" s="66" t="str">
        <f>IF(AND(OR(LEFT(TH!N334,2)="15",LEFT(TH!O334,2)="15"),'THE KHO'!$E$7=TH!F334),"x","")</f>
        <v/>
      </c>
      <c r="AG284" s="66" t="str">
        <f>IF(AND(N284="1521",MONTH(C284)='BK NL'!$M$11),"x","")</f>
        <v/>
      </c>
    </row>
    <row r="285" spans="1:34" ht="15.75" customHeight="1">
      <c r="A285" s="398" t="str">
        <f>IF(B285&lt;&gt;"",IF(AND(B285&gt;=_TM1,B285&lt;=_TM2,OR(TH!N285="1111",TH!O285="1111")),TH!D285,""),"")</f>
        <v/>
      </c>
      <c r="B285" s="63">
        <f>IF(C285&lt;&gt;"",MONTH(C285),"")</f>
        <v>4</v>
      </c>
      <c r="C285" s="64">
        <f>E285</f>
        <v>42481</v>
      </c>
      <c r="D285" s="64" t="s">
        <v>8</v>
      </c>
      <c r="E285" s="64">
        <v>42481</v>
      </c>
      <c r="F285" s="67" t="s">
        <v>414</v>
      </c>
      <c r="G285" s="361" t="s">
        <v>810</v>
      </c>
      <c r="H285" s="74" t="s">
        <v>172</v>
      </c>
      <c r="I285" s="515"/>
      <c r="J285" s="515"/>
      <c r="K285" s="507"/>
      <c r="L285" s="515"/>
      <c r="M285" s="65">
        <v>12280547</v>
      </c>
      <c r="N285" s="66" t="s">
        <v>134</v>
      </c>
      <c r="O285" s="66" t="s">
        <v>31</v>
      </c>
      <c r="P285" s="66" t="str">
        <f>IF(AND('331-CT'!$E$7=TH!H335,OR(N285="331",O285="331")),"x","")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IF(AND('131-CT'!$H$9=TH!H335,OR(N285="131",O285="131")),"x","")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IF(OR(TH!N335=TH!$AB$7,O285=TH!$AB$7),"x","")</f>
        <v/>
      </c>
      <c r="AC285" s="66" t="str">
        <f>IF(AND(1&lt;=$B285,$B285&lt;=3),"1",IF(AND(4&lt;=$B285,$B285&lt;=6),"2",IF(AND(7&lt;=$B285,$B285&lt;=9),"3",IF(AND(10&lt;=$B285,$B285&lt;=12),"4",""))))</f>
        <v>2</v>
      </c>
      <c r="AD285" s="66" t="str">
        <f>IF(AND(MONTH(E285)&lt;='IN-NX'!$P$3,'IN-NX'!$D$7=D285,OR(LEFT(TH!N335,2)="15",LEFT(TH!O335,2)="15")),"x","")</f>
        <v/>
      </c>
      <c r="AE285" s="66" t="str">
        <f>IF(AND(OR(LEFT(TH!N335,2)="15",LEFT(TH!O335,2)="15"),'152-CT'!$J$8=TH!F335),"x","")</f>
        <v/>
      </c>
      <c r="AF285" s="66" t="str">
        <f>IF(AND(OR(LEFT(TH!N335,2)="15",LEFT(TH!O335,2)="15"),'THE KHO'!$E$7=TH!F335),"x","")</f>
        <v/>
      </c>
      <c r="AG285" s="66" t="str">
        <f>IF(AND(N285="1521",MONTH(C285)='BK NL'!$M$11),"x","")</f>
        <v/>
      </c>
    </row>
    <row r="286" spans="1:34" ht="15.75" customHeight="1">
      <c r="A286" s="398" t="str">
        <f>IF(B286&lt;&gt;"",IF(AND(B286&gt;=_TM1,B286&lt;=_TM2,OR(TH!N286="1111",TH!O286="1111")),TH!D286,""),"")</f>
        <v/>
      </c>
      <c r="B286" s="63">
        <f>IF(C286&lt;&gt;"",MONTH(C286),"")</f>
        <v>4</v>
      </c>
      <c r="C286" s="64">
        <f>E286</f>
        <v>42481</v>
      </c>
      <c r="D286" s="64" t="s">
        <v>8</v>
      </c>
      <c r="E286" s="64">
        <v>42481</v>
      </c>
      <c r="F286" s="67" t="s">
        <v>414</v>
      </c>
      <c r="G286" s="361" t="s">
        <v>810</v>
      </c>
      <c r="H286" s="74" t="s">
        <v>173</v>
      </c>
      <c r="I286" s="518"/>
      <c r="J286" s="518"/>
      <c r="K286" s="510"/>
      <c r="L286" s="518"/>
      <c r="M286" s="65">
        <v>16374064</v>
      </c>
      <c r="N286" s="66" t="s">
        <v>134</v>
      </c>
      <c r="O286" s="66" t="s">
        <v>31</v>
      </c>
      <c r="P286" s="66" t="str">
        <f>IF(AND('331-CT'!$E$7=TH!H336,OR(N286="331",O286="331")),"x","")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IF(AND('131-CT'!$H$9=TH!H336,OR(N286="131",O286="131")),"x","")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IF(OR(TH!N336=TH!$AB$7,O286=TH!$AB$7),"x","")</f>
        <v/>
      </c>
      <c r="AC286" s="66" t="str">
        <f>IF(AND(1&lt;=$B286,$B286&lt;=3),"1",IF(AND(4&lt;=$B286,$B286&lt;=6),"2",IF(AND(7&lt;=$B286,$B286&lt;=9),"3",IF(AND(10&lt;=$B286,$B286&lt;=12),"4",""))))</f>
        <v>2</v>
      </c>
      <c r="AD286" s="66" t="str">
        <f>IF(AND(MONTH(E286)&lt;='IN-NX'!$P$3,'IN-NX'!$D$7=D286,OR(LEFT(TH!N336,2)="15",LEFT(TH!O336,2)="15")),"x","")</f>
        <v/>
      </c>
      <c r="AE286" s="66" t="str">
        <f>IF(AND(OR(LEFT(TH!N336,2)="15",LEFT(TH!O336,2)="15"),'152-CT'!$J$8=TH!F336),"x","")</f>
        <v/>
      </c>
      <c r="AF286" s="66" t="str">
        <f>IF(AND(OR(LEFT(TH!N336,2)="15",LEFT(TH!O336,2)="15"),'THE KHO'!$E$7=TH!F336),"x","")</f>
        <v/>
      </c>
      <c r="AG286" s="66" t="str">
        <f>IF(AND(N286="1521",MONTH(C286)='BK NL'!$M$11),"x","")</f>
        <v/>
      </c>
    </row>
    <row r="287" spans="1:34" ht="15.75" customHeight="1">
      <c r="A287" s="398" t="str">
        <f>IF(B287&lt;&gt;"",IF(AND(B287&gt;=_TM1,B287&lt;=_TM2,OR(TH!N287="1111",TH!O287="1111")),TH!D287,""),"")</f>
        <v/>
      </c>
      <c r="B287" s="63">
        <f>IF(C287&lt;&gt;"",MONTH(C287),"")</f>
        <v>4</v>
      </c>
      <c r="C287" s="64">
        <f>E287</f>
        <v>42481</v>
      </c>
      <c r="D287" s="64" t="s">
        <v>8</v>
      </c>
      <c r="E287" s="64">
        <v>42481</v>
      </c>
      <c r="F287" s="67" t="s">
        <v>414</v>
      </c>
      <c r="G287" s="361" t="s">
        <v>810</v>
      </c>
      <c r="H287" s="74" t="s">
        <v>174</v>
      </c>
      <c r="I287" s="518"/>
      <c r="J287" s="518"/>
      <c r="K287" s="510"/>
      <c r="L287" s="518"/>
      <c r="M287" s="65">
        <v>11461845</v>
      </c>
      <c r="N287" s="66" t="s">
        <v>134</v>
      </c>
      <c r="O287" s="66" t="s">
        <v>31</v>
      </c>
      <c r="P287" s="66" t="str">
        <f>IF(AND('331-CT'!$E$7=TH!H337,OR(N287="331",O287="331")),"x","")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IF(AND('131-CT'!$H$9=TH!H337,OR(N287="131",O287="131")),"x","")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IF(OR(TH!N337=TH!$AB$7,O287=TH!$AB$7),"x","")</f>
        <v/>
      </c>
      <c r="AC287" s="66" t="str">
        <f>IF(AND(1&lt;=$B287,$B287&lt;=3),"1",IF(AND(4&lt;=$B287,$B287&lt;=6),"2",IF(AND(7&lt;=$B287,$B287&lt;=9),"3",IF(AND(10&lt;=$B287,$B287&lt;=12),"4",""))))</f>
        <v>2</v>
      </c>
      <c r="AD287" s="66" t="str">
        <f>IF(AND(MONTH(E287)&lt;='IN-NX'!$P$3,'IN-NX'!$D$7=D287,OR(LEFT(TH!N337,2)="15",LEFT(TH!O337,2)="15")),"x","")</f>
        <v/>
      </c>
      <c r="AE287" s="66" t="str">
        <f>IF(AND(OR(LEFT(TH!N337,2)="15",LEFT(TH!O337,2)="15"),'152-CT'!$J$8=TH!F337),"x","")</f>
        <v/>
      </c>
      <c r="AF287" s="66" t="str">
        <f>IF(AND(OR(LEFT(TH!N337,2)="15",LEFT(TH!O337,2)="15"),'THE KHO'!$E$7=TH!F337),"x","")</f>
        <v/>
      </c>
      <c r="AG287" s="66" t="str">
        <f>IF(AND(N287="1521",MONTH(C287)='BK NL'!$M$11),"x","")</f>
        <v/>
      </c>
    </row>
    <row r="288" spans="1:34" ht="15.75" customHeight="1">
      <c r="A288" s="398" t="str">
        <f>IF(B288&lt;&gt;"",IF(AND(B288&gt;=_TM1,B288&lt;=_TM2,OR(TH!N288="1111",TH!O288="1111")),TH!D288,""),"")</f>
        <v/>
      </c>
      <c r="B288" s="63">
        <f>IF(C288&lt;&gt;"",MONTH(C288),"")</f>
        <v>4</v>
      </c>
      <c r="C288" s="64">
        <f>E288</f>
        <v>42481</v>
      </c>
      <c r="D288" s="64" t="s">
        <v>8</v>
      </c>
      <c r="E288" s="64">
        <v>42481</v>
      </c>
      <c r="F288" s="67" t="s">
        <v>414</v>
      </c>
      <c r="G288" s="361" t="s">
        <v>810</v>
      </c>
      <c r="H288" s="405" t="s">
        <v>175</v>
      </c>
      <c r="I288" s="518"/>
      <c r="J288" s="518"/>
      <c r="K288" s="510"/>
      <c r="L288" s="518"/>
      <c r="M288" s="65">
        <v>12280547</v>
      </c>
      <c r="N288" s="66" t="s">
        <v>134</v>
      </c>
      <c r="O288" s="66" t="s">
        <v>31</v>
      </c>
      <c r="P288" s="66" t="str">
        <f>IF(AND('331-CT'!$E$7=TH!H338,OR(N288="331",O288="331")),"x","")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IF(AND('131-CT'!$H$9=TH!H338,OR(N288="131",O288="131")),"x","")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IF(OR(TH!N338=TH!$AB$7,O288=TH!$AB$7),"x","")</f>
        <v/>
      </c>
      <c r="AC288" s="66" t="str">
        <f>IF(AND(1&lt;=$B288,$B288&lt;=3),"1",IF(AND(4&lt;=$B288,$B288&lt;=6),"2",IF(AND(7&lt;=$B288,$B288&lt;=9),"3",IF(AND(10&lt;=$B288,$B288&lt;=12),"4",""))))</f>
        <v>2</v>
      </c>
      <c r="AD288" s="66" t="str">
        <f>IF(AND(MONTH(E288)&lt;='IN-NX'!$P$3,'IN-NX'!$D$7=D288,OR(LEFT(TH!N338,2)="15",LEFT(TH!O338,2)="15")),"x","")</f>
        <v/>
      </c>
      <c r="AE288" s="66" t="str">
        <f>IF(AND(OR(LEFT(TH!N338,2)="15",LEFT(TH!O338,2)="15"),'152-CT'!$J$8=TH!F338),"x","")</f>
        <v/>
      </c>
      <c r="AF288" s="66" t="str">
        <f>IF(AND(OR(LEFT(TH!N338,2)="15",LEFT(TH!O338,2)="15"),'THE KHO'!$E$7=TH!F338),"x","")</f>
        <v/>
      </c>
      <c r="AG288" s="66" t="str">
        <f>IF(AND(N288="1521",MONTH(C288)='BK NL'!$M$11),"x","")</f>
        <v/>
      </c>
      <c r="AH288" s="407"/>
    </row>
    <row r="289" spans="1:34" ht="15.75" customHeight="1">
      <c r="A289" s="398" t="str">
        <f>IF(B289&lt;&gt;"",IF(AND(B289&gt;=_TM1,B289&lt;=_TM2,OR(TH!N289="1111",TH!O289="1111")),TH!D289,""),"")</f>
        <v/>
      </c>
      <c r="B289" s="63">
        <f>IF(C289&lt;&gt;"",MONTH(C289),"")</f>
        <v>4</v>
      </c>
      <c r="C289" s="64">
        <f>E289</f>
        <v>42481</v>
      </c>
      <c r="D289" s="64" t="s">
        <v>8</v>
      </c>
      <c r="E289" s="64">
        <v>42481</v>
      </c>
      <c r="F289" s="67" t="s">
        <v>414</v>
      </c>
      <c r="G289" s="361" t="s">
        <v>810</v>
      </c>
      <c r="H289" s="74" t="s">
        <v>177</v>
      </c>
      <c r="I289" s="518"/>
      <c r="J289" s="518"/>
      <c r="K289" s="510"/>
      <c r="L289" s="518"/>
      <c r="M289" s="65">
        <v>12280547</v>
      </c>
      <c r="N289" s="66" t="s">
        <v>134</v>
      </c>
      <c r="O289" s="66" t="s">
        <v>31</v>
      </c>
      <c r="P289" s="66" t="str">
        <f>IF(AND('331-CT'!$E$7=TH!H339,OR(N289="331",O289="331")),"x","")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IF(AND('131-CT'!$H$9=TH!H339,OR(N289="131",O289="131")),"x","")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IF(OR(TH!N339=TH!$AB$7,O289=TH!$AB$7),"x","")</f>
        <v/>
      </c>
      <c r="AC289" s="66" t="str">
        <f>IF(AND(1&lt;=$B289,$B289&lt;=3),"1",IF(AND(4&lt;=$B289,$B289&lt;=6),"2",IF(AND(7&lt;=$B289,$B289&lt;=9),"3",IF(AND(10&lt;=$B289,$B289&lt;=12),"4",""))))</f>
        <v>2</v>
      </c>
      <c r="AD289" s="66" t="str">
        <f>IF(AND(MONTH(E289)&lt;='IN-NX'!$P$3,'IN-NX'!$D$7=D289,OR(LEFT(TH!N339,2)="15",LEFT(TH!O339,2)="15")),"x","")</f>
        <v/>
      </c>
      <c r="AE289" s="66" t="str">
        <f>IF(AND(OR(LEFT(TH!N339,2)="15",LEFT(TH!O339,2)="15"),'152-CT'!$J$8=TH!F339),"x","")</f>
        <v/>
      </c>
      <c r="AF289" s="66" t="str">
        <f>IF(AND(OR(LEFT(TH!N339,2)="15",LEFT(TH!O339,2)="15"),'THE KHO'!$E$7=TH!F339),"x","")</f>
        <v/>
      </c>
      <c r="AG289" s="66" t="str">
        <f>IF(AND(N289="1521",MONTH(C289)='BK NL'!$M$11),"x","")</f>
        <v/>
      </c>
    </row>
    <row r="290" spans="1:34" s="410" customFormat="1" ht="15.75" customHeight="1">
      <c r="A290" s="398" t="str">
        <f>IF(B290&lt;&gt;"",IF(AND(B290&gt;=_TM1,B290&lt;=_TM2,OR(TH!N290="1111",TH!O290="1111")),TH!D290,""),"")</f>
        <v/>
      </c>
      <c r="B290" s="63">
        <f>IF(C290&lt;&gt;"",MONTH(C290),"")</f>
        <v>4</v>
      </c>
      <c r="C290" s="64">
        <f>E290</f>
        <v>42481</v>
      </c>
      <c r="D290" s="64" t="s">
        <v>8</v>
      </c>
      <c r="E290" s="64">
        <v>42481</v>
      </c>
      <c r="F290" s="67" t="s">
        <v>414</v>
      </c>
      <c r="G290" s="361" t="s">
        <v>810</v>
      </c>
      <c r="H290" s="405" t="s">
        <v>180</v>
      </c>
      <c r="I290" s="518"/>
      <c r="J290" s="518"/>
      <c r="K290" s="510"/>
      <c r="L290" s="518"/>
      <c r="M290" s="65">
        <v>12280547</v>
      </c>
      <c r="N290" s="66" t="s">
        <v>134</v>
      </c>
      <c r="O290" s="66" t="s">
        <v>31</v>
      </c>
      <c r="P290" s="66" t="str">
        <f>IF(AND('331-CT'!$E$7=TH!H340,OR(N290="331",O290="331")),"x","")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IF(AND('131-CT'!$H$9=TH!H340,OR(N290="131",O290="131")),"x","")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IF(OR(TH!N340=TH!$AB$7,O290=TH!$AB$7),"x","")</f>
        <v/>
      </c>
      <c r="AC290" s="66" t="str">
        <f>IF(AND(1&lt;=$B290,$B290&lt;=3),"1",IF(AND(4&lt;=$B290,$B290&lt;=6),"2",IF(AND(7&lt;=$B290,$B290&lt;=9),"3",IF(AND(10&lt;=$B290,$B290&lt;=12),"4",""))))</f>
        <v>2</v>
      </c>
      <c r="AD290" s="66" t="str">
        <f>IF(AND(MONTH(E290)&lt;='IN-NX'!$P$3,'IN-NX'!$D$7=D290,OR(LEFT(TH!N340,2)="15",LEFT(TH!O340,2)="15")),"x","")</f>
        <v/>
      </c>
      <c r="AE290" s="66" t="str">
        <f>IF(AND(OR(LEFT(TH!N340,2)="15",LEFT(TH!O340,2)="15"),'152-CT'!$J$8=TH!F340),"x","")</f>
        <v/>
      </c>
      <c r="AF290" s="66" t="str">
        <f>IF(AND(OR(LEFT(TH!N340,2)="15",LEFT(TH!O340,2)="15"),'THE KHO'!$E$7=TH!F340),"x","")</f>
        <v/>
      </c>
      <c r="AG290" s="66" t="str">
        <f>IF(AND(N290="1521",MONTH(C290)='BK NL'!$M$11),"x","")</f>
        <v/>
      </c>
      <c r="AH290" s="387"/>
    </row>
    <row r="291" spans="1:34" s="410" customFormat="1" ht="15.75" customHeight="1">
      <c r="A291" s="398" t="str">
        <f>IF(B291&lt;&gt;"",IF(AND(B291&gt;=_TM1,B291&lt;=_TM2,OR(TH!N291="1111",TH!O291="1111")),TH!D291,""),"")</f>
        <v/>
      </c>
      <c r="B291" s="63">
        <f>IF(C291&lt;&gt;"",MONTH(C291),"")</f>
        <v>4</v>
      </c>
      <c r="C291" s="64">
        <f>E291</f>
        <v>42481</v>
      </c>
      <c r="D291" s="64" t="s">
        <v>8</v>
      </c>
      <c r="E291" s="64">
        <v>42481</v>
      </c>
      <c r="F291" s="67" t="s">
        <v>414</v>
      </c>
      <c r="G291" s="361" t="s">
        <v>810</v>
      </c>
      <c r="H291" s="74" t="s">
        <v>181</v>
      </c>
      <c r="I291" s="518"/>
      <c r="J291" s="518"/>
      <c r="K291" s="510"/>
      <c r="L291" s="518"/>
      <c r="M291" s="65">
        <v>8187032</v>
      </c>
      <c r="N291" s="66" t="s">
        <v>134</v>
      </c>
      <c r="O291" s="66" t="s">
        <v>31</v>
      </c>
      <c r="P291" s="66" t="str">
        <f>IF(AND('331-CT'!$E$7=TH!H341,OR(N291="331",O291="331")),"x","")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IF(AND('131-CT'!$H$9=TH!H341,OR(N291="131",O291="131")),"x","")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IF(OR(TH!N341=TH!$AB$7,O291=TH!$AB$7),"x","")</f>
        <v/>
      </c>
      <c r="AC291" s="66" t="str">
        <f>IF(AND(1&lt;=$B291,$B291&lt;=3),"1",IF(AND(4&lt;=$B291,$B291&lt;=6),"2",IF(AND(7&lt;=$B291,$B291&lt;=9),"3",IF(AND(10&lt;=$B291,$B291&lt;=12),"4",""))))</f>
        <v>2</v>
      </c>
      <c r="AD291" s="66" t="str">
        <f>IF(AND(MONTH(E291)&lt;='IN-NX'!$P$3,'IN-NX'!$D$7=D291,OR(LEFT(TH!N341,2)="15",LEFT(TH!O341,2)="15")),"x","")</f>
        <v/>
      </c>
      <c r="AE291" s="66" t="str">
        <f>IF(AND(OR(LEFT(TH!N341,2)="15",LEFT(TH!O341,2)="15"),'152-CT'!$J$8=TH!F341),"x","")</f>
        <v/>
      </c>
      <c r="AF291" s="66" t="str">
        <f>IF(AND(OR(LEFT(TH!N341,2)="15",LEFT(TH!O341,2)="15"),'THE KHO'!$E$7=TH!F341),"x","")</f>
        <v/>
      </c>
      <c r="AG291" s="66" t="str">
        <f>IF(AND(N291="1521",MONTH(C291)='BK NL'!$M$11),"x","")</f>
        <v/>
      </c>
      <c r="AH291" s="387"/>
    </row>
    <row r="292" spans="1:34" ht="15.75" customHeight="1">
      <c r="A292" s="398" t="str">
        <f>IF(B292&lt;&gt;"",IF(AND(B292&gt;=_TM1,B292&lt;=_TM2,OR(TH!N292="1111",TH!O292="1111")),TH!D292,""),"")</f>
        <v/>
      </c>
      <c r="B292" s="63">
        <f>IF(C292&lt;&gt;"",MONTH(C292),"")</f>
        <v>4</v>
      </c>
      <c r="C292" s="64">
        <f>E292</f>
        <v>42481</v>
      </c>
      <c r="D292" s="64" t="s">
        <v>8</v>
      </c>
      <c r="E292" s="64">
        <v>42481</v>
      </c>
      <c r="F292" s="67" t="s">
        <v>414</v>
      </c>
      <c r="G292" s="361" t="s">
        <v>810</v>
      </c>
      <c r="H292" s="74" t="s">
        <v>185</v>
      </c>
      <c r="I292" s="518"/>
      <c r="J292" s="518"/>
      <c r="K292" s="510"/>
      <c r="L292" s="518"/>
      <c r="M292" s="65">
        <v>8187032</v>
      </c>
      <c r="N292" s="66" t="s">
        <v>134</v>
      </c>
      <c r="O292" s="66" t="s">
        <v>31</v>
      </c>
      <c r="P292" s="66" t="str">
        <f>IF(AND('331-CT'!$E$7=TH!H342,OR(N292="331",O292="331")),"x","")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IF(AND('131-CT'!$H$9=TH!H342,OR(N292="131",O292="131")),"x","")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IF(OR(TH!N342=TH!$AB$7,O292=TH!$AB$7),"x","")</f>
        <v/>
      </c>
      <c r="AC292" s="66" t="str">
        <f>IF(AND(1&lt;=$B292,$B292&lt;=3),"1",IF(AND(4&lt;=$B292,$B292&lt;=6),"2",IF(AND(7&lt;=$B292,$B292&lt;=9),"3",IF(AND(10&lt;=$B292,$B292&lt;=12),"4",""))))</f>
        <v>2</v>
      </c>
      <c r="AD292" s="66" t="str">
        <f>IF(AND(MONTH(E292)&lt;='IN-NX'!$P$3,'IN-NX'!$D$7=D292,OR(LEFT(TH!N342,2)="15",LEFT(TH!O342,2)="15")),"x","")</f>
        <v/>
      </c>
      <c r="AE292" s="66" t="str">
        <f>IF(AND(OR(LEFT(TH!N342,2)="15",LEFT(TH!O342,2)="15"),'152-CT'!$J$8=TH!F342),"x","")</f>
        <v/>
      </c>
      <c r="AF292" s="66" t="str">
        <f>IF(AND(OR(LEFT(TH!N342,2)="15",LEFT(TH!O342,2)="15"),'THE KHO'!$E$7=TH!F342),"x","")</f>
        <v/>
      </c>
      <c r="AG292" s="66" t="str">
        <f>IF(AND(N292="1521",MONTH(C292)='BK NL'!$M$11),"x","")</f>
        <v/>
      </c>
    </row>
    <row r="293" spans="1:34" ht="15.75" customHeight="1">
      <c r="A293" s="398" t="str">
        <f>IF(B293&lt;&gt;"",IF(AND(B293&gt;=_TM1,B293&lt;=_TM2,OR(TH!N293="1111",TH!O293="1111")),TH!D293,""),"")</f>
        <v/>
      </c>
      <c r="B293" s="63">
        <f>IF(C293&lt;&gt;"",MONTH(C293),"")</f>
        <v>4</v>
      </c>
      <c r="C293" s="64">
        <f>E293</f>
        <v>42481</v>
      </c>
      <c r="D293" s="64" t="s">
        <v>8</v>
      </c>
      <c r="E293" s="64">
        <v>42481</v>
      </c>
      <c r="F293" s="67" t="s">
        <v>414</v>
      </c>
      <c r="G293" s="361" t="s">
        <v>810</v>
      </c>
      <c r="H293" s="74" t="s">
        <v>333</v>
      </c>
      <c r="I293" s="518"/>
      <c r="J293" s="518"/>
      <c r="K293" s="510"/>
      <c r="L293" s="518"/>
      <c r="M293" s="65">
        <v>6772110</v>
      </c>
      <c r="N293" s="66" t="s">
        <v>134</v>
      </c>
      <c r="O293" s="66" t="s">
        <v>31</v>
      </c>
      <c r="P293" s="66" t="str">
        <f>IF(AND('331-CT'!$E$7=TH!H343,OR(N293="331",O293="331")),"x","")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IF(AND('131-CT'!$H$9=TH!H343,OR(N293="131",O293="131")),"x","")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IF(OR(TH!N343=TH!$AB$7,O293=TH!$AB$7),"x","")</f>
        <v/>
      </c>
      <c r="AC293" s="66" t="str">
        <f>IF(AND(1&lt;=$B293,$B293&lt;=3),"1",IF(AND(4&lt;=$B293,$B293&lt;=6),"2",IF(AND(7&lt;=$B293,$B293&lt;=9),"3",IF(AND(10&lt;=$B293,$B293&lt;=12),"4",""))))</f>
        <v>2</v>
      </c>
      <c r="AD293" s="66" t="str">
        <f>IF(AND(MONTH(E293)&lt;='IN-NX'!$P$3,'IN-NX'!$D$7=D293,OR(LEFT(TH!N343,2)="15",LEFT(TH!O343,2)="15")),"x","")</f>
        <v/>
      </c>
      <c r="AE293" s="66" t="str">
        <f>IF(AND(OR(LEFT(TH!N343,2)="15",LEFT(TH!O343,2)="15"),'152-CT'!$J$8=TH!F343),"x","")</f>
        <v/>
      </c>
      <c r="AF293" s="66" t="str">
        <f>IF(AND(OR(LEFT(TH!N343,2)="15",LEFT(TH!O343,2)="15"),'THE KHO'!$E$7=TH!F343),"x","")</f>
        <v/>
      </c>
      <c r="AG293" s="66" t="str">
        <f>IF(AND(N293="1521",MONTH(C293)='BK NL'!$M$11),"x","")</f>
        <v/>
      </c>
    </row>
    <row r="294" spans="1:34" ht="15.75" customHeight="1">
      <c r="A294" s="398" t="str">
        <f>IF(B294&lt;&gt;"",IF(AND(B294&gt;=_TM1,B294&lt;=_TM2,OR(TH!N294="1111",TH!O294="1111")),TH!D294,""),"")</f>
        <v/>
      </c>
      <c r="B294" s="63">
        <f>IF(C294&lt;&gt;"",MONTH(C294),"")</f>
        <v>4</v>
      </c>
      <c r="C294" s="64">
        <f>E294</f>
        <v>42481</v>
      </c>
      <c r="D294" s="64" t="s">
        <v>8</v>
      </c>
      <c r="E294" s="64">
        <v>42481</v>
      </c>
      <c r="F294" s="67" t="s">
        <v>414</v>
      </c>
      <c r="G294" s="361" t="s">
        <v>810</v>
      </c>
      <c r="H294" s="74" t="s">
        <v>176</v>
      </c>
      <c r="I294" s="518"/>
      <c r="J294" s="518"/>
      <c r="K294" s="510"/>
      <c r="L294" s="518"/>
      <c r="M294" s="65">
        <v>12280547</v>
      </c>
      <c r="N294" s="66" t="s">
        <v>134</v>
      </c>
      <c r="O294" s="66" t="s">
        <v>31</v>
      </c>
      <c r="P294" s="66" t="str">
        <f>IF(AND('331-CT'!$E$7=TH!H344,OR(N294="331",O294="331")),"x","")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IF(AND('131-CT'!$H$9=TH!H344,OR(N294="131",O294="131")),"x","")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IF(OR(TH!N344=TH!$AB$7,O294=TH!$AB$7),"x","")</f>
        <v/>
      </c>
      <c r="AC294" s="66" t="str">
        <f>IF(AND(1&lt;=$B294,$B294&lt;=3),"1",IF(AND(4&lt;=$B294,$B294&lt;=6),"2",IF(AND(7&lt;=$B294,$B294&lt;=9),"3",IF(AND(10&lt;=$B294,$B294&lt;=12),"4",""))))</f>
        <v>2</v>
      </c>
      <c r="AD294" s="66" t="str">
        <f>IF(AND(MONTH(E294)&lt;='IN-NX'!$P$3,'IN-NX'!$D$7=D294,OR(LEFT(TH!N344,2)="15",LEFT(TH!O344,2)="15")),"x","")</f>
        <v/>
      </c>
      <c r="AE294" s="66" t="str">
        <f>IF(AND(OR(LEFT(TH!N344,2)="15",LEFT(TH!O344,2)="15"),'152-CT'!$J$8=TH!F344),"x","")</f>
        <v/>
      </c>
      <c r="AF294" s="66" t="str">
        <f>IF(AND(OR(LEFT(TH!N344,2)="15",LEFT(TH!O344,2)="15"),'THE KHO'!$E$7=TH!F344),"x","")</f>
        <v/>
      </c>
      <c r="AG294" s="66" t="str">
        <f>IF(AND(N294="1521",MONTH(C294)='BK NL'!$M$11),"x","")</f>
        <v/>
      </c>
    </row>
    <row r="295" spans="1:34" ht="15.75" customHeight="1">
      <c r="A295" s="398" t="str">
        <f>IF(B295&lt;&gt;"",IF(AND(B295&gt;=_TM1,B295&lt;=_TM2,OR(TH!N295="1111",TH!O295="1111")),TH!D295,""),"")</f>
        <v/>
      </c>
      <c r="B295" s="63">
        <f>IF(C295&lt;&gt;"",MONTH(C295),"")</f>
        <v>4</v>
      </c>
      <c r="C295" s="64">
        <f>E295</f>
        <v>42482</v>
      </c>
      <c r="D295" s="64" t="s">
        <v>8</v>
      </c>
      <c r="E295" s="64">
        <v>42482</v>
      </c>
      <c r="F295" s="1267" t="s">
        <v>164</v>
      </c>
      <c r="G295" s="361" t="s">
        <v>810</v>
      </c>
      <c r="H295" s="7" t="s">
        <v>166</v>
      </c>
      <c r="I295" s="518"/>
      <c r="J295" s="518"/>
      <c r="K295" s="510"/>
      <c r="L295" s="518"/>
      <c r="M295" s="65">
        <v>60000000</v>
      </c>
      <c r="N295" s="66" t="s">
        <v>9</v>
      </c>
      <c r="O295" s="66" t="s">
        <v>31</v>
      </c>
      <c r="P295" s="66" t="str">
        <f>IF(AND('331-CT'!$E$7=TH!H345,OR(N295="331",O295="331")),"x","")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IF(AND('131-CT'!$H$9=TH!H345,OR(N295="131",O295="131")),"x","")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IF(OR(TH!N345=TH!$AB$7,O295=TH!$AB$7),"x","")</f>
        <v/>
      </c>
      <c r="AC295" s="66" t="str">
        <f>IF(AND(1&lt;=$B295,$B295&lt;=3),"1",IF(AND(4&lt;=$B295,$B295&lt;=6),"2",IF(AND(7&lt;=$B295,$B295&lt;=9),"3",IF(AND(10&lt;=$B295,$B295&lt;=12),"4",""))))</f>
        <v>2</v>
      </c>
      <c r="AD295" s="66" t="str">
        <f>IF(AND(MONTH(E295)&lt;='IN-NX'!$P$3,'IN-NX'!$D$7=D295,OR(LEFT(TH!N345,2)="15",LEFT(TH!O345,2)="15")),"x","")</f>
        <v/>
      </c>
      <c r="AE295" s="66" t="str">
        <f>IF(AND(OR(LEFT(TH!N345,2)="15",LEFT(TH!O345,2)="15"),'152-CT'!$J$8=TH!F345),"x","")</f>
        <v/>
      </c>
      <c r="AF295" s="66" t="str">
        <f>IF(AND(OR(LEFT(TH!N345,2)="15",LEFT(TH!O345,2)="15"),'THE KHO'!$E$7=TH!F345),"x","")</f>
        <v/>
      </c>
      <c r="AG295" s="66" t="str">
        <f>IF(AND(N295="1521",MONTH(C295)='BK NL'!$M$11),"x","")</f>
        <v/>
      </c>
    </row>
    <row r="296" spans="1:34" ht="15.75" customHeight="1">
      <c r="A296" s="398" t="str">
        <f>IF(B296&lt;&gt;"",IF(AND(B296&gt;=_TM1,B296&lt;=_TM2,OR(TH!N296="1111",TH!O296="1111")),TH!D296,""),"")</f>
        <v/>
      </c>
      <c r="B296" s="63">
        <f>IF(C296&lt;&gt;"",MONTH(C296),"")</f>
        <v>4</v>
      </c>
      <c r="C296" s="64">
        <f>E296</f>
        <v>42482</v>
      </c>
      <c r="D296" s="64" t="s">
        <v>8</v>
      </c>
      <c r="E296" s="64">
        <v>42482</v>
      </c>
      <c r="F296" s="67" t="s">
        <v>22</v>
      </c>
      <c r="G296" s="361" t="s">
        <v>810</v>
      </c>
      <c r="H296" s="406"/>
      <c r="I296" s="518"/>
      <c r="J296" s="518"/>
      <c r="K296" s="510"/>
      <c r="L296" s="518"/>
      <c r="M296" s="65">
        <v>50000</v>
      </c>
      <c r="N296" s="66" t="s">
        <v>136</v>
      </c>
      <c r="O296" s="66" t="s">
        <v>31</v>
      </c>
      <c r="P296" s="66" t="str">
        <f>IF(AND('331-CT'!$E$7=TH!H346,OR(N296="331",O296="331")),"x","")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IF(AND('131-CT'!$H$9=TH!H346,OR(N296="131",O296="131")),"x","")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IF(OR(TH!N346=TH!$AB$7,O296=TH!$AB$7),"x","")</f>
        <v/>
      </c>
      <c r="AC296" s="66" t="str">
        <f>IF(AND(1&lt;=$B296,$B296&lt;=3),"1",IF(AND(4&lt;=$B296,$B296&lt;=6),"2",IF(AND(7&lt;=$B296,$B296&lt;=9),"3",IF(AND(10&lt;=$B296,$B296&lt;=12),"4",""))))</f>
        <v>2</v>
      </c>
      <c r="AD296" s="66" t="str">
        <f>IF(AND(MONTH(E296)&lt;='IN-NX'!$P$3,'IN-NX'!$D$7=D296,OR(LEFT(TH!N346,2)="15",LEFT(TH!O346,2)="15")),"x","")</f>
        <v/>
      </c>
      <c r="AE296" s="66" t="str">
        <f>IF(AND(OR(LEFT(TH!N346,2)="15",LEFT(TH!O346,2)="15"),'152-CT'!$J$8=TH!F346),"x","")</f>
        <v/>
      </c>
      <c r="AF296" s="66" t="str">
        <f>IF(AND(OR(LEFT(TH!N346,2)="15",LEFT(TH!O346,2)="15"),'THE KHO'!$E$7=TH!F346),"x","")</f>
        <v/>
      </c>
      <c r="AG296" s="66" t="str">
        <f>IF(AND(N296="1521",MONTH(C296)='BK NL'!$M$11),"x","")</f>
        <v/>
      </c>
    </row>
    <row r="297" spans="1:34" ht="15.75" customHeight="1">
      <c r="A297" s="398" t="str">
        <f>IF(B297&lt;&gt;"",IF(AND(B297&gt;=_TM1,B297&lt;=_TM2,OR(TH!N297="1111",TH!O297="1111")),TH!D297,""),"")</f>
        <v/>
      </c>
      <c r="B297" s="63">
        <f>IF(C297&lt;&gt;"",MONTH(C297),"")</f>
        <v>4</v>
      </c>
      <c r="C297" s="64">
        <f>E297</f>
        <v>42482</v>
      </c>
      <c r="D297" s="64" t="s">
        <v>8</v>
      </c>
      <c r="E297" s="64">
        <v>42482</v>
      </c>
      <c r="F297" s="67" t="s">
        <v>23</v>
      </c>
      <c r="G297" s="361" t="s">
        <v>810</v>
      </c>
      <c r="H297" s="406"/>
      <c r="I297" s="518"/>
      <c r="J297" s="518"/>
      <c r="K297" s="510"/>
      <c r="L297" s="518"/>
      <c r="M297" s="65">
        <v>5000</v>
      </c>
      <c r="N297" s="66" t="s">
        <v>10</v>
      </c>
      <c r="O297" s="66" t="s">
        <v>31</v>
      </c>
      <c r="P297" s="66" t="str">
        <f>IF(AND('331-CT'!$E$7=TH!H347,OR(N297="331",O297="331")),"x","")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IF(AND('131-CT'!$H$9=TH!H347,OR(N297="131",O297="131")),"x","")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IF(OR(TH!N347=TH!$AB$7,O297=TH!$AB$7),"x","")</f>
        <v/>
      </c>
      <c r="AC297" s="66" t="str">
        <f>IF(AND(1&lt;=$B297,$B297&lt;=3),"1",IF(AND(4&lt;=$B297,$B297&lt;=6),"2",IF(AND(7&lt;=$B297,$B297&lt;=9),"3",IF(AND(10&lt;=$B297,$B297&lt;=12),"4",""))))</f>
        <v>2</v>
      </c>
      <c r="AD297" s="66" t="str">
        <f>IF(AND(MONTH(E297)&lt;='IN-NX'!$P$3,'IN-NX'!$D$7=D297,OR(LEFT(TH!N347,2)="15",LEFT(TH!O347,2)="15")),"x","")</f>
        <v/>
      </c>
      <c r="AE297" s="66" t="str">
        <f>IF(AND(OR(LEFT(TH!N347,2)="15",LEFT(TH!O347,2)="15"),'152-CT'!$J$8=TH!F347),"x","")</f>
        <v/>
      </c>
      <c r="AF297" s="66" t="str">
        <f>IF(AND(OR(LEFT(TH!N347,2)="15",LEFT(TH!O347,2)="15"),'THE KHO'!$E$7=TH!F347),"x","")</f>
        <v/>
      </c>
      <c r="AG297" s="66" t="str">
        <f>IF(AND(N297="1521",MONTH(C297)='BK NL'!$M$11),"x","")</f>
        <v/>
      </c>
    </row>
    <row r="298" spans="1:34" ht="15.75" customHeight="1">
      <c r="A298" s="398" t="str">
        <f>IF(B298&lt;&gt;"",IF(AND(B298&gt;=_TM1,B298&lt;=_TM2,OR(TH!N298="1111",TH!O298="1111")),TH!D298,""),"")</f>
        <v>C20</v>
      </c>
      <c r="B298" s="63">
        <f>IF(C298&lt;&gt;"",MONTH(C298),"")</f>
        <v>4</v>
      </c>
      <c r="C298" s="64">
        <f>E298</f>
        <v>42483</v>
      </c>
      <c r="D298" s="64" t="s">
        <v>82</v>
      </c>
      <c r="E298" s="64">
        <v>42483</v>
      </c>
      <c r="F298" s="67" t="s">
        <v>408</v>
      </c>
      <c r="G298" s="375" t="s">
        <v>908</v>
      </c>
      <c r="H298" s="405" t="s">
        <v>330</v>
      </c>
      <c r="I298" s="516"/>
      <c r="J298" s="516"/>
      <c r="K298" s="508"/>
      <c r="L298" s="516"/>
      <c r="M298" s="65">
        <v>618000</v>
      </c>
      <c r="N298" s="66" t="s">
        <v>243</v>
      </c>
      <c r="O298" s="66" t="s">
        <v>98</v>
      </c>
      <c r="P298" s="66" t="str">
        <f>IF(AND('331-CT'!$E$7=TH!H276,OR(N298="331",O298="331")),"x","")</f>
        <v/>
      </c>
      <c r="Q298" s="66" t="str">
        <f>IF(AND($B298&gt;='111'!$N$11,$B298&lt;='111'!$O$11,OR($N298=$Q$7,$O298=$Q$7)),"x","")</f>
        <v>x</v>
      </c>
      <c r="R298" s="66" t="str">
        <f>IF(AND($N298=$Q$7,$B298&lt;'111'!$N$11),"x","")</f>
        <v/>
      </c>
      <c r="S298" s="66" t="str">
        <f>IF(AND($O298=$Q$7,$B298&lt;'111'!$N$11),"x","")</f>
        <v/>
      </c>
      <c r="T298" s="66" t="str">
        <f>IF(AND($B298&gt;='112'!$M$9,$B298&lt;='112'!$N$9,OR($N298='112'!$I$6,$O298='112'!$I$6)),"x","")</f>
        <v/>
      </c>
      <c r="U298" s="66" t="str">
        <f>IF(AND($N298='112'!$I$6,$B298&lt;'112'!$M$9),"x","")</f>
        <v/>
      </c>
      <c r="V298" s="66" t="str">
        <f>IF(AND($O298='112'!$I$6,$B298&lt;'112'!$M$9),"x","")</f>
        <v/>
      </c>
      <c r="W298" s="66" t="str">
        <f>IF(AND('131-CT'!$H$9=TH!H276,OR(N298="131",O298="131")),"x","")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IF(OR(TH!N276=TH!$AB$7,O298=TH!$AB$7),"x","")</f>
        <v/>
      </c>
      <c r="AC298" s="66" t="str">
        <f>IF(AND(1&lt;=$B298,$B298&lt;=3),"1",IF(AND(4&lt;=$B298,$B298&lt;=6),"2",IF(AND(7&lt;=$B298,$B298&lt;=9),"3",IF(AND(10&lt;=$B298,$B298&lt;=12),"4",""))))</f>
        <v>2</v>
      </c>
      <c r="AD298" s="66" t="str">
        <f>IF(AND(MONTH(E298)&lt;='IN-NX'!$P$3,'IN-NX'!$D$7=D298,OR(LEFT(TH!N276,2)="15",LEFT(TH!O276,2)="15")),"x","")</f>
        <v/>
      </c>
      <c r="AE298" s="66" t="str">
        <f>IF(AND(OR(LEFT(TH!N276,2)="15",LEFT(TH!O276,2)="15"),'152-CT'!$J$8=TH!F276),"x","")</f>
        <v/>
      </c>
      <c r="AF298" s="66" t="str">
        <f>IF(AND(OR(LEFT(TH!N276,2)="15",LEFT(TH!O276,2)="15"),'THE KHO'!$E$7=TH!F276),"x","")</f>
        <v/>
      </c>
      <c r="AG298" s="66" t="str">
        <f>IF(AND(N298="1521",MONTH(C298)='BK NL'!$M$11),"x","")</f>
        <v/>
      </c>
    </row>
    <row r="299" spans="1:34" ht="15.75" customHeight="1">
      <c r="A299" s="398" t="str">
        <f>IF(B299&lt;&gt;"",IF(AND(B299&gt;=_TM1,B299&lt;=_TM2,OR(TH!N299="1111",TH!O299="1111")),TH!D299,""),"")</f>
        <v>C21</v>
      </c>
      <c r="B299" s="63">
        <f>IF(C299&lt;&gt;"",MONTH(C299),"")</f>
        <v>4</v>
      </c>
      <c r="C299" s="64">
        <f>E299</f>
        <v>42485</v>
      </c>
      <c r="D299" s="64" t="s">
        <v>188</v>
      </c>
      <c r="E299" s="64">
        <v>42485</v>
      </c>
      <c r="F299" s="67" t="s">
        <v>917</v>
      </c>
      <c r="G299" s="375" t="s">
        <v>919</v>
      </c>
      <c r="H299" s="74" t="s">
        <v>88</v>
      </c>
      <c r="I299" s="515"/>
      <c r="J299" s="515"/>
      <c r="K299" s="507"/>
      <c r="L299" s="515"/>
      <c r="M299" s="65">
        <v>10818800</v>
      </c>
      <c r="N299" s="66" t="s">
        <v>136</v>
      </c>
      <c r="O299" s="66" t="s">
        <v>98</v>
      </c>
      <c r="P299" s="66" t="str">
        <f>IF(AND('331-CT'!$E$7=TH!H277,OR(N299="331",O299="331")),"x","")</f>
        <v/>
      </c>
      <c r="Q299" s="66" t="str">
        <f>IF(AND($B299&gt;='111'!$N$11,$B299&lt;='111'!$O$11,OR($N299=$Q$7,$O299=$Q$7)),"x","")</f>
        <v>x</v>
      </c>
      <c r="R299" s="66" t="str">
        <f>IF(AND($N299=$Q$7,$B299&lt;'111'!$N$11),"x","")</f>
        <v/>
      </c>
      <c r="S299" s="66" t="str">
        <f>IF(AND($O299=$Q$7,$B299&lt;'111'!$N$11),"x","")</f>
        <v/>
      </c>
      <c r="T299" s="66" t="str">
        <f>IF(AND($B299&gt;='112'!$M$9,$B299&lt;='112'!$N$9,OR($N299='112'!$I$6,$O299='112'!$I$6)),"x","")</f>
        <v/>
      </c>
      <c r="U299" s="66" t="str">
        <f>IF(AND($N299='112'!$I$6,$B299&lt;'112'!$M$9),"x","")</f>
        <v/>
      </c>
      <c r="V299" s="66" t="str">
        <f>IF(AND($O299='112'!$I$6,$B299&lt;'112'!$M$9),"x","")</f>
        <v/>
      </c>
      <c r="W299" s="66" t="str">
        <f>IF(AND('131-CT'!$H$9=TH!H277,OR(N299="131",O299="131")),"x","")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IF(OR(TH!N277=TH!$AB$7,O299=TH!$AB$7),"x","")</f>
        <v>x</v>
      </c>
      <c r="AC299" s="66" t="str">
        <f>IF(AND(1&lt;=$B299,$B299&lt;=3),"1",IF(AND(4&lt;=$B299,$B299&lt;=6),"2",IF(AND(7&lt;=$B299,$B299&lt;=9),"3",IF(AND(10&lt;=$B299,$B299&lt;=12),"4",""))))</f>
        <v>2</v>
      </c>
      <c r="AD299" s="66" t="str">
        <f>IF(AND(MONTH(E299)&lt;='IN-NX'!$P$3,'IN-NX'!$D$7=D299,OR(LEFT(TH!N277,2)="15",LEFT(TH!O277,2)="15")),"x","")</f>
        <v/>
      </c>
      <c r="AE299" s="66" t="str">
        <f>IF(AND(OR(LEFT(TH!N277,2)="15",LEFT(TH!O277,2)="15"),'152-CT'!$J$8=TH!F277),"x","")</f>
        <v/>
      </c>
      <c r="AF299" s="66" t="str">
        <f>IF(AND(OR(LEFT(TH!N277,2)="15",LEFT(TH!O277,2)="15"),'THE KHO'!$E$7=TH!F277),"x","")</f>
        <v/>
      </c>
      <c r="AG299" s="66" t="str">
        <f>IF(AND(N299="1521",MONTH(C299)='BK NL'!$M$11),"x","")</f>
        <v/>
      </c>
    </row>
    <row r="300" spans="1:34" ht="15.75" customHeight="1">
      <c r="A300" s="398" t="str">
        <f>IF(B300&lt;&gt;"",IF(AND(B300&gt;=_TM1,B300&lt;=_TM2,OR(TH!N300="1111",TH!O300="1111")),TH!D300,""),"")</f>
        <v>C21</v>
      </c>
      <c r="B300" s="63">
        <f>IF(C300&lt;&gt;"",MONTH(C300),"")</f>
        <v>4</v>
      </c>
      <c r="C300" s="64">
        <f>E300</f>
        <v>42485</v>
      </c>
      <c r="D300" s="64" t="s">
        <v>188</v>
      </c>
      <c r="E300" s="64">
        <v>42485</v>
      </c>
      <c r="F300" s="67" t="s">
        <v>918</v>
      </c>
      <c r="G300" s="375" t="s">
        <v>919</v>
      </c>
      <c r="H300" s="74" t="s">
        <v>88</v>
      </c>
      <c r="I300" s="515"/>
      <c r="J300" s="515"/>
      <c r="K300" s="507"/>
      <c r="L300" s="515"/>
      <c r="M300" s="65">
        <v>540940</v>
      </c>
      <c r="N300" s="68" t="s">
        <v>10</v>
      </c>
      <c r="O300" s="66" t="s">
        <v>98</v>
      </c>
      <c r="P300" s="66" t="str">
        <f>IF(AND('331-CT'!$E$7=TH!H278,OR(N300="331",O300="331")),"x","")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IF(AND('131-CT'!$H$9=TH!H278,OR(N300="131",O300="131")),"x","")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IF(OR(TH!N278=TH!$AB$7,O300=TH!$AB$7),"x","")</f>
        <v/>
      </c>
      <c r="AC300" s="66" t="str">
        <f>IF(AND(1&lt;=$B300,$B300&lt;=3),"1",IF(AND(4&lt;=$B300,$B300&lt;=6),"2",IF(AND(7&lt;=$B300,$B300&lt;=9),"3",IF(AND(10&lt;=$B300,$B300&lt;=12),"4",""))))</f>
        <v>2</v>
      </c>
      <c r="AD300" s="66" t="str">
        <f>IF(AND(MONTH(E300)&lt;='IN-NX'!$P$3,'IN-NX'!$D$7=D300,OR(LEFT(TH!N278,2)="15",LEFT(TH!O278,2)="15")),"x","")</f>
        <v/>
      </c>
      <c r="AE300" s="66" t="str">
        <f>IF(AND(OR(LEFT(TH!N278,2)="15",LEFT(TH!O278,2)="15"),'152-CT'!$J$8=TH!F278),"x","")</f>
        <v/>
      </c>
      <c r="AF300" s="66" t="str">
        <f>IF(AND(OR(LEFT(TH!N278,2)="15",LEFT(TH!O278,2)="15"),'THE KHO'!$E$7=TH!F278),"x","")</f>
        <v/>
      </c>
      <c r="AG300" s="66" t="str">
        <f>IF(AND(N300="1521",MONTH(C300)='BK NL'!$M$11),"x","")</f>
        <v/>
      </c>
    </row>
    <row r="301" spans="1:34" ht="15.75" customHeight="1">
      <c r="A301" s="398" t="str">
        <f>IF(B301&lt;&gt;"",IF(AND(B301&gt;=_TM1,B301&lt;=_TM2,OR(TH!N301="1111",TH!O301="1111")),TH!D301,""),"")</f>
        <v>C22</v>
      </c>
      <c r="B301" s="63">
        <f>IF(C301&lt;&gt;"",MONTH(C301),"")</f>
        <v>4</v>
      </c>
      <c r="C301" s="64">
        <f>E301</f>
        <v>42486</v>
      </c>
      <c r="D301" s="64" t="s">
        <v>189</v>
      </c>
      <c r="E301" s="64">
        <v>42486</v>
      </c>
      <c r="F301" s="67" t="s">
        <v>186</v>
      </c>
      <c r="G301" s="375" t="s">
        <v>909</v>
      </c>
      <c r="H301" s="74" t="s">
        <v>910</v>
      </c>
      <c r="I301" s="515"/>
      <c r="J301" s="515"/>
      <c r="K301" s="507"/>
      <c r="L301" s="515"/>
      <c r="M301" s="65">
        <v>2180000</v>
      </c>
      <c r="N301" s="66" t="s">
        <v>243</v>
      </c>
      <c r="O301" s="66" t="s">
        <v>98</v>
      </c>
      <c r="P301" s="66" t="str">
        <f>IF(AND('331-CT'!$E$7=TH!H279,OR(N301="331",O301="331")),"x","")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IF(AND('131-CT'!$H$9=TH!H279,OR(N301="131",O301="131")),"x","")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IF(OR(TH!N279=TH!$AB$7,O301=TH!$AB$7),"x","")</f>
        <v/>
      </c>
      <c r="AC301" s="66" t="str">
        <f>IF(AND(1&lt;=$B301,$B301&lt;=3),"1",IF(AND(4&lt;=$B301,$B301&lt;=6),"2",IF(AND(7&lt;=$B301,$B301&lt;=9),"3",IF(AND(10&lt;=$B301,$B301&lt;=12),"4",""))))</f>
        <v>2</v>
      </c>
      <c r="AD301" s="66" t="str">
        <f>IF(AND(MONTH(E301)&lt;='IN-NX'!$P$3,'IN-NX'!$D$7=D301,OR(LEFT(TH!N279,2)="15",LEFT(TH!O279,2)="15")),"x","")</f>
        <v/>
      </c>
      <c r="AE301" s="66" t="str">
        <f>IF(AND(OR(LEFT(TH!N279,2)="15",LEFT(TH!O279,2)="15"),'152-CT'!$J$8=TH!F279),"x","")</f>
        <v/>
      </c>
      <c r="AF301" s="66" t="str">
        <f>IF(AND(OR(LEFT(TH!N279,2)="15",LEFT(TH!O279,2)="15"),'THE KHO'!$E$7=TH!F279),"x","")</f>
        <v/>
      </c>
      <c r="AG301" s="66" t="str">
        <f>IF(AND(N301="1521",MONTH(C301)='BK NL'!$M$11),"x","")</f>
        <v/>
      </c>
    </row>
    <row r="302" spans="1:34" ht="15.75" customHeight="1">
      <c r="A302" s="398" t="str">
        <f>IF(B302&lt;&gt;"",IF(AND(B302&gt;=_TM1,B302&lt;=_TM2,OR(TH!N302="1111",TH!O302="1111")),TH!D302,""),"")</f>
        <v>C23</v>
      </c>
      <c r="B302" s="63">
        <f>IF(C302&lt;&gt;"",MONTH(C302),"")</f>
        <v>4</v>
      </c>
      <c r="C302" s="64">
        <f>E302</f>
        <v>42487</v>
      </c>
      <c r="D302" s="64" t="s">
        <v>190</v>
      </c>
      <c r="E302" s="64">
        <v>42487</v>
      </c>
      <c r="F302" s="67" t="s">
        <v>186</v>
      </c>
      <c r="G302" s="375" t="s">
        <v>911</v>
      </c>
      <c r="H302" s="74" t="s">
        <v>853</v>
      </c>
      <c r="I302" s="515"/>
      <c r="J302" s="515"/>
      <c r="K302" s="507"/>
      <c r="L302" s="515"/>
      <c r="M302" s="65">
        <v>1500000</v>
      </c>
      <c r="N302" s="66" t="s">
        <v>243</v>
      </c>
      <c r="O302" s="66" t="s">
        <v>98</v>
      </c>
      <c r="P302" s="66" t="str">
        <f>IF(AND('331-CT'!$E$7=TH!H280,OR(N302="331",O302="331")),"x","")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IF(AND('131-CT'!$H$9=TH!H280,OR(N302="131",O302="131")),"x","")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IF(OR(TH!N280=TH!$AB$7,O302=TH!$AB$7),"x","")</f>
        <v/>
      </c>
      <c r="AC302" s="66" t="str">
        <f>IF(AND(1&lt;=$B302,$B302&lt;=3),"1",IF(AND(4&lt;=$B302,$B302&lt;=6),"2",IF(AND(7&lt;=$B302,$B302&lt;=9),"3",IF(AND(10&lt;=$B302,$B302&lt;=12),"4",""))))</f>
        <v>2</v>
      </c>
      <c r="AD302" s="66" t="str">
        <f>IF(AND(MONTH(E302)&lt;='IN-NX'!$P$3,'IN-NX'!$D$7=D302,OR(LEFT(TH!N280,2)="15",LEFT(TH!O280,2)="15")),"x","")</f>
        <v/>
      </c>
      <c r="AE302" s="66" t="str">
        <f>IF(AND(OR(LEFT(TH!N280,2)="15",LEFT(TH!O280,2)="15"),'152-CT'!$J$8=TH!F280),"x","")</f>
        <v/>
      </c>
      <c r="AF302" s="66" t="str">
        <f>IF(AND(OR(LEFT(TH!N280,2)="15",LEFT(TH!O280,2)="15"),'THE KHO'!$E$7=TH!F280),"x","")</f>
        <v/>
      </c>
      <c r="AG302" s="66" t="str">
        <f>IF(AND(N302="1521",MONTH(C302)='BK NL'!$M$11),"x","")</f>
        <v/>
      </c>
    </row>
    <row r="303" spans="1:34" ht="15.75" customHeight="1">
      <c r="A303" s="398" t="str">
        <f>IF(B303&lt;&gt;"",IF(AND(B303&gt;=_TM1,B303&lt;=_TM2,OR(TH!N303="1111",TH!O303="1111")),TH!D303,""),"")</f>
        <v>C24</v>
      </c>
      <c r="B303" s="63">
        <f>IF(C303&lt;&gt;"",MONTH(C303),"")</f>
        <v>4</v>
      </c>
      <c r="C303" s="64">
        <f>E303</f>
        <v>42487</v>
      </c>
      <c r="D303" s="64" t="s">
        <v>191</v>
      </c>
      <c r="E303" s="64">
        <v>42487</v>
      </c>
      <c r="F303" s="67" t="s">
        <v>419</v>
      </c>
      <c r="G303" s="361" t="s">
        <v>810</v>
      </c>
      <c r="H303" s="406" t="s">
        <v>837</v>
      </c>
      <c r="I303" s="518"/>
      <c r="J303" s="518"/>
      <c r="K303" s="510"/>
      <c r="L303" s="518"/>
      <c r="M303" s="65">
        <v>47000000</v>
      </c>
      <c r="N303" s="66" t="s">
        <v>31</v>
      </c>
      <c r="O303" s="66" t="s">
        <v>98</v>
      </c>
      <c r="P303" s="66" t="str">
        <f>IF(AND('331-CT'!$E$7=TH!H320,OR(N303="331",O303="331")),"x","")</f>
        <v/>
      </c>
      <c r="Q303" s="66" t="str">
        <f>IF(AND($B303&gt;='111'!$N$11,$B303&lt;='111'!$O$11,OR($N303=$Q$7,$O303=$Q$7)),"x","")</f>
        <v>x</v>
      </c>
      <c r="R303" s="66" t="str">
        <f>IF(AND($N303=$Q$7,$B303&lt;'111'!$N$11),"x","")</f>
        <v/>
      </c>
      <c r="S303" s="66" t="str">
        <f>IF(AND($O303=$Q$7,$B303&lt;'111'!$N$11),"x","")</f>
        <v/>
      </c>
      <c r="T303" s="66" t="str">
        <f>IF(AND($B303&gt;='112'!$M$9,$B303&lt;='112'!$N$9,OR($N303='112'!$I$6,$O303='112'!$I$6)),"x","")</f>
        <v>x</v>
      </c>
      <c r="U303" s="66" t="str">
        <f>IF(AND($N303='112'!$I$6,$B303&lt;'112'!$M$9),"x","")</f>
        <v/>
      </c>
      <c r="V303" s="66" t="str">
        <f>IF(AND($O303='112'!$I$6,$B303&lt;'112'!$M$9),"x","")</f>
        <v/>
      </c>
      <c r="W303" s="66" t="str">
        <f>IF(AND('131-CT'!$H$9=TH!H320,OR(N303="131",O303="131")),"x","")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IF(OR(TH!N320=TH!$AB$7,O303=TH!$AB$7),"x","")</f>
        <v/>
      </c>
      <c r="AC303" s="66" t="str">
        <f>IF(AND(1&lt;=$B303,$B303&lt;=3),"1",IF(AND(4&lt;=$B303,$B303&lt;=6),"2",IF(AND(7&lt;=$B303,$B303&lt;=9),"3",IF(AND(10&lt;=$B303,$B303&lt;=12),"4",""))))</f>
        <v>2</v>
      </c>
      <c r="AD303" s="66" t="str">
        <f>IF(AND(MONTH(E303)&lt;='IN-NX'!$P$3,'IN-NX'!$D$7=D303,OR(LEFT(TH!N320,2)="15",LEFT(TH!O320,2)="15")),"x","")</f>
        <v/>
      </c>
      <c r="AE303" s="66" t="str">
        <f>IF(AND(OR(LEFT(TH!N320,2)="15",LEFT(TH!O320,2)="15"),'152-CT'!$J$8=TH!F320),"x","")</f>
        <v/>
      </c>
      <c r="AF303" s="66" t="str">
        <f>IF(AND(OR(LEFT(TH!N320,2)="15",LEFT(TH!O320,2)="15"),'THE KHO'!$E$7=TH!F320),"x","")</f>
        <v/>
      </c>
      <c r="AG303" s="66" t="str">
        <f>IF(AND(N303="1521",MONTH(C303)='BK NL'!$M$11),"x","")</f>
        <v/>
      </c>
    </row>
    <row r="304" spans="1:34" ht="15.75" customHeight="1">
      <c r="A304" s="398" t="str">
        <f>IF(B304&lt;&gt;"",IF(AND(B304&gt;=_TM1,B304&lt;=_TM2,OR(TH!N304="1111",TH!O304="1111")),TH!D304,""),"")</f>
        <v/>
      </c>
      <c r="B304" s="63">
        <f>IF(C304&lt;&gt;"",MONTH(C304),"")</f>
        <v>4</v>
      </c>
      <c r="C304" s="64">
        <f>E304</f>
        <v>42487</v>
      </c>
      <c r="D304" s="64" t="s">
        <v>8</v>
      </c>
      <c r="E304" s="64">
        <v>42487</v>
      </c>
      <c r="F304" s="67" t="s">
        <v>970</v>
      </c>
      <c r="G304" s="375" t="s">
        <v>810</v>
      </c>
      <c r="H304" s="74" t="s">
        <v>222</v>
      </c>
      <c r="I304" s="515"/>
      <c r="J304" s="515"/>
      <c r="K304" s="507"/>
      <c r="L304" s="515"/>
      <c r="M304" s="65">
        <v>46697530</v>
      </c>
      <c r="N304" s="66" t="s">
        <v>9</v>
      </c>
      <c r="O304" s="66" t="s">
        <v>31</v>
      </c>
      <c r="P304" s="66" t="str">
        <f>IF(AND('331-CT'!$E$7=TH!H348,OR(N304="331",O304="331")),"x","")</f>
        <v/>
      </c>
      <c r="Q304" s="66" t="str">
        <f>IF(AND($B304&gt;='111'!$N$11,$B304&lt;='111'!$O$11,OR($N304=$Q$7,$O304=$Q$7)),"x","")</f>
        <v/>
      </c>
      <c r="R304" s="66" t="str">
        <f>IF(AND($N304=$Q$7,$B304&lt;'111'!$N$11),"x","")</f>
        <v/>
      </c>
      <c r="S304" s="66" t="str">
        <f>IF(AND($O304=$Q$7,$B304&lt;'111'!$N$11),"x","")</f>
        <v/>
      </c>
      <c r="T304" s="66" t="str">
        <f>IF(AND($B304&gt;='112'!$M$9,$B304&lt;='112'!$N$9,OR($N304='112'!$I$6,$O304='112'!$I$6)),"x","")</f>
        <v>x</v>
      </c>
      <c r="U304" s="66" t="str">
        <f>IF(AND($N304='112'!$I$6,$B304&lt;'112'!$M$9),"x","")</f>
        <v/>
      </c>
      <c r="V304" s="66" t="str">
        <f>IF(AND($O304='112'!$I$6,$B304&lt;'112'!$M$9),"x","")</f>
        <v/>
      </c>
      <c r="W304" s="66" t="str">
        <f>IF(AND('131-CT'!$H$9=TH!H348,OR(N304="131",O304="131")),"x","")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IF(OR(TH!N348=TH!$AB$7,O304=TH!$AB$7),"x","")</f>
        <v/>
      </c>
      <c r="AC304" s="66" t="str">
        <f>IF(AND(1&lt;=$B304,$B304&lt;=3),"1",IF(AND(4&lt;=$B304,$B304&lt;=6),"2",IF(AND(7&lt;=$B304,$B304&lt;=9),"3",IF(AND(10&lt;=$B304,$B304&lt;=12),"4",""))))</f>
        <v>2</v>
      </c>
      <c r="AD304" s="66" t="str">
        <f>IF(AND(MONTH(E304)&lt;='IN-NX'!$P$3,'IN-NX'!$D$7=D304,OR(LEFT(TH!N348,2)="15",LEFT(TH!O348,2)="15")),"x","")</f>
        <v/>
      </c>
      <c r="AE304" s="66" t="str">
        <f>IF(AND(OR(LEFT(TH!N348,2)="15",LEFT(TH!O348,2)="15"),'152-CT'!$J$8=TH!F348),"x","")</f>
        <v/>
      </c>
      <c r="AF304" s="66" t="str">
        <f>IF(AND(OR(LEFT(TH!N348,2)="15",LEFT(TH!O348,2)="15"),'THE KHO'!$E$7=TH!F348),"x","")</f>
        <v/>
      </c>
      <c r="AG304" s="66" t="str">
        <f>IF(AND(N304="1521",MONTH(C304)='BK NL'!$M$11),"x","")</f>
        <v/>
      </c>
    </row>
    <row r="305" spans="1:34" ht="15.75" customHeight="1">
      <c r="A305" s="398" t="str">
        <f>IF(B305&lt;&gt;"",IF(AND(B305&gt;=_TM1,B305&lt;=_TM2,OR(TH!N305="1111",TH!O305="1111")),TH!D305,""),"")</f>
        <v/>
      </c>
      <c r="B305" s="63">
        <f>IF(C305&lt;&gt;"",MONTH(C305),"")</f>
        <v>4</v>
      </c>
      <c r="C305" s="64">
        <f>E305</f>
        <v>42487</v>
      </c>
      <c r="D305" s="64" t="s">
        <v>8</v>
      </c>
      <c r="E305" s="64">
        <v>42487</v>
      </c>
      <c r="F305" s="67" t="s">
        <v>22</v>
      </c>
      <c r="G305" s="375" t="s">
        <v>810</v>
      </c>
      <c r="H305" s="405"/>
      <c r="I305" s="516"/>
      <c r="J305" s="516"/>
      <c r="K305" s="508"/>
      <c r="L305" s="516"/>
      <c r="M305" s="65">
        <v>45000</v>
      </c>
      <c r="N305" s="66" t="s">
        <v>136</v>
      </c>
      <c r="O305" s="66" t="s">
        <v>31</v>
      </c>
      <c r="P305" s="66" t="str">
        <f>IF(AND('331-CT'!$E$7=TH!H349,OR(N305="331",O305="331")),"x","")</f>
        <v/>
      </c>
      <c r="Q305" s="66" t="str">
        <f>IF(AND($B305&gt;='111'!$N$11,$B305&lt;='111'!$O$11,OR($N305=$Q$7,$O305=$Q$7)),"x","")</f>
        <v/>
      </c>
      <c r="R305" s="66" t="str">
        <f>IF(AND($N305=$Q$7,$B305&lt;'111'!$N$11),"x","")</f>
        <v/>
      </c>
      <c r="S305" s="66" t="str">
        <f>IF(AND($O305=$Q$7,$B305&lt;'111'!$N$11),"x","")</f>
        <v/>
      </c>
      <c r="T305" s="66" t="str">
        <f>IF(AND($B305&gt;='112'!$M$9,$B305&lt;='112'!$N$9,OR($N305='112'!$I$6,$O305='112'!$I$6)),"x","")</f>
        <v>x</v>
      </c>
      <c r="U305" s="66" t="str">
        <f>IF(AND($N305='112'!$I$6,$B305&lt;'112'!$M$9),"x","")</f>
        <v/>
      </c>
      <c r="V305" s="66" t="str">
        <f>IF(AND($O305='112'!$I$6,$B305&lt;'112'!$M$9),"x","")</f>
        <v/>
      </c>
      <c r="W305" s="66" t="str">
        <f>IF(AND('131-CT'!$H$9=TH!H349,OR(N305="131",O305="131")),"x","")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IF(OR(TH!N349=TH!$AB$7,O305=TH!$AB$7),"x","")</f>
        <v/>
      </c>
      <c r="AC305" s="66" t="str">
        <f>IF(AND(1&lt;=$B305,$B305&lt;=3),"1",IF(AND(4&lt;=$B305,$B305&lt;=6),"2",IF(AND(7&lt;=$B305,$B305&lt;=9),"3",IF(AND(10&lt;=$B305,$B305&lt;=12),"4",""))))</f>
        <v>2</v>
      </c>
      <c r="AD305" s="66" t="str">
        <f>IF(AND(MONTH(E305)&lt;='IN-NX'!$P$3,'IN-NX'!$D$7=D305,OR(LEFT(TH!N349,2)="15",LEFT(TH!O349,2)="15")),"x","")</f>
        <v/>
      </c>
      <c r="AE305" s="66" t="str">
        <f>IF(AND(OR(LEFT(TH!N349,2)="15",LEFT(TH!O349,2)="15"),'152-CT'!$J$8=TH!F349),"x","")</f>
        <v/>
      </c>
      <c r="AF305" s="66" t="str">
        <f>IF(AND(OR(LEFT(TH!N349,2)="15",LEFT(TH!O349,2)="15"),'THE KHO'!$E$7=TH!F349),"x","")</f>
        <v/>
      </c>
      <c r="AG305" s="66" t="str">
        <f>IF(AND(N305="1521",MONTH(C305)='BK NL'!$M$11),"x","")</f>
        <v/>
      </c>
    </row>
    <row r="306" spans="1:34" ht="15.75" customHeight="1">
      <c r="A306" s="398" t="str">
        <f>IF(B306&lt;&gt;"",IF(AND(B306&gt;=_TM1,B306&lt;=_TM2,OR(TH!N306="1111",TH!O306="1111")),TH!D306,""),"")</f>
        <v/>
      </c>
      <c r="B306" s="63">
        <f>IF(C306&lt;&gt;"",MONTH(C306),"")</f>
        <v>4</v>
      </c>
      <c r="C306" s="64">
        <f>E306</f>
        <v>42487</v>
      </c>
      <c r="D306" s="64" t="s">
        <v>8</v>
      </c>
      <c r="E306" s="64">
        <v>42487</v>
      </c>
      <c r="F306" s="67" t="s">
        <v>23</v>
      </c>
      <c r="G306" s="375" t="s">
        <v>810</v>
      </c>
      <c r="H306" s="74"/>
      <c r="I306" s="515"/>
      <c r="J306" s="515"/>
      <c r="K306" s="507"/>
      <c r="L306" s="515"/>
      <c r="M306" s="65">
        <v>4500</v>
      </c>
      <c r="N306" s="66" t="s">
        <v>10</v>
      </c>
      <c r="O306" s="66" t="s">
        <v>31</v>
      </c>
      <c r="P306" s="66" t="str">
        <f>IF(AND('331-CT'!$E$7=TH!H350,OR(N306="331",O306="331")),"x","")</f>
        <v/>
      </c>
      <c r="Q306" s="66" t="str">
        <f>IF(AND($B306&gt;='111'!$N$11,$B306&lt;='111'!$O$11,OR($N306=$Q$7,$O306=$Q$7)),"x","")</f>
        <v/>
      </c>
      <c r="R306" s="66" t="str">
        <f>IF(AND($N306=$Q$7,$B306&lt;'111'!$N$11),"x","")</f>
        <v/>
      </c>
      <c r="S306" s="66" t="str">
        <f>IF(AND($O306=$Q$7,$B306&lt;'111'!$N$11),"x","")</f>
        <v/>
      </c>
      <c r="T306" s="66" t="str">
        <f>IF(AND($B306&gt;='112'!$M$9,$B306&lt;='112'!$N$9,OR($N306='112'!$I$6,$O306='112'!$I$6)),"x","")</f>
        <v>x</v>
      </c>
      <c r="U306" s="66" t="str">
        <f>IF(AND($N306='112'!$I$6,$B306&lt;'112'!$M$9),"x","")</f>
        <v/>
      </c>
      <c r="V306" s="66" t="str">
        <f>IF(AND($O306='112'!$I$6,$B306&lt;'112'!$M$9),"x","")</f>
        <v/>
      </c>
      <c r="W306" s="66" t="str">
        <f>IF(AND('131-CT'!$H$9=TH!H350,OR(N306="131",O306="131")),"x","")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IF(OR(TH!N350=TH!$AB$7,O306=TH!$AB$7),"x","")</f>
        <v/>
      </c>
      <c r="AC306" s="66" t="str">
        <f>IF(AND(1&lt;=$B306,$B306&lt;=3),"1",IF(AND(4&lt;=$B306,$B306&lt;=6),"2",IF(AND(7&lt;=$B306,$B306&lt;=9),"3",IF(AND(10&lt;=$B306,$B306&lt;=12),"4",""))))</f>
        <v>2</v>
      </c>
      <c r="AD306" s="66" t="str">
        <f>IF(AND(MONTH(E306)&lt;='IN-NX'!$P$3,'IN-NX'!$D$7=D306,OR(LEFT(TH!N350,2)="15",LEFT(TH!O350,2)="15")),"x","")</f>
        <v/>
      </c>
      <c r="AE306" s="66" t="str">
        <f>IF(AND(OR(LEFT(TH!N350,2)="15",LEFT(TH!O350,2)="15"),'152-CT'!$J$8=TH!F350),"x","")</f>
        <v/>
      </c>
      <c r="AF306" s="66" t="str">
        <f>IF(AND(OR(LEFT(TH!N350,2)="15",LEFT(TH!O350,2)="15"),'THE KHO'!$E$7=TH!F350),"x","")</f>
        <v/>
      </c>
      <c r="AG306" s="66" t="str">
        <f>IF(AND(N306="1521",MONTH(C306)='BK NL'!$M$11),"x","")</f>
        <v/>
      </c>
    </row>
    <row r="307" spans="1:34" ht="15.75" customHeight="1">
      <c r="A307" s="398" t="str">
        <f>IF(B307&lt;&gt;"",IF(AND(B307&gt;=_TM1,B307&lt;=_TM2,OR(TH!N307="1111",TH!O307="1111")),TH!D307,""),"")</f>
        <v>T01</v>
      </c>
      <c r="B307" s="63">
        <f>IF(C307&lt;&gt;"",MONTH(C307),"")</f>
        <v>5</v>
      </c>
      <c r="C307" s="64">
        <f>E307</f>
        <v>42491</v>
      </c>
      <c r="D307" s="64" t="s">
        <v>11</v>
      </c>
      <c r="E307" s="64">
        <v>42491</v>
      </c>
      <c r="F307" s="67" t="s">
        <v>800</v>
      </c>
      <c r="G307" s="375" t="s">
        <v>810</v>
      </c>
      <c r="H307" s="67" t="s">
        <v>183</v>
      </c>
      <c r="I307" s="515"/>
      <c r="J307" s="515"/>
      <c r="K307" s="507"/>
      <c r="L307" s="515"/>
      <c r="M307" s="65">
        <v>1000000000</v>
      </c>
      <c r="N307" s="66" t="s">
        <v>98</v>
      </c>
      <c r="O307" s="66" t="s">
        <v>24</v>
      </c>
      <c r="P307" s="66" t="str">
        <f>IF(AND('331-CT'!$E$7=TH!H376,OR(N307="331",O307="331")),"x","")</f>
        <v/>
      </c>
      <c r="Q307" s="66" t="str">
        <f>IF(AND($B307&gt;='111'!$N$11,$B307&lt;='111'!$O$11,OR($N307=$Q$7,$O307=$Q$7)),"x","")</f>
        <v>x</v>
      </c>
      <c r="R307" s="66" t="str">
        <f>IF(AND($N307=$Q$7,$B307&lt;'111'!$N$11),"x","")</f>
        <v/>
      </c>
      <c r="S307" s="66" t="str">
        <f>IF(AND($O307=$Q$7,$B307&lt;'111'!$N$11),"x","")</f>
        <v/>
      </c>
      <c r="T307" s="66" t="str">
        <f>IF(AND($B307&gt;='112'!$M$9,$B307&lt;='112'!$N$9,OR($N307='112'!$I$6,$O307='112'!$I$6)),"x","")</f>
        <v/>
      </c>
      <c r="U307" s="66" t="str">
        <f>IF(AND($N307='112'!$I$6,$B307&lt;'112'!$M$9),"x","")</f>
        <v/>
      </c>
      <c r="V307" s="66" t="str">
        <f>IF(AND($O307='112'!$I$6,$B307&lt;'112'!$M$9),"x","")</f>
        <v/>
      </c>
      <c r="W307" s="66" t="str">
        <f>IF(AND('131-CT'!$H$9=TH!H376,OR(N307="131",O307="131")),"x","")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IF(OR(TH!N376=TH!$AB$7,O307=TH!$AB$7),"x","")</f>
        <v/>
      </c>
      <c r="AC307" s="66" t="str">
        <f>IF(AND(1&lt;=$B307,$B307&lt;=3),"1",IF(AND(4&lt;=$B307,$B307&lt;=6),"2",IF(AND(7&lt;=$B307,$B307&lt;=9),"3",IF(AND(10&lt;=$B307,$B307&lt;=12),"4",""))))</f>
        <v>2</v>
      </c>
      <c r="AD307" s="66" t="str">
        <f>IF(AND(MONTH(E307)&lt;='IN-NX'!$P$3,'IN-NX'!$D$7=D307,OR(LEFT(TH!N376,2)="15",LEFT(TH!O376,2)="15")),"x","")</f>
        <v/>
      </c>
      <c r="AE307" s="66" t="str">
        <f>IF(AND(OR(LEFT(TH!N376,2)="15",LEFT(TH!O376,2)="15"),'152-CT'!$J$8=TH!F376),"x","")</f>
        <v/>
      </c>
      <c r="AF307" s="66" t="str">
        <f>IF(AND(OR(LEFT(TH!N376,2)="15",LEFT(TH!O376,2)="15"),'THE KHO'!$E$7=TH!F376),"x","")</f>
        <v/>
      </c>
      <c r="AG307" s="66" t="str">
        <f>IF(AND(N307="1521",MONTH(C307)='BK NL'!$M$11),"x","")</f>
        <v/>
      </c>
    </row>
    <row r="308" spans="1:34" ht="15.75" customHeight="1">
      <c r="A308" s="398" t="str">
        <f>IF(B308&lt;&gt;"",IF(AND(B308&gt;=_TM1,B308&lt;=_TM2,OR(TH!N308="1111",TH!O308="1111")),TH!D308,""),"")</f>
        <v/>
      </c>
      <c r="B308" s="63">
        <f>IF(C308&lt;&gt;"",MONTH(C308),"")</f>
        <v>5</v>
      </c>
      <c r="C308" s="64">
        <f>E308</f>
        <v>42494</v>
      </c>
      <c r="D308" s="64" t="s">
        <v>12</v>
      </c>
      <c r="E308" s="64">
        <v>42494</v>
      </c>
      <c r="F308" s="67" t="s">
        <v>800</v>
      </c>
      <c r="G308" s="361" t="s">
        <v>810</v>
      </c>
      <c r="H308" s="74" t="s">
        <v>439</v>
      </c>
      <c r="I308" s="515"/>
      <c r="J308" s="515"/>
      <c r="K308" s="507"/>
      <c r="L308" s="515"/>
      <c r="M308" s="65">
        <v>95000000</v>
      </c>
      <c r="N308" s="66" t="s">
        <v>31</v>
      </c>
      <c r="O308" s="66" t="s">
        <v>107</v>
      </c>
      <c r="P308" s="66" t="str">
        <f>IF(AND('331-CT'!$E$7=TH!H321,OR(N308="331",O308="331")),"x","")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IF(AND('131-CT'!$H$9=TH!H321,OR(N308="131",O308="131")),"x","")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IF(OR(TH!N321=TH!$AB$7,O308=TH!$AB$7),"x","")</f>
        <v>x</v>
      </c>
      <c r="AC308" s="66" t="str">
        <f>IF(AND(1&lt;=$B308,$B308&lt;=3),"1",IF(AND(4&lt;=$B308,$B308&lt;=6),"2",IF(AND(7&lt;=$B308,$B308&lt;=9),"3",IF(AND(10&lt;=$B308,$B308&lt;=12),"4",""))))</f>
        <v>2</v>
      </c>
      <c r="AD308" s="66" t="str">
        <f>IF(AND(MONTH(E308)&lt;='IN-NX'!$P$3,'IN-NX'!$D$7=D308,OR(LEFT(TH!N321,2)="15",LEFT(TH!O321,2)="15")),"x","")</f>
        <v/>
      </c>
      <c r="AE308" s="66" t="str">
        <f>IF(AND(OR(LEFT(TH!N321,2)="15",LEFT(TH!O321,2)="15"),'152-CT'!$J$8=TH!F321),"x","")</f>
        <v/>
      </c>
      <c r="AF308" s="66" t="str">
        <f>IF(AND(OR(LEFT(TH!N321,2)="15",LEFT(TH!O321,2)="15"),'THE KHO'!$E$7=TH!F321),"x","")</f>
        <v/>
      </c>
      <c r="AG308" s="66" t="str">
        <f>IF(AND(N308="1521",MONTH(C308)='BK NL'!$M$11),"x","")</f>
        <v/>
      </c>
    </row>
    <row r="309" spans="1:34" ht="15.75" customHeight="1">
      <c r="A309" s="398" t="str">
        <f>IF(B309&lt;&gt;"",IF(AND(B309&gt;=_TM1,B309&lt;=_TM2,OR(TH!N309="1111",TH!O309="1111")),TH!D309,""),"")</f>
        <v>C25</v>
      </c>
      <c r="B309" s="63">
        <f>IF(C309&lt;&gt;"",MONTH(C309),"")</f>
        <v>5</v>
      </c>
      <c r="C309" s="64">
        <f>E309</f>
        <v>42494</v>
      </c>
      <c r="D309" s="64" t="s">
        <v>192</v>
      </c>
      <c r="E309" s="64">
        <v>42494</v>
      </c>
      <c r="F309" s="67" t="s">
        <v>447</v>
      </c>
      <c r="G309" s="361" t="s">
        <v>810</v>
      </c>
      <c r="H309" s="74" t="s">
        <v>439</v>
      </c>
      <c r="I309" s="515"/>
      <c r="J309" s="515"/>
      <c r="K309" s="507"/>
      <c r="L309" s="515"/>
      <c r="M309" s="65">
        <v>95000000</v>
      </c>
      <c r="N309" s="66" t="s">
        <v>107</v>
      </c>
      <c r="O309" s="66" t="s">
        <v>98</v>
      </c>
      <c r="P309" s="66" t="str">
        <f>IF(AND('331-CT'!$E$7=TH!H322,OR(N309="331",O309="331")),"x","")</f>
        <v/>
      </c>
      <c r="Q309" s="66" t="str">
        <f>IF(AND($B309&gt;='111'!$N$11,$B309&lt;='111'!$O$11,OR($N309=$Q$7,$O309=$Q$7)),"x","")</f>
        <v>x</v>
      </c>
      <c r="R309" s="66" t="str">
        <f>IF(AND($N309=$Q$7,$B309&lt;'111'!$N$11),"x","")</f>
        <v/>
      </c>
      <c r="S309" s="66" t="str">
        <f>IF(AND($O309=$Q$7,$B309&lt;'111'!$N$11),"x","")</f>
        <v/>
      </c>
      <c r="T309" s="66" t="str">
        <f>IF(AND($B309&gt;='112'!$M$9,$B309&lt;='112'!$N$9,OR($N309='112'!$I$6,$O309='112'!$I$6)),"x","")</f>
        <v/>
      </c>
      <c r="U309" s="66" t="str">
        <f>IF(AND($N309='112'!$I$6,$B309&lt;'112'!$M$9),"x","")</f>
        <v/>
      </c>
      <c r="V309" s="66" t="str">
        <f>IF(AND($O309='112'!$I$6,$B309&lt;'112'!$M$9),"x","")</f>
        <v/>
      </c>
      <c r="W309" s="66" t="str">
        <f>IF(AND('131-CT'!$H$9=TH!H322,OR(N309="131",O309="131")),"x","")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IF(OR(TH!N322=TH!$AB$7,O309=TH!$AB$7),"x","")</f>
        <v/>
      </c>
      <c r="AC309" s="66" t="str">
        <f>IF(AND(1&lt;=$B309,$B309&lt;=3),"1",IF(AND(4&lt;=$B309,$B309&lt;=6),"2",IF(AND(7&lt;=$B309,$B309&lt;=9),"3",IF(AND(10&lt;=$B309,$B309&lt;=12),"4",""))))</f>
        <v>2</v>
      </c>
      <c r="AD309" s="66" t="str">
        <f>IF(AND(MONTH(E309)&lt;='IN-NX'!$P$3,'IN-NX'!$D$7=D309,OR(LEFT(TH!N322,2)="15",LEFT(TH!O322,2)="15")),"x","")</f>
        <v/>
      </c>
      <c r="AE309" s="66" t="str">
        <f>IF(AND(OR(LEFT(TH!N322,2)="15",LEFT(TH!O322,2)="15"),'152-CT'!$J$8=TH!F322),"x","")</f>
        <v/>
      </c>
      <c r="AF309" s="66" t="str">
        <f>IF(AND(OR(LEFT(TH!N322,2)="15",LEFT(TH!O322,2)="15"),'THE KHO'!$E$7=TH!F322),"x","")</f>
        <v/>
      </c>
      <c r="AG309" s="66" t="str">
        <f>IF(AND(N309="1521",MONTH(C309)='BK NL'!$M$11),"x","")</f>
        <v/>
      </c>
    </row>
    <row r="310" spans="1:34" ht="15.75" customHeight="1">
      <c r="A310" s="398" t="str">
        <f>IF(B310&lt;&gt;"",IF(AND(B310&gt;=_TM1,B310&lt;=_TM2,OR(TH!N310="1111",TH!O310="1111")),TH!D310,""),"")</f>
        <v/>
      </c>
      <c r="B310" s="63">
        <f>IF(C310&lt;&gt;"",MONTH(C310),"")</f>
        <v>5</v>
      </c>
      <c r="C310" s="64">
        <f>E310</f>
        <v>42494</v>
      </c>
      <c r="D310" s="64" t="s">
        <v>8</v>
      </c>
      <c r="E310" s="64">
        <v>42494</v>
      </c>
      <c r="F310" s="67" t="s">
        <v>971</v>
      </c>
      <c r="G310" s="375" t="s">
        <v>810</v>
      </c>
      <c r="H310" s="74" t="s">
        <v>222</v>
      </c>
      <c r="I310" s="515"/>
      <c r="J310" s="515"/>
      <c r="K310" s="507"/>
      <c r="L310" s="515"/>
      <c r="M310" s="65">
        <v>92467100</v>
      </c>
      <c r="N310" s="66" t="s">
        <v>9</v>
      </c>
      <c r="O310" s="66" t="s">
        <v>31</v>
      </c>
      <c r="P310" s="66" t="str">
        <f>IF(AND('331-CT'!$E$7=TH!H351,OR(N310="331",O310="331")),"x","")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IF(AND('131-CT'!$H$9=TH!H351,OR(N310="131",O310="131")),"x","")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IF(OR(TH!N351=TH!$AB$7,O310=TH!$AB$7),"x","")</f>
        <v/>
      </c>
      <c r="AC310" s="66" t="str">
        <f>IF(AND(1&lt;=$B310,$B310&lt;=3),"1",IF(AND(4&lt;=$B310,$B310&lt;=6),"2",IF(AND(7&lt;=$B310,$B310&lt;=9),"3",IF(AND(10&lt;=$B310,$B310&lt;=12),"4",""))))</f>
        <v>2</v>
      </c>
      <c r="AD310" s="66" t="str">
        <f>IF(AND(MONTH(E310)&lt;='IN-NX'!$P$3,'IN-NX'!$D$7=D310,OR(LEFT(TH!N351,2)="15",LEFT(TH!O351,2)="15")),"x","")</f>
        <v/>
      </c>
      <c r="AE310" s="66" t="str">
        <f>IF(AND(OR(LEFT(TH!N351,2)="15",LEFT(TH!O351,2)="15"),'152-CT'!$J$8=TH!F351),"x","")</f>
        <v/>
      </c>
      <c r="AF310" s="66" t="str">
        <f>IF(AND(OR(LEFT(TH!N351,2)="15",LEFT(TH!O351,2)="15"),'THE KHO'!$E$7=TH!F351),"x","")</f>
        <v/>
      </c>
      <c r="AG310" s="66" t="str">
        <f>IF(AND(N310="1521",MONTH(C310)='BK NL'!$M$11),"x","")</f>
        <v/>
      </c>
    </row>
    <row r="311" spans="1:34" ht="15.75" customHeight="1">
      <c r="A311" s="398" t="str">
        <f>IF(B311&lt;&gt;"",IF(AND(B311&gt;=_TM1,B311&lt;=_TM2,OR(TH!N311="1111",TH!O311="1111")),TH!D311,""),"")</f>
        <v/>
      </c>
      <c r="B311" s="63">
        <f>IF(C311&lt;&gt;"",MONTH(C311),"")</f>
        <v>5</v>
      </c>
      <c r="C311" s="64">
        <f>E311</f>
        <v>42494</v>
      </c>
      <c r="D311" s="64" t="s">
        <v>8</v>
      </c>
      <c r="E311" s="64">
        <v>42494</v>
      </c>
      <c r="F311" s="67" t="s">
        <v>22</v>
      </c>
      <c r="G311" s="375" t="s">
        <v>810</v>
      </c>
      <c r="H311" s="405"/>
      <c r="I311" s="516"/>
      <c r="J311" s="516"/>
      <c r="K311" s="508"/>
      <c r="L311" s="516"/>
      <c r="M311" s="65">
        <v>46234</v>
      </c>
      <c r="N311" s="66" t="s">
        <v>136</v>
      </c>
      <c r="O311" s="66" t="s">
        <v>31</v>
      </c>
      <c r="P311" s="66" t="str">
        <f>IF(AND('331-CT'!$E$7=TH!H352,OR(N311="331",O311="331")),"x","")</f>
        <v/>
      </c>
      <c r="Q311" s="66" t="str">
        <f>IF(AND($B311&gt;='111'!$N$11,$B311&lt;='111'!$O$11,OR($N311=$Q$7,$O311=$Q$7)),"x","")</f>
        <v/>
      </c>
      <c r="R311" s="66" t="str">
        <f>IF(AND($N311=$Q$7,$B311&lt;'111'!$N$11),"x","")</f>
        <v/>
      </c>
      <c r="S311" s="66" t="str">
        <f>IF(AND($O311=$Q$7,$B311&lt;'111'!$N$11),"x","")</f>
        <v/>
      </c>
      <c r="T311" s="66" t="str">
        <f>IF(AND($B311&gt;='112'!$M$9,$B311&lt;='112'!$N$9,OR($N311='112'!$I$6,$O311='112'!$I$6)),"x","")</f>
        <v>x</v>
      </c>
      <c r="U311" s="66" t="str">
        <f>IF(AND($N311='112'!$I$6,$B311&lt;'112'!$M$9),"x","")</f>
        <v/>
      </c>
      <c r="V311" s="66" t="str">
        <f>IF(AND($O311='112'!$I$6,$B311&lt;'112'!$M$9),"x","")</f>
        <v/>
      </c>
      <c r="W311" s="66" t="str">
        <f>IF(AND('131-CT'!$H$9=TH!H352,OR(N311="131",O311="131")),"x","")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IF(OR(TH!N352=TH!$AB$7,O311=TH!$AB$7),"x","")</f>
        <v/>
      </c>
      <c r="AC311" s="66" t="str">
        <f>IF(AND(1&lt;=$B311,$B311&lt;=3),"1",IF(AND(4&lt;=$B311,$B311&lt;=6),"2",IF(AND(7&lt;=$B311,$B311&lt;=9),"3",IF(AND(10&lt;=$B311,$B311&lt;=12),"4",""))))</f>
        <v>2</v>
      </c>
      <c r="AD311" s="66" t="str">
        <f>IF(AND(MONTH(E311)&lt;='IN-NX'!$P$3,'IN-NX'!$D$7=D311,OR(LEFT(TH!N352,2)="15",LEFT(TH!O352,2)="15")),"x","")</f>
        <v/>
      </c>
      <c r="AE311" s="66" t="str">
        <f>IF(AND(OR(LEFT(TH!N352,2)="15",LEFT(TH!O352,2)="15"),'152-CT'!$J$8=TH!F352),"x","")</f>
        <v/>
      </c>
      <c r="AF311" s="66" t="str">
        <f>IF(AND(OR(LEFT(TH!N352,2)="15",LEFT(TH!O352,2)="15"),'THE KHO'!$E$7=TH!F352),"x","")</f>
        <v/>
      </c>
      <c r="AG311" s="66" t="str">
        <f>IF(AND(N311="1521",MONTH(C311)='BK NL'!$M$11),"x","")</f>
        <v/>
      </c>
    </row>
    <row r="312" spans="1:34" ht="15.75" customHeight="1">
      <c r="A312" s="398" t="str">
        <f>IF(B312&lt;&gt;"",IF(AND(B312&gt;=_TM1,B312&lt;=_TM2,OR(TH!N312="1111",TH!O312="1111")),TH!D312,""),"")</f>
        <v/>
      </c>
      <c r="B312" s="63">
        <f>IF(C312&lt;&gt;"",MONTH(C312),"")</f>
        <v>5</v>
      </c>
      <c r="C312" s="64">
        <f>E312</f>
        <v>42494</v>
      </c>
      <c r="D312" s="64" t="s">
        <v>8</v>
      </c>
      <c r="E312" s="64">
        <v>42494</v>
      </c>
      <c r="F312" s="67" t="s">
        <v>23</v>
      </c>
      <c r="G312" s="375" t="s">
        <v>810</v>
      </c>
      <c r="H312" s="74"/>
      <c r="I312" s="515"/>
      <c r="J312" s="515"/>
      <c r="K312" s="507"/>
      <c r="L312" s="515"/>
      <c r="M312" s="65">
        <v>4623</v>
      </c>
      <c r="N312" s="66" t="s">
        <v>10</v>
      </c>
      <c r="O312" s="66" t="s">
        <v>31</v>
      </c>
      <c r="P312" s="66" t="str">
        <f>IF(AND('331-CT'!$E$7=TH!H353,OR(N312="331",O312="331")),"x","")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IF(AND('131-CT'!$H$9=TH!H353,OR(N312="131",O312="131")),"x","")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IF(OR(TH!N353=TH!$AB$7,O312=TH!$AB$7),"x","")</f>
        <v/>
      </c>
      <c r="AC312" s="66" t="str">
        <f>IF(AND(1&lt;=$B312,$B312&lt;=3),"1",IF(AND(4&lt;=$B312,$B312&lt;=6),"2",IF(AND(7&lt;=$B312,$B312&lt;=9),"3",IF(AND(10&lt;=$B312,$B312&lt;=12),"4",""))))</f>
        <v>2</v>
      </c>
      <c r="AD312" s="66" t="str">
        <f>IF(AND(MONTH(E312)&lt;='IN-NX'!$P$3,'IN-NX'!$D$7=D312,OR(LEFT(TH!N353,2)="15",LEFT(TH!O353,2)="15")),"x","")</f>
        <v/>
      </c>
      <c r="AE312" s="66" t="str">
        <f>IF(AND(OR(LEFT(TH!N353,2)="15",LEFT(TH!O353,2)="15"),'152-CT'!$J$8=TH!F353),"x","")</f>
        <v/>
      </c>
      <c r="AF312" s="66" t="str">
        <f>IF(AND(OR(LEFT(TH!N353,2)="15",LEFT(TH!O353,2)="15"),'THE KHO'!$E$7=TH!F353),"x","")</f>
        <v/>
      </c>
      <c r="AG312" s="66" t="str">
        <f>IF(AND(N312="1521",MONTH(C312)='BK NL'!$M$11),"x","")</f>
        <v/>
      </c>
    </row>
    <row r="313" spans="1:34" s="407" customFormat="1" ht="15.75" customHeight="1">
      <c r="A313" s="398" t="str">
        <f>IF(B313&lt;&gt;"",IF(AND(B313&gt;=_TM1,B313&lt;=_TM2,OR(TH!N313="1111",TH!O313="1111")),TH!D313,""),"")</f>
        <v>C26</v>
      </c>
      <c r="B313" s="63">
        <f>IF(C313&lt;&gt;"",MONTH(C313),"")</f>
        <v>5</v>
      </c>
      <c r="C313" s="64">
        <f>E313</f>
        <v>42500</v>
      </c>
      <c r="D313" s="64" t="s">
        <v>193</v>
      </c>
      <c r="E313" s="64">
        <v>42500</v>
      </c>
      <c r="F313" s="67" t="s">
        <v>994</v>
      </c>
      <c r="G313" s="375" t="s">
        <v>923</v>
      </c>
      <c r="H313" s="74" t="s">
        <v>323</v>
      </c>
      <c r="I313" s="516"/>
      <c r="J313" s="516"/>
      <c r="K313" s="508"/>
      <c r="L313" s="516"/>
      <c r="M313" s="65">
        <v>7272727</v>
      </c>
      <c r="N313" s="66" t="s">
        <v>136</v>
      </c>
      <c r="O313" s="66" t="s">
        <v>98</v>
      </c>
      <c r="P313" s="66" t="str">
        <f>IF(AND('331-CT'!$E$7=TH!H281,OR(N313="331",O313="331")),"x","")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IF(AND('131-CT'!$H$9=TH!H281,OR(N313="131",O313="131")),"x","")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IF(OR(TH!N281=TH!$AB$7,O313=TH!$AB$7),"x","")</f>
        <v/>
      </c>
      <c r="AC313" s="66" t="str">
        <f>IF(AND(1&lt;=$B313,$B313&lt;=3),"1",IF(AND(4&lt;=$B313,$B313&lt;=6),"2",IF(AND(7&lt;=$B313,$B313&lt;=9),"3",IF(AND(10&lt;=$B313,$B313&lt;=12),"4",""))))</f>
        <v>2</v>
      </c>
      <c r="AD313" s="66" t="str">
        <f>IF(AND(MONTH(E313)&lt;='IN-NX'!$P$3,'IN-NX'!$D$7=D313,OR(LEFT(TH!N281,2)="15",LEFT(TH!O281,2)="15")),"x","")</f>
        <v/>
      </c>
      <c r="AE313" s="66" t="str">
        <f>IF(AND(OR(LEFT(TH!N281,2)="15",LEFT(TH!O281,2)="15"),'152-CT'!$J$8=TH!F281),"x","")</f>
        <v/>
      </c>
      <c r="AF313" s="66" t="str">
        <f>IF(AND(OR(LEFT(TH!N281,2)="15",LEFT(TH!O281,2)="15"),'THE KHO'!$E$7=TH!F281),"x","")</f>
        <v/>
      </c>
      <c r="AG313" s="66" t="str">
        <f>IF(AND(N313="1521",MONTH(C313)='BK NL'!$M$11),"x","")</f>
        <v/>
      </c>
      <c r="AH313" s="387"/>
    </row>
    <row r="314" spans="1:34" ht="15.75" customHeight="1">
      <c r="A314" s="398" t="str">
        <f>IF(B314&lt;&gt;"",IF(AND(B314&gt;=_TM1,B314&lt;=_TM2,OR(TH!N314="1111",TH!O314="1111")),TH!D314,""),"")</f>
        <v>C26</v>
      </c>
      <c r="B314" s="63">
        <f>IF(C314&lt;&gt;"",MONTH(C314),"")</f>
        <v>5</v>
      </c>
      <c r="C314" s="64">
        <f>E314</f>
        <v>42500</v>
      </c>
      <c r="D314" s="64" t="s">
        <v>193</v>
      </c>
      <c r="E314" s="64">
        <v>42500</v>
      </c>
      <c r="F314" s="67" t="s">
        <v>995</v>
      </c>
      <c r="G314" s="375" t="s">
        <v>923</v>
      </c>
      <c r="H314" s="74" t="s">
        <v>323</v>
      </c>
      <c r="I314" s="516"/>
      <c r="J314" s="516"/>
      <c r="K314" s="508"/>
      <c r="L314" s="516"/>
      <c r="M314" s="65">
        <v>727273</v>
      </c>
      <c r="N314" s="66" t="s">
        <v>10</v>
      </c>
      <c r="O314" s="66" t="s">
        <v>98</v>
      </c>
      <c r="P314" s="66" t="str">
        <f>IF(AND('331-CT'!$E$7=TH!H282,OR(N314="331",O314="331")),"x","")</f>
        <v/>
      </c>
      <c r="Q314" s="66" t="str">
        <f>IF(AND($B314&gt;='111'!$N$11,$B314&lt;='111'!$O$11,OR($N314=$Q$7,$O314=$Q$7)),"x","")</f>
        <v>x</v>
      </c>
      <c r="R314" s="66" t="str">
        <f>IF(AND($N314=$Q$7,$B314&lt;'111'!$N$11),"x","")</f>
        <v/>
      </c>
      <c r="S314" s="66" t="str">
        <f>IF(AND($O314=$Q$7,$B314&lt;'111'!$N$11),"x","")</f>
        <v/>
      </c>
      <c r="T314" s="66" t="str">
        <f>IF(AND($B314&gt;='112'!$M$9,$B314&lt;='112'!$N$9,OR($N314='112'!$I$6,$O314='112'!$I$6)),"x","")</f>
        <v/>
      </c>
      <c r="U314" s="66" t="str">
        <f>IF(AND($N314='112'!$I$6,$B314&lt;'112'!$M$9),"x","")</f>
        <v/>
      </c>
      <c r="V314" s="66" t="str">
        <f>IF(AND($O314='112'!$I$6,$B314&lt;'112'!$M$9),"x","")</f>
        <v/>
      </c>
      <c r="W314" s="66" t="str">
        <f>IF(AND('131-CT'!$H$9=TH!H282,OR(N314="131",O314="131")),"x","")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IF(OR(TH!N282=TH!$AB$7,O314=TH!$AB$7),"x","")</f>
        <v/>
      </c>
      <c r="AC314" s="66" t="str">
        <f>IF(AND(1&lt;=$B314,$B314&lt;=3),"1",IF(AND(4&lt;=$B314,$B314&lt;=6),"2",IF(AND(7&lt;=$B314,$B314&lt;=9),"3",IF(AND(10&lt;=$B314,$B314&lt;=12),"4",""))))</f>
        <v>2</v>
      </c>
      <c r="AD314" s="66" t="str">
        <f>IF(AND(MONTH(E314)&lt;='IN-NX'!$P$3,'IN-NX'!$D$7=D314,OR(LEFT(TH!N282,2)="15",LEFT(TH!O282,2)="15")),"x","")</f>
        <v/>
      </c>
      <c r="AE314" s="66" t="str">
        <f>IF(AND(OR(LEFT(TH!N282,2)="15",LEFT(TH!O282,2)="15"),'152-CT'!$J$8=TH!F282),"x","")</f>
        <v/>
      </c>
      <c r="AF314" s="66" t="str">
        <f>IF(AND(OR(LEFT(TH!N282,2)="15",LEFT(TH!O282,2)="15"),'THE KHO'!$E$7=TH!F282),"x","")</f>
        <v/>
      </c>
      <c r="AG314" s="66" t="str">
        <f>IF(AND(N314="1521",MONTH(C314)='BK NL'!$M$11),"x","")</f>
        <v/>
      </c>
    </row>
    <row r="315" spans="1:34" ht="15.75" customHeight="1">
      <c r="A315" s="398" t="str">
        <f>IF(B315&lt;&gt;"",IF(AND(B315&gt;=_TM1,B315&lt;=_TM2,OR(TH!N315="1111",TH!O315="1111")),TH!D315,""),"")</f>
        <v>C27</v>
      </c>
      <c r="B315" s="63">
        <f>IF(C315&lt;&gt;"",MONTH(C315),"")</f>
        <v>5</v>
      </c>
      <c r="C315" s="64">
        <f>E315</f>
        <v>42500</v>
      </c>
      <c r="D315" s="64" t="s">
        <v>194</v>
      </c>
      <c r="E315" s="64">
        <v>42500</v>
      </c>
      <c r="F315" s="70" t="s">
        <v>938</v>
      </c>
      <c r="G315" s="375" t="s">
        <v>940</v>
      </c>
      <c r="H315" s="74" t="s">
        <v>941</v>
      </c>
      <c r="I315" s="515"/>
      <c r="J315" s="515"/>
      <c r="K315" s="507"/>
      <c r="L315" s="515"/>
      <c r="M315" s="65">
        <v>1479091</v>
      </c>
      <c r="N315" s="66" t="s">
        <v>136</v>
      </c>
      <c r="O315" s="66" t="s">
        <v>98</v>
      </c>
      <c r="P315" s="66" t="str">
        <f>IF(AND('331-CT'!$E$7=TH!H283,OR(N315="331",O315="331")),"x","")</f>
        <v/>
      </c>
      <c r="Q315" s="66" t="str">
        <f>IF(AND($B315&gt;='111'!$N$11,$B315&lt;='111'!$O$11,OR($N315=$Q$7,$O315=$Q$7)),"x","")</f>
        <v>x</v>
      </c>
      <c r="R315" s="66" t="str">
        <f>IF(AND($N315=$Q$7,$B315&lt;'111'!$N$11),"x","")</f>
        <v/>
      </c>
      <c r="S315" s="66" t="str">
        <f>IF(AND($O315=$Q$7,$B315&lt;'111'!$N$11),"x","")</f>
        <v/>
      </c>
      <c r="T315" s="66" t="str">
        <f>IF(AND($B315&gt;='112'!$M$9,$B315&lt;='112'!$N$9,OR($N315='112'!$I$6,$O315='112'!$I$6)),"x","")</f>
        <v/>
      </c>
      <c r="U315" s="66" t="str">
        <f>IF(AND($N315='112'!$I$6,$B315&lt;'112'!$M$9),"x","")</f>
        <v/>
      </c>
      <c r="V315" s="66" t="str">
        <f>IF(AND($O315='112'!$I$6,$B315&lt;'112'!$M$9),"x","")</f>
        <v/>
      </c>
      <c r="W315" s="66" t="str">
        <f>IF(AND('131-CT'!$H$9=TH!H283,OR(N315="131",O315="131")),"x","")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IF(OR(TH!N283=TH!$AB$7,O315=TH!$AB$7),"x","")</f>
        <v/>
      </c>
      <c r="AC315" s="66" t="str">
        <f>IF(AND(1&lt;=$B315,$B315&lt;=3),"1",IF(AND(4&lt;=$B315,$B315&lt;=6),"2",IF(AND(7&lt;=$B315,$B315&lt;=9),"3",IF(AND(10&lt;=$B315,$B315&lt;=12),"4",""))))</f>
        <v>2</v>
      </c>
      <c r="AD315" s="66" t="str">
        <f>IF(AND(MONTH(E315)&lt;='IN-NX'!$P$3,'IN-NX'!$D$7=D315,OR(LEFT(TH!N283,2)="15",LEFT(TH!O283,2)="15")),"x","")</f>
        <v/>
      </c>
      <c r="AE315" s="66" t="str">
        <f>IF(AND(OR(LEFT(TH!N283,2)="15",LEFT(TH!O283,2)="15"),'152-CT'!$J$8=TH!F283),"x","")</f>
        <v/>
      </c>
      <c r="AF315" s="66" t="str">
        <f>IF(AND(OR(LEFT(TH!N283,2)="15",LEFT(TH!O283,2)="15"),'THE KHO'!$E$7=TH!F283),"x","")</f>
        <v/>
      </c>
      <c r="AG315" s="66" t="str">
        <f>IF(AND(N315="1521",MONTH(C315)='BK NL'!$M$11),"x","")</f>
        <v/>
      </c>
    </row>
    <row r="316" spans="1:34" ht="15.75" customHeight="1">
      <c r="A316" s="398" t="str">
        <f>IF(B316&lt;&gt;"",IF(AND(B316&gt;=_TM1,B316&lt;=_TM2,OR(TH!N316="1111",TH!O316="1111")),TH!D316,""),"")</f>
        <v>C27</v>
      </c>
      <c r="B316" s="63">
        <f>IF(C316&lt;&gt;"",MONTH(C316),"")</f>
        <v>5</v>
      </c>
      <c r="C316" s="64">
        <f>E316</f>
        <v>42500</v>
      </c>
      <c r="D316" s="64" t="s">
        <v>194</v>
      </c>
      <c r="E316" s="64">
        <v>42500</v>
      </c>
      <c r="F316" s="70" t="s">
        <v>939</v>
      </c>
      <c r="G316" s="375" t="s">
        <v>940</v>
      </c>
      <c r="H316" s="74" t="s">
        <v>941</v>
      </c>
      <c r="I316" s="515"/>
      <c r="J316" s="515"/>
      <c r="K316" s="507"/>
      <c r="L316" s="515"/>
      <c r="M316" s="65">
        <v>147909</v>
      </c>
      <c r="N316" s="66" t="s">
        <v>10</v>
      </c>
      <c r="O316" s="66" t="s">
        <v>98</v>
      </c>
      <c r="P316" s="66" t="str">
        <f>IF(AND('331-CT'!$E$7=TH!H284,OR(N316="331",O316="331")),"x","")</f>
        <v/>
      </c>
      <c r="Q316" s="66" t="str">
        <f>IF(AND($B316&gt;='111'!$N$11,$B316&lt;='111'!$O$11,OR($N316=$Q$7,$O316=$Q$7)),"x","")</f>
        <v>x</v>
      </c>
      <c r="R316" s="66" t="str">
        <f>IF(AND($N316=$Q$7,$B316&lt;'111'!$N$11),"x","")</f>
        <v/>
      </c>
      <c r="S316" s="66" t="str">
        <f>IF(AND($O316=$Q$7,$B316&lt;'111'!$N$11),"x","")</f>
        <v/>
      </c>
      <c r="T316" s="66" t="str">
        <f>IF(AND($B316&gt;='112'!$M$9,$B316&lt;='112'!$N$9,OR($N316='112'!$I$6,$O316='112'!$I$6)),"x","")</f>
        <v/>
      </c>
      <c r="U316" s="66" t="str">
        <f>IF(AND($N316='112'!$I$6,$B316&lt;'112'!$M$9),"x","")</f>
        <v/>
      </c>
      <c r="V316" s="66" t="str">
        <f>IF(AND($O316='112'!$I$6,$B316&lt;'112'!$M$9),"x","")</f>
        <v/>
      </c>
      <c r="W316" s="66" t="str">
        <f>IF(AND('131-CT'!$H$9=TH!H284,OR(N316="131",O316="131")),"x","")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IF(OR(TH!N284=TH!$AB$7,O316=TH!$AB$7),"x","")</f>
        <v/>
      </c>
      <c r="AC316" s="66" t="str">
        <f>IF(AND(1&lt;=$B316,$B316&lt;=3),"1",IF(AND(4&lt;=$B316,$B316&lt;=6),"2",IF(AND(7&lt;=$B316,$B316&lt;=9),"3",IF(AND(10&lt;=$B316,$B316&lt;=12),"4",""))))</f>
        <v>2</v>
      </c>
      <c r="AD316" s="66" t="str">
        <f>IF(AND(MONTH(E316)&lt;='IN-NX'!$P$3,'IN-NX'!$D$7=D316,OR(LEFT(TH!N284,2)="15",LEFT(TH!O284,2)="15")),"x","")</f>
        <v/>
      </c>
      <c r="AE316" s="66" t="str">
        <f>IF(AND(OR(LEFT(TH!N284,2)="15",LEFT(TH!O284,2)="15"),'152-CT'!$J$8=TH!F284),"x","")</f>
        <v/>
      </c>
      <c r="AF316" s="66" t="str">
        <f>IF(AND(OR(LEFT(TH!N284,2)="15",LEFT(TH!O284,2)="15"),'THE KHO'!$E$7=TH!F284),"x","")</f>
        <v/>
      </c>
      <c r="AG316" s="66" t="str">
        <f>IF(AND(N316="1521",MONTH(C316)='BK NL'!$M$11),"x","")</f>
        <v/>
      </c>
    </row>
    <row r="317" spans="1:34" ht="15.75" customHeight="1">
      <c r="A317" s="398" t="str">
        <f>IF(B317&lt;&gt;"",IF(AND(B317&gt;=_TM1,B317&lt;=_TM2,OR(TH!N317="1111",TH!O317="1111")),TH!D317,""),"")</f>
        <v>C28</v>
      </c>
      <c r="B317" s="63">
        <f>IF(C317&lt;&gt;"",MONTH(C317),"")</f>
        <v>5</v>
      </c>
      <c r="C317" s="64">
        <f>E317</f>
        <v>42503</v>
      </c>
      <c r="D317" s="64" t="s">
        <v>195</v>
      </c>
      <c r="E317" s="64">
        <v>42503</v>
      </c>
      <c r="F317" s="67" t="s">
        <v>408</v>
      </c>
      <c r="G317" s="375" t="s">
        <v>920</v>
      </c>
      <c r="H317" s="74" t="s">
        <v>426</v>
      </c>
      <c r="I317" s="515"/>
      <c r="J317" s="515"/>
      <c r="K317" s="507"/>
      <c r="L317" s="515"/>
      <c r="M317" s="65">
        <v>1700000</v>
      </c>
      <c r="N317" s="66" t="s">
        <v>243</v>
      </c>
      <c r="O317" s="66" t="s">
        <v>98</v>
      </c>
      <c r="P317" s="66" t="str">
        <f>IF(AND('331-CT'!$E$7=TH!H285,OR(N317="331",O317="331")),"x","")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IF(AND('131-CT'!$H$9=TH!H285,OR(N317="131",O317="131")),"x","")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IF(OR(TH!N285=TH!$AB$7,O317=TH!$AB$7),"x","")</f>
        <v/>
      </c>
      <c r="AC317" s="66" t="str">
        <f>IF(AND(1&lt;=$B317,$B317&lt;=3),"1",IF(AND(4&lt;=$B317,$B317&lt;=6),"2",IF(AND(7&lt;=$B317,$B317&lt;=9),"3",IF(AND(10&lt;=$B317,$B317&lt;=12),"4",""))))</f>
        <v>2</v>
      </c>
      <c r="AD317" s="66" t="str">
        <f>IF(AND(MONTH(E317)&lt;='IN-NX'!$P$3,'IN-NX'!$D$7=D317,OR(LEFT(TH!N285,2)="15",LEFT(TH!O285,2)="15")),"x","")</f>
        <v/>
      </c>
      <c r="AE317" s="66" t="str">
        <f>IF(AND(OR(LEFT(TH!N285,2)="15",LEFT(TH!O285,2)="15"),'152-CT'!$J$8=TH!F285),"x","")</f>
        <v/>
      </c>
      <c r="AF317" s="66" t="str">
        <f>IF(AND(OR(LEFT(TH!N285,2)="15",LEFT(TH!O285,2)="15"),'THE KHO'!$E$7=TH!F285),"x","")</f>
        <v/>
      </c>
      <c r="AG317" s="66" t="str">
        <f>IF(AND(N317="1521",MONTH(C317)='BK NL'!$M$11),"x","")</f>
        <v/>
      </c>
    </row>
    <row r="318" spans="1:34" ht="15.75" customHeight="1">
      <c r="A318" s="398" t="str">
        <f>IF(B318&lt;&gt;"",IF(AND(B318&gt;=_TM1,B318&lt;=_TM2,OR(TH!N318="1111",TH!O318="1111")),TH!D318,""),"")</f>
        <v>C29</v>
      </c>
      <c r="B318" s="63">
        <f>IF(C318&lt;&gt;"",MONTH(C318),"")</f>
        <v>5</v>
      </c>
      <c r="C318" s="64">
        <f>E318</f>
        <v>42507</v>
      </c>
      <c r="D318" s="64" t="s">
        <v>196</v>
      </c>
      <c r="E318" s="64">
        <v>42507</v>
      </c>
      <c r="F318" s="67" t="s">
        <v>914</v>
      </c>
      <c r="G318" s="375" t="s">
        <v>916</v>
      </c>
      <c r="H318" s="74" t="s">
        <v>162</v>
      </c>
      <c r="I318" s="516"/>
      <c r="J318" s="516"/>
      <c r="K318" s="508"/>
      <c r="L318" s="516"/>
      <c r="M318" s="65">
        <f>89195+122119+210000+60000</f>
        <v>481314</v>
      </c>
      <c r="N318" s="66" t="s">
        <v>136</v>
      </c>
      <c r="O318" s="66" t="s">
        <v>98</v>
      </c>
      <c r="P318" s="66" t="str">
        <f>IF(AND('331-CT'!$E$7=TH!H286,OR(N318="331",O318="331")),"x","")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IF(AND('131-CT'!$H$9=TH!H286,OR(N318="131",O318="131")),"x","")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IF(OR(TH!N286=TH!$AB$7,O318=TH!$AB$7),"x","")</f>
        <v/>
      </c>
      <c r="AC318" s="66" t="str">
        <f>IF(AND(1&lt;=$B318,$B318&lt;=3),"1",IF(AND(4&lt;=$B318,$B318&lt;=6),"2",IF(AND(7&lt;=$B318,$B318&lt;=9),"3",IF(AND(10&lt;=$B318,$B318&lt;=12),"4",""))))</f>
        <v>2</v>
      </c>
      <c r="AD318" s="66" t="str">
        <f>IF(AND(MONTH(E318)&lt;='IN-NX'!$P$3,'IN-NX'!$D$7=D318,OR(LEFT(TH!N286,2)="15",LEFT(TH!O286,2)="15")),"x","")</f>
        <v/>
      </c>
      <c r="AE318" s="66" t="str">
        <f>IF(AND(OR(LEFT(TH!N286,2)="15",LEFT(TH!O286,2)="15"),'152-CT'!$J$8=TH!F286),"x","")</f>
        <v/>
      </c>
      <c r="AF318" s="66" t="str">
        <f>IF(AND(OR(LEFT(TH!N286,2)="15",LEFT(TH!O286,2)="15"),'THE KHO'!$E$7=TH!F286),"x","")</f>
        <v/>
      </c>
      <c r="AG318" s="66" t="str">
        <f>IF(AND(N318="1521",MONTH(C318)='BK NL'!$M$11),"x","")</f>
        <v/>
      </c>
    </row>
    <row r="319" spans="1:34" ht="15.75" customHeight="1">
      <c r="A319" s="398" t="str">
        <f>IF(B319&lt;&gt;"",IF(AND(B319&gt;=_TM1,B319&lt;=_TM2,OR(TH!N319="1111",TH!O319="1111")),TH!D319,""),"")</f>
        <v>C29</v>
      </c>
      <c r="B319" s="63">
        <f>IF(C319&lt;&gt;"",MONTH(C319),"")</f>
        <v>5</v>
      </c>
      <c r="C319" s="64">
        <f>E319</f>
        <v>42507</v>
      </c>
      <c r="D319" s="64" t="s">
        <v>196</v>
      </c>
      <c r="E319" s="64">
        <v>42507</v>
      </c>
      <c r="F319" s="67" t="s">
        <v>915</v>
      </c>
      <c r="G319" s="375" t="s">
        <v>916</v>
      </c>
      <c r="H319" s="74" t="s">
        <v>162</v>
      </c>
      <c r="I319" s="515"/>
      <c r="J319" s="515"/>
      <c r="K319" s="507"/>
      <c r="L319" s="515"/>
      <c r="M319" s="65">
        <f>8920+12211+21000+6000</f>
        <v>48131</v>
      </c>
      <c r="N319" s="66" t="s">
        <v>10</v>
      </c>
      <c r="O319" s="66" t="s">
        <v>98</v>
      </c>
      <c r="P319" s="66" t="str">
        <f>IF(AND('331-CT'!$E$7=TH!H287,OR(N319="331",O319="331")),"x","")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IF(AND('131-CT'!$H$9=TH!H287,OR(N319="131",O319="131")),"x","")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IF(OR(TH!N287=TH!$AB$7,O319=TH!$AB$7),"x","")</f>
        <v/>
      </c>
      <c r="AC319" s="66" t="str">
        <f>IF(AND(1&lt;=$B319,$B319&lt;=3),"1",IF(AND(4&lt;=$B319,$B319&lt;=6),"2",IF(AND(7&lt;=$B319,$B319&lt;=9),"3",IF(AND(10&lt;=$B319,$B319&lt;=12),"4",""))))</f>
        <v>2</v>
      </c>
      <c r="AD319" s="66" t="str">
        <f>IF(AND(MONTH(E319)&lt;='IN-NX'!$P$3,'IN-NX'!$D$7=D319,OR(LEFT(TH!N287,2)="15",LEFT(TH!O287,2)="15")),"x","")</f>
        <v/>
      </c>
      <c r="AE319" s="66" t="str">
        <f>IF(AND(OR(LEFT(TH!N287,2)="15",LEFT(TH!O287,2)="15"),'152-CT'!$J$8=TH!F287),"x","")</f>
        <v/>
      </c>
      <c r="AF319" s="66" t="str">
        <f>IF(AND(OR(LEFT(TH!N287,2)="15",LEFT(TH!O287,2)="15"),'THE KHO'!$E$7=TH!F287),"x","")</f>
        <v/>
      </c>
      <c r="AG319" s="66" t="str">
        <f>IF(AND(N319="1521",MONTH(C319)='BK NL'!$M$11),"x","")</f>
        <v/>
      </c>
    </row>
    <row r="320" spans="1:34" ht="15.75" customHeight="1">
      <c r="A320" s="398" t="str">
        <f>IF(B320&lt;&gt;"",IF(AND(B320&gt;=_TM1,B320&lt;=_TM2,OR(TH!N320="1111",TH!O320="1111")),TH!D320,""),"")</f>
        <v>C30</v>
      </c>
      <c r="B320" s="63">
        <f>IF(C320&lt;&gt;"",MONTH(C320),"")</f>
        <v>5</v>
      </c>
      <c r="C320" s="64">
        <f>E320</f>
        <v>42507</v>
      </c>
      <c r="D320" s="64" t="s">
        <v>197</v>
      </c>
      <c r="E320" s="64">
        <v>42507</v>
      </c>
      <c r="F320" s="67" t="s">
        <v>408</v>
      </c>
      <c r="G320" s="375" t="s">
        <v>921</v>
      </c>
      <c r="H320" s="74" t="s">
        <v>426</v>
      </c>
      <c r="I320" s="515"/>
      <c r="J320" s="515"/>
      <c r="K320" s="507"/>
      <c r="L320" s="515"/>
      <c r="M320" s="65">
        <v>3800000</v>
      </c>
      <c r="N320" s="66" t="s">
        <v>243</v>
      </c>
      <c r="O320" s="66" t="s">
        <v>98</v>
      </c>
      <c r="P320" s="66" t="str">
        <f>IF(AND('331-CT'!$E$7=TH!H288,OR(N320="331",O320="331")),"x","")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IF(AND('131-CT'!$H$9=TH!H288,OR(N320="131",O320="131")),"x","")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IF(OR(TH!N288=TH!$AB$7,O320=TH!$AB$7),"x","")</f>
        <v/>
      </c>
      <c r="AC320" s="66" t="str">
        <f>IF(AND(1&lt;=$B320,$B320&lt;=3),"1",IF(AND(4&lt;=$B320,$B320&lt;=6),"2",IF(AND(7&lt;=$B320,$B320&lt;=9),"3",IF(AND(10&lt;=$B320,$B320&lt;=12),"4",""))))</f>
        <v>2</v>
      </c>
      <c r="AD320" s="66" t="str">
        <f>IF(AND(MONTH(E320)&lt;='IN-NX'!$P$3,'IN-NX'!$D$7=D320,OR(LEFT(TH!N288,2)="15",LEFT(TH!O288,2)="15")),"x","")</f>
        <v/>
      </c>
      <c r="AE320" s="66" t="str">
        <f>IF(AND(OR(LEFT(TH!N288,2)="15",LEFT(TH!O288,2)="15"),'152-CT'!$J$8=TH!F288),"x","")</f>
        <v/>
      </c>
      <c r="AF320" s="66" t="str">
        <f>IF(AND(OR(LEFT(TH!N288,2)="15",LEFT(TH!O288,2)="15"),'THE KHO'!$E$7=TH!F288),"x","")</f>
        <v/>
      </c>
      <c r="AG320" s="66" t="str">
        <f>IF(AND(N320="1521",MONTH(C320)='BK NL'!$M$11),"x","")</f>
        <v/>
      </c>
    </row>
    <row r="321" spans="1:34" ht="15.75" customHeight="1">
      <c r="A321" s="398" t="str">
        <f>IF(B321&lt;&gt;"",IF(AND(B321&gt;=_TM1,B321&lt;=_TM2,OR(TH!N321="1111",TH!O321="1111")),TH!D321,""),"")</f>
        <v>C31</v>
      </c>
      <c r="B321" s="63">
        <f>IF(C321&lt;&gt;"",MONTH(C321),"")</f>
        <v>5</v>
      </c>
      <c r="C321" s="64">
        <f>E321</f>
        <v>42509</v>
      </c>
      <c r="D321" s="64" t="s">
        <v>198</v>
      </c>
      <c r="E321" s="64">
        <v>42509</v>
      </c>
      <c r="F321" s="67" t="s">
        <v>186</v>
      </c>
      <c r="G321" s="375" t="s">
        <v>922</v>
      </c>
      <c r="H321" s="74" t="s">
        <v>327</v>
      </c>
      <c r="I321" s="515"/>
      <c r="J321" s="515"/>
      <c r="K321" s="507"/>
      <c r="L321" s="515"/>
      <c r="M321" s="65">
        <v>1145000</v>
      </c>
      <c r="N321" s="66" t="s">
        <v>243</v>
      </c>
      <c r="O321" s="66" t="s">
        <v>98</v>
      </c>
      <c r="P321" s="66" t="str">
        <f>IF(AND('331-CT'!$E$7=TH!H289,OR(N321="331",O321="331")),"x","")</f>
        <v/>
      </c>
      <c r="Q321" s="66" t="str">
        <f>IF(AND($B321&gt;='111'!$N$11,$B321&lt;='111'!$O$11,OR($N321=$Q$7,$O321=$Q$7)),"x","")</f>
        <v>x</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IF(AND('131-CT'!$H$9=TH!H289,OR(N321="131",O321="131")),"x","")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IF(OR(TH!N289=TH!$AB$7,O321=TH!$AB$7),"x","")</f>
        <v/>
      </c>
      <c r="AC321" s="66" t="str">
        <f>IF(AND(1&lt;=$B321,$B321&lt;=3),"1",IF(AND(4&lt;=$B321,$B321&lt;=6),"2",IF(AND(7&lt;=$B321,$B321&lt;=9),"3",IF(AND(10&lt;=$B321,$B321&lt;=12),"4",""))))</f>
        <v>2</v>
      </c>
      <c r="AD321" s="66" t="str">
        <f>IF(AND(MONTH(E321)&lt;='IN-NX'!$P$3,'IN-NX'!$D$7=D321,OR(LEFT(TH!N289,2)="15",LEFT(TH!O289,2)="15")),"x","")</f>
        <v/>
      </c>
      <c r="AE321" s="66" t="str">
        <f>IF(AND(OR(LEFT(TH!N289,2)="15",LEFT(TH!O289,2)="15"),'152-CT'!$J$8=TH!F289),"x","")</f>
        <v/>
      </c>
      <c r="AF321" s="66" t="str">
        <f>IF(AND(OR(LEFT(TH!N289,2)="15",LEFT(TH!O289,2)="15"),'THE KHO'!$E$7=TH!F289),"x","")</f>
        <v/>
      </c>
      <c r="AG321" s="66" t="str">
        <f>IF(AND(N321="1521",MONTH(C321)='BK NL'!$M$11),"x","")</f>
        <v/>
      </c>
    </row>
    <row r="322" spans="1:34" ht="15.75" customHeight="1">
      <c r="A322" s="398" t="str">
        <f>IF(B322&lt;&gt;"",IF(AND(B322&gt;=_TM1,B322&lt;=_TM2,OR(TH!N322="1111",TH!O322="1111")),TH!D322,""),"")</f>
        <v/>
      </c>
      <c r="B322" s="63">
        <f>IF(C322&lt;&gt;"",MONTH(C322),"")</f>
        <v>5</v>
      </c>
      <c r="C322" s="64">
        <f>E322</f>
        <v>42509</v>
      </c>
      <c r="D322" s="64" t="s">
        <v>12</v>
      </c>
      <c r="E322" s="64">
        <v>42509</v>
      </c>
      <c r="F322" s="67" t="s">
        <v>800</v>
      </c>
      <c r="G322" s="361" t="s">
        <v>810</v>
      </c>
      <c r="H322" s="74" t="s">
        <v>439</v>
      </c>
      <c r="I322" s="515"/>
      <c r="J322" s="515"/>
      <c r="K322" s="507"/>
      <c r="L322" s="515"/>
      <c r="M322" s="65">
        <v>14000000</v>
      </c>
      <c r="N322" s="66" t="s">
        <v>31</v>
      </c>
      <c r="O322" s="66" t="s">
        <v>107</v>
      </c>
      <c r="P322" s="66" t="str">
        <f>IF(AND('331-CT'!$E$7=TH!H323,OR(N322="331",O322="331")),"x","")</f>
        <v/>
      </c>
      <c r="Q322" s="66" t="str">
        <f>IF(AND($B322&gt;='111'!$N$11,$B322&lt;='111'!$O$11,OR($N322=$Q$7,$O322=$Q$7)),"x","")</f>
        <v/>
      </c>
      <c r="R322" s="66" t="str">
        <f>IF(AND($N322=$Q$7,$B322&lt;'111'!$N$11),"x","")</f>
        <v/>
      </c>
      <c r="S322" s="66" t="str">
        <f>IF(AND($O322=$Q$7,$B322&lt;'111'!$N$11),"x","")</f>
        <v/>
      </c>
      <c r="T322" s="66" t="str">
        <f>IF(AND($B322&gt;='112'!$M$9,$B322&lt;='112'!$N$9,OR($N322='112'!$I$6,$O322='112'!$I$6)),"x","")</f>
        <v>x</v>
      </c>
      <c r="U322" s="66" t="str">
        <f>IF(AND($N322='112'!$I$6,$B322&lt;'112'!$M$9),"x","")</f>
        <v/>
      </c>
      <c r="V322" s="66" t="str">
        <f>IF(AND($O322='112'!$I$6,$B322&lt;'112'!$M$9),"x","")</f>
        <v/>
      </c>
      <c r="W322" s="66" t="str">
        <f>IF(AND('131-CT'!$H$9=TH!H323,OR(N322="131",O322="131")),"x","")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IF(OR(TH!N323=TH!$AB$7,O322=TH!$AB$7),"x","")</f>
        <v>x</v>
      </c>
      <c r="AC322" s="66" t="str">
        <f>IF(AND(1&lt;=$B322,$B322&lt;=3),"1",IF(AND(4&lt;=$B322,$B322&lt;=6),"2",IF(AND(7&lt;=$B322,$B322&lt;=9),"3",IF(AND(10&lt;=$B322,$B322&lt;=12),"4",""))))</f>
        <v>2</v>
      </c>
      <c r="AD322" s="66" t="str">
        <f>IF(AND(MONTH(E322)&lt;='IN-NX'!$P$3,'IN-NX'!$D$7=D322,OR(LEFT(TH!N323,2)="15",LEFT(TH!O323,2)="15")),"x","")</f>
        <v/>
      </c>
      <c r="AE322" s="66" t="str">
        <f>IF(AND(OR(LEFT(TH!N323,2)="15",LEFT(TH!O323,2)="15"),'152-CT'!$J$8=TH!F323),"x","")</f>
        <v/>
      </c>
      <c r="AF322" s="66" t="str">
        <f>IF(AND(OR(LEFT(TH!N323,2)="15",LEFT(TH!O323,2)="15"),'THE KHO'!$E$7=TH!F323),"x","")</f>
        <v/>
      </c>
      <c r="AG322" s="66" t="str">
        <f>IF(AND(N322="1521",MONTH(C322)='BK NL'!$M$11),"x","")</f>
        <v/>
      </c>
    </row>
    <row r="323" spans="1:34" ht="15.75" customHeight="1">
      <c r="A323" s="398" t="str">
        <f>IF(B323&lt;&gt;"",IF(AND(B323&gt;=_TM1,B323&lt;=_TM2,OR(TH!N323="1111",TH!O323="1111")),TH!D323,""),"")</f>
        <v>C32</v>
      </c>
      <c r="B323" s="63">
        <f>IF(C323&lt;&gt;"",MONTH(C323),"")</f>
        <v>5</v>
      </c>
      <c r="C323" s="64">
        <f>E323</f>
        <v>42509</v>
      </c>
      <c r="D323" s="64" t="s">
        <v>199</v>
      </c>
      <c r="E323" s="64">
        <v>42509</v>
      </c>
      <c r="F323" s="67" t="s">
        <v>447</v>
      </c>
      <c r="G323" s="361" t="s">
        <v>810</v>
      </c>
      <c r="H323" s="74" t="s">
        <v>439</v>
      </c>
      <c r="I323" s="515"/>
      <c r="J323" s="515"/>
      <c r="K323" s="507"/>
      <c r="L323" s="515"/>
      <c r="M323" s="65">
        <v>14000000</v>
      </c>
      <c r="N323" s="66" t="s">
        <v>107</v>
      </c>
      <c r="O323" s="66" t="s">
        <v>98</v>
      </c>
      <c r="P323" s="66" t="str">
        <f>IF(AND('331-CT'!$E$7=TH!H324,OR(N323="331",O323="331")),"x","")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IF(AND('131-CT'!$H$9=TH!H324,OR(N323="131",O323="131")),"x","")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IF(OR(TH!N324=TH!$AB$7,O323=TH!$AB$7),"x","")</f>
        <v/>
      </c>
      <c r="AC323" s="66" t="str">
        <f>IF(AND(1&lt;=$B323,$B323&lt;=3),"1",IF(AND(4&lt;=$B323,$B323&lt;=6),"2",IF(AND(7&lt;=$B323,$B323&lt;=9),"3",IF(AND(10&lt;=$B323,$B323&lt;=12),"4",""))))</f>
        <v>2</v>
      </c>
      <c r="AD323" s="66" t="str">
        <f>IF(AND(MONTH(E323)&lt;='IN-NX'!$P$3,'IN-NX'!$D$7=D323,OR(LEFT(TH!N324,2)="15",LEFT(TH!O324,2)="15")),"x","")</f>
        <v/>
      </c>
      <c r="AE323" s="66" t="str">
        <f>IF(AND(OR(LEFT(TH!N324,2)="15",LEFT(TH!O324,2)="15"),'152-CT'!$J$8=TH!F324),"x","")</f>
        <v/>
      </c>
      <c r="AF323" s="66" t="str">
        <f>IF(AND(OR(LEFT(TH!N324,2)="15",LEFT(TH!O324,2)="15"),'THE KHO'!$E$7=TH!F324),"x","")</f>
        <v/>
      </c>
      <c r="AG323" s="66" t="str">
        <f>IF(AND(N323="1521",MONTH(C323)='BK NL'!$M$11),"x","")</f>
        <v/>
      </c>
    </row>
    <row r="324" spans="1:34" ht="15.75" customHeight="1">
      <c r="A324" s="398" t="str">
        <f>IF(B324&lt;&gt;"",IF(AND(B324&gt;=_TM1,B324&lt;=_TM2,OR(TH!N324="1111",TH!O324="1111")),TH!D324,""),"")</f>
        <v/>
      </c>
      <c r="B324" s="63">
        <f>IF(C324&lt;&gt;"",MONTH(C324),"")</f>
        <v>5</v>
      </c>
      <c r="C324" s="64">
        <f>E324</f>
        <v>42509</v>
      </c>
      <c r="D324" s="64" t="s">
        <v>8</v>
      </c>
      <c r="E324" s="64">
        <v>42509</v>
      </c>
      <c r="F324" s="67" t="s">
        <v>414</v>
      </c>
      <c r="G324" s="361" t="s">
        <v>810</v>
      </c>
      <c r="H324" s="74" t="s">
        <v>333</v>
      </c>
      <c r="I324" s="518"/>
      <c r="J324" s="518"/>
      <c r="K324" s="510"/>
      <c r="L324" s="518"/>
      <c r="M324" s="65">
        <v>6557460</v>
      </c>
      <c r="N324" s="66" t="s">
        <v>134</v>
      </c>
      <c r="O324" s="66" t="s">
        <v>31</v>
      </c>
      <c r="P324" s="66" t="str">
        <f>IF(AND('331-CT'!$E$7=TH!H354,OR(N324="331",O324="331")),"x","")</f>
        <v/>
      </c>
      <c r="Q324" s="66" t="str">
        <f>IF(AND($B324&gt;='111'!$N$11,$B324&lt;='111'!$O$11,OR($N324=$Q$7,$O324=$Q$7)),"x","")</f>
        <v/>
      </c>
      <c r="R324" s="66" t="str">
        <f>IF(AND($N324=$Q$7,$B324&lt;'111'!$N$11),"x","")</f>
        <v/>
      </c>
      <c r="S324" s="66" t="str">
        <f>IF(AND($O324=$Q$7,$B324&lt;'111'!$N$11),"x","")</f>
        <v/>
      </c>
      <c r="T324" s="66" t="str">
        <f>IF(AND($B324&gt;='112'!$M$9,$B324&lt;='112'!$N$9,OR($N324='112'!$I$6,$O324='112'!$I$6)),"x","")</f>
        <v>x</v>
      </c>
      <c r="U324" s="66" t="str">
        <f>IF(AND($N324='112'!$I$6,$B324&lt;'112'!$M$9),"x","")</f>
        <v/>
      </c>
      <c r="V324" s="66" t="str">
        <f>IF(AND($O324='112'!$I$6,$B324&lt;'112'!$M$9),"x","")</f>
        <v/>
      </c>
      <c r="W324" s="66" t="str">
        <f>IF(AND('131-CT'!$H$9=TH!H354,OR(N324="131",O324="131")),"x","")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IF(OR(TH!N354=TH!$AB$7,O324=TH!$AB$7),"x","")</f>
        <v/>
      </c>
      <c r="AC324" s="66" t="str">
        <f>IF(AND(1&lt;=$B324,$B324&lt;=3),"1",IF(AND(4&lt;=$B324,$B324&lt;=6),"2",IF(AND(7&lt;=$B324,$B324&lt;=9),"3",IF(AND(10&lt;=$B324,$B324&lt;=12),"4",""))))</f>
        <v>2</v>
      </c>
      <c r="AD324" s="66" t="str">
        <f>IF(AND(MONTH(E324)&lt;='IN-NX'!$P$3,'IN-NX'!$D$7=D324,OR(LEFT(TH!N354,2)="15",LEFT(TH!O354,2)="15")),"x","")</f>
        <v/>
      </c>
      <c r="AE324" s="66" t="str">
        <f>IF(AND(OR(LEFT(TH!N354,2)="15",LEFT(TH!O354,2)="15"),'152-CT'!$J$8=TH!F354),"x","")</f>
        <v/>
      </c>
      <c r="AF324" s="66" t="str">
        <f>IF(AND(OR(LEFT(TH!N354,2)="15",LEFT(TH!O354,2)="15"),'THE KHO'!$E$7=TH!F354),"x","")</f>
        <v/>
      </c>
      <c r="AG324" s="66" t="str">
        <f>IF(AND(N324="1521",MONTH(C324)='BK NL'!$M$11),"x","")</f>
        <v/>
      </c>
    </row>
    <row r="325" spans="1:34" ht="15.75" customHeight="1">
      <c r="A325" s="398" t="str">
        <f>IF(B325&lt;&gt;"",IF(AND(B325&gt;=_TM1,B325&lt;=_TM2,OR(TH!N325="1111",TH!O325="1111")),TH!D325,""),"")</f>
        <v>C33</v>
      </c>
      <c r="B325" s="96">
        <f>IF(C325&lt;&gt;"",MONTH(C325),"")</f>
        <v>5</v>
      </c>
      <c r="C325" s="97">
        <f>E325</f>
        <v>42510</v>
      </c>
      <c r="D325" s="97" t="s">
        <v>200</v>
      </c>
      <c r="E325" s="97">
        <v>42510</v>
      </c>
      <c r="F325" s="98" t="s">
        <v>930</v>
      </c>
      <c r="G325" s="1050" t="s">
        <v>932</v>
      </c>
      <c r="H325" s="99" t="s">
        <v>933</v>
      </c>
      <c r="I325" s="520"/>
      <c r="J325" s="520"/>
      <c r="K325" s="512"/>
      <c r="L325" s="520"/>
      <c r="M325" s="100">
        <v>8409091</v>
      </c>
      <c r="N325" s="87" t="s">
        <v>136</v>
      </c>
      <c r="O325" s="87" t="s">
        <v>98</v>
      </c>
      <c r="P325" s="87" t="str">
        <f>IF(AND('331-CT'!$E$7=TH!H290,OR(N325="331",O325="331")),"x","")</f>
        <v/>
      </c>
      <c r="Q325" s="87" t="str">
        <f>IF(AND($B325&gt;='111'!$N$11,$B325&lt;='111'!$O$11,OR($N325=$Q$7,$O325=$Q$7)),"x","")</f>
        <v>x</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IF(AND('131-CT'!$H$9=TH!H290,OR(N325="131",O325="131")),"x","")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IF(OR(TH!N290=TH!$AB$7,O325=TH!$AB$7),"x","")</f>
        <v/>
      </c>
      <c r="AC325" s="87" t="str">
        <f>IF(AND(1&lt;=$B325,$B325&lt;=3),"1",IF(AND(4&lt;=$B325,$B325&lt;=6),"2",IF(AND(7&lt;=$B325,$B325&lt;=9),"3",IF(AND(10&lt;=$B325,$B325&lt;=12),"4",""))))</f>
        <v>2</v>
      </c>
      <c r="AD325" s="87" t="str">
        <f>IF(AND(MONTH(E325)&lt;='IN-NX'!$P$3,'IN-NX'!$D$7=D325,OR(LEFT(TH!N290,2)="15",LEFT(TH!O290,2)="15")),"x","")</f>
        <v/>
      </c>
      <c r="AE325" s="87" t="str">
        <f>IF(AND(OR(LEFT(TH!N290,2)="15",LEFT(TH!O290,2)="15"),'152-CT'!$J$8=TH!F290),"x","")</f>
        <v/>
      </c>
      <c r="AF325" s="87" t="str">
        <f>IF(AND(OR(LEFT(TH!N290,2)="15",LEFT(TH!O290,2)="15"),'THE KHO'!$E$7=TH!F290),"x","")</f>
        <v/>
      </c>
      <c r="AG325" s="87" t="str">
        <f>IF(AND(N325="1521",MONTH(C325)='BK NL'!$M$11),"x","")</f>
        <v/>
      </c>
      <c r="AH325" s="410"/>
    </row>
    <row r="326" spans="1:34" ht="15.75" customHeight="1">
      <c r="A326" s="398" t="str">
        <f>IF(B326&lt;&gt;"",IF(AND(B326&gt;=_TM1,B326&lt;=_TM2,OR(TH!N326="1111",TH!O326="1111")),TH!D326,""),"")</f>
        <v>C33</v>
      </c>
      <c r="B326" s="96">
        <f>IF(C326&lt;&gt;"",MONTH(C326),"")</f>
        <v>5</v>
      </c>
      <c r="C326" s="97">
        <f>E326</f>
        <v>42510</v>
      </c>
      <c r="D326" s="97" t="s">
        <v>200</v>
      </c>
      <c r="E326" s="97">
        <v>42510</v>
      </c>
      <c r="F326" s="98" t="s">
        <v>931</v>
      </c>
      <c r="G326" s="1050" t="s">
        <v>932</v>
      </c>
      <c r="H326" s="99" t="s">
        <v>933</v>
      </c>
      <c r="I326" s="520"/>
      <c r="J326" s="520"/>
      <c r="K326" s="512"/>
      <c r="L326" s="520"/>
      <c r="M326" s="100">
        <v>840909</v>
      </c>
      <c r="N326" s="87" t="s">
        <v>10</v>
      </c>
      <c r="O326" s="87" t="s">
        <v>98</v>
      </c>
      <c r="P326" s="87" t="str">
        <f>IF(AND('331-CT'!$E$7=TH!H291,OR(N326="331",O326="331")),"x","")</f>
        <v/>
      </c>
      <c r="Q326" s="87" t="str">
        <f>IF(AND($B326&gt;='111'!$N$11,$B326&lt;='111'!$O$11,OR($N326=$Q$7,$O326=$Q$7)),"x","")</f>
        <v>x</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IF(AND('131-CT'!$H$9=TH!H291,OR(N326="131",O326="131")),"x","")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IF(OR(TH!N291=TH!$AB$7,O326=TH!$AB$7),"x","")</f>
        <v/>
      </c>
      <c r="AC326" s="87" t="str">
        <f>IF(AND(1&lt;=$B326,$B326&lt;=3),"1",IF(AND(4&lt;=$B326,$B326&lt;=6),"2",IF(AND(7&lt;=$B326,$B326&lt;=9),"3",IF(AND(10&lt;=$B326,$B326&lt;=12),"4",""))))</f>
        <v>2</v>
      </c>
      <c r="AD326" s="87" t="str">
        <f>IF(AND(MONTH(E326)&lt;='IN-NX'!$P$3,'IN-NX'!$D$7=D326,OR(LEFT(TH!N291,2)="15",LEFT(TH!O291,2)="15")),"x","")</f>
        <v/>
      </c>
      <c r="AE326" s="87" t="str">
        <f>IF(AND(OR(LEFT(TH!N291,2)="15",LEFT(TH!O291,2)="15"),'152-CT'!$J$8=TH!F291),"x","")</f>
        <v/>
      </c>
      <c r="AF326" s="87" t="str">
        <f>IF(AND(OR(LEFT(TH!N291,2)="15",LEFT(TH!O291,2)="15"),'THE KHO'!$E$7=TH!F291),"x","")</f>
        <v/>
      </c>
      <c r="AG326" s="87" t="str">
        <f>IF(AND(N326="1521",MONTH(C326)='BK NL'!$M$11),"x","")</f>
        <v/>
      </c>
      <c r="AH326" s="410"/>
    </row>
    <row r="327" spans="1:34" ht="15.75" customHeight="1">
      <c r="A327" s="398" t="str">
        <f>IF(B327&lt;&gt;"",IF(AND(B327&gt;=_TM1,B327&lt;=_TM2,OR(TH!N327="1111",TH!O327="1111")),TH!D327,""),"")</f>
        <v/>
      </c>
      <c r="B327" s="63">
        <f>IF(C327&lt;&gt;"",MONTH(C327),"")</f>
        <v>5</v>
      </c>
      <c r="C327" s="64">
        <f>E327</f>
        <v>42515</v>
      </c>
      <c r="D327" s="64" t="s">
        <v>12</v>
      </c>
      <c r="E327" s="64">
        <v>42515</v>
      </c>
      <c r="F327" s="67" t="s">
        <v>800</v>
      </c>
      <c r="G327" s="361" t="s">
        <v>810</v>
      </c>
      <c r="H327" s="74" t="s">
        <v>439</v>
      </c>
      <c r="I327" s="515"/>
      <c r="J327" s="515"/>
      <c r="K327" s="507"/>
      <c r="L327" s="515"/>
      <c r="M327" s="65">
        <v>85000000</v>
      </c>
      <c r="N327" s="66" t="s">
        <v>31</v>
      </c>
      <c r="O327" s="66" t="s">
        <v>107</v>
      </c>
      <c r="P327" s="66" t="str">
        <f>IF(AND('331-CT'!$E$7=TH!H325,OR(N327="331",O327="331")),"x","")</f>
        <v/>
      </c>
      <c r="Q327" s="66" t="str">
        <f>IF(AND($B327&gt;='111'!$N$11,$B327&lt;='111'!$O$11,OR($N327=$Q$7,$O327=$Q$7)),"x","")</f>
        <v/>
      </c>
      <c r="R327" s="66" t="str">
        <f>IF(AND($N327=$Q$7,$B327&lt;'111'!$N$11),"x","")</f>
        <v/>
      </c>
      <c r="S327" s="66" t="str">
        <f>IF(AND($O327=$Q$7,$B327&lt;'111'!$N$11),"x","")</f>
        <v/>
      </c>
      <c r="T327" s="66" t="str">
        <f>IF(AND($B327&gt;='112'!$M$9,$B327&lt;='112'!$N$9,OR($N327='112'!$I$6,$O327='112'!$I$6)),"x","")</f>
        <v>x</v>
      </c>
      <c r="U327" s="66" t="str">
        <f>IF(AND($N327='112'!$I$6,$B327&lt;'112'!$M$9),"x","")</f>
        <v/>
      </c>
      <c r="V327" s="66" t="str">
        <f>IF(AND($O327='112'!$I$6,$B327&lt;'112'!$M$9),"x","")</f>
        <v/>
      </c>
      <c r="W327" s="66" t="str">
        <f>IF(AND('131-CT'!$H$9=TH!H325,OR(N327="131",O327="131")),"x","")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IF(OR(TH!N325=TH!$AB$7,O327=TH!$AB$7),"x","")</f>
        <v>x</v>
      </c>
      <c r="AC327" s="66" t="str">
        <f>IF(AND(1&lt;=$B327,$B327&lt;=3),"1",IF(AND(4&lt;=$B327,$B327&lt;=6),"2",IF(AND(7&lt;=$B327,$B327&lt;=9),"3",IF(AND(10&lt;=$B327,$B327&lt;=12),"4",""))))</f>
        <v>2</v>
      </c>
      <c r="AD327" s="66" t="str">
        <f>IF(AND(MONTH(E327)&lt;='IN-NX'!$P$3,'IN-NX'!$D$7=D327,OR(LEFT(TH!N325,2)="15",LEFT(TH!O325,2)="15")),"x","")</f>
        <v/>
      </c>
      <c r="AE327" s="66" t="str">
        <f>IF(AND(OR(LEFT(TH!N325,2)="15",LEFT(TH!O325,2)="15"),'152-CT'!$J$8=TH!F325),"x","")</f>
        <v/>
      </c>
      <c r="AF327" s="66" t="str">
        <f>IF(AND(OR(LEFT(TH!N325,2)="15",LEFT(TH!O325,2)="15"),'THE KHO'!$E$7=TH!F325),"x","")</f>
        <v/>
      </c>
      <c r="AG327" s="66" t="str">
        <f>IF(AND(N327="1521",MONTH(C327)='BK NL'!$M$11),"x","")</f>
        <v/>
      </c>
    </row>
    <row r="328" spans="1:34" ht="15.75" customHeight="1">
      <c r="A328" s="398" t="str">
        <f>IF(B328&lt;&gt;"",IF(AND(B328&gt;=_TM1,B328&lt;=_TM2,OR(TH!N328="1111",TH!O328="1111")),TH!D328,""),"")</f>
        <v>C34</v>
      </c>
      <c r="B328" s="63">
        <f>IF(C328&lt;&gt;"",MONTH(C328),"")</f>
        <v>5</v>
      </c>
      <c r="C328" s="64">
        <f>E328</f>
        <v>42515</v>
      </c>
      <c r="D328" s="64" t="s">
        <v>759</v>
      </c>
      <c r="E328" s="64">
        <v>42515</v>
      </c>
      <c r="F328" s="67" t="s">
        <v>447</v>
      </c>
      <c r="G328" s="361" t="s">
        <v>810</v>
      </c>
      <c r="H328" s="74" t="s">
        <v>439</v>
      </c>
      <c r="I328" s="515"/>
      <c r="J328" s="515"/>
      <c r="K328" s="507"/>
      <c r="L328" s="515"/>
      <c r="M328" s="65">
        <v>85000000</v>
      </c>
      <c r="N328" s="66" t="s">
        <v>107</v>
      </c>
      <c r="O328" s="66" t="s">
        <v>98</v>
      </c>
      <c r="P328" s="66" t="str">
        <f>IF(AND('331-CT'!$E$7=TH!H326,OR(N328="331",O328="331")),"x","")</f>
        <v/>
      </c>
      <c r="Q328" s="66" t="str">
        <f>IF(AND($B328&gt;='111'!$N$11,$B328&lt;='111'!$O$11,OR($N328=$Q$7,$O328=$Q$7)),"x","")</f>
        <v>x</v>
      </c>
      <c r="R328" s="66" t="str">
        <f>IF(AND($N328=$Q$7,$B328&lt;'111'!$N$11),"x","")</f>
        <v/>
      </c>
      <c r="S328" s="66" t="str">
        <f>IF(AND($O328=$Q$7,$B328&lt;'111'!$N$11),"x","")</f>
        <v/>
      </c>
      <c r="T328" s="66" t="str">
        <f>IF(AND($B328&gt;='112'!$M$9,$B328&lt;='112'!$N$9,OR($N328='112'!$I$6,$O328='112'!$I$6)),"x","")</f>
        <v/>
      </c>
      <c r="U328" s="66" t="str">
        <f>IF(AND($N328='112'!$I$6,$B328&lt;'112'!$M$9),"x","")</f>
        <v/>
      </c>
      <c r="V328" s="66" t="str">
        <f>IF(AND($O328='112'!$I$6,$B328&lt;'112'!$M$9),"x","")</f>
        <v/>
      </c>
      <c r="W328" s="66" t="str">
        <f>IF(AND('131-CT'!$H$9=TH!H326,OR(N328="131",O328="131")),"x","")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IF(OR(TH!N326=TH!$AB$7,O328=TH!$AB$7),"x","")</f>
        <v/>
      </c>
      <c r="AC328" s="66" t="str">
        <f>IF(AND(1&lt;=$B328,$B328&lt;=3),"1",IF(AND(4&lt;=$B328,$B328&lt;=6),"2",IF(AND(7&lt;=$B328,$B328&lt;=9),"3",IF(AND(10&lt;=$B328,$B328&lt;=12),"4",""))))</f>
        <v>2</v>
      </c>
      <c r="AD328" s="66" t="str">
        <f>IF(AND(MONTH(E328)&lt;='IN-NX'!$P$3,'IN-NX'!$D$7=D328,OR(LEFT(TH!N326,2)="15",LEFT(TH!O326,2)="15")),"x","")</f>
        <v/>
      </c>
      <c r="AE328" s="66" t="str">
        <f>IF(AND(OR(LEFT(TH!N326,2)="15",LEFT(TH!O326,2)="15"),'152-CT'!$J$8=TH!F326),"x","")</f>
        <v/>
      </c>
      <c r="AF328" s="66" t="str">
        <f>IF(AND(OR(LEFT(TH!N326,2)="15",LEFT(TH!O326,2)="15"),'THE KHO'!$E$7=TH!F326),"x","")</f>
        <v/>
      </c>
      <c r="AG328" s="66" t="str">
        <f>IF(AND(N328="1521",MONTH(C328)='BK NL'!$M$11),"x","")</f>
        <v/>
      </c>
    </row>
    <row r="329" spans="1:34" ht="15.75" customHeight="1">
      <c r="A329" s="398" t="str">
        <f>IF(B329&lt;&gt;"",IF(AND(B329&gt;=_TM1,B329&lt;=_TM2,OR(TH!N329="1111",TH!O329="1111")),TH!D329,""),"")</f>
        <v>C35</v>
      </c>
      <c r="B329" s="63">
        <f>IF(C329&lt;&gt;"",MONTH(C329),"")</f>
        <v>5</v>
      </c>
      <c r="C329" s="64">
        <f>E329</f>
        <v>42515</v>
      </c>
      <c r="D329" s="64" t="s">
        <v>760</v>
      </c>
      <c r="E329" s="64">
        <v>42515</v>
      </c>
      <c r="F329" s="67" t="s">
        <v>419</v>
      </c>
      <c r="G329" s="361" t="s">
        <v>810</v>
      </c>
      <c r="H329" s="406" t="s">
        <v>837</v>
      </c>
      <c r="I329" s="518"/>
      <c r="J329" s="518"/>
      <c r="K329" s="510"/>
      <c r="L329" s="518"/>
      <c r="M329" s="65">
        <v>40000000</v>
      </c>
      <c r="N329" s="66" t="s">
        <v>31</v>
      </c>
      <c r="O329" s="66" t="s">
        <v>98</v>
      </c>
      <c r="P329" s="66" t="str">
        <f>IF(AND('331-CT'!$E$7=TH!H327,OR(N329="331",O329="331")),"x","")</f>
        <v/>
      </c>
      <c r="Q329" s="66" t="str">
        <f>IF(AND($B329&gt;='111'!$N$11,$B329&lt;='111'!$O$11,OR($N329=$Q$7,$O329=$Q$7)),"x","")</f>
        <v>x</v>
      </c>
      <c r="R329" s="66" t="str">
        <f>IF(AND($N329=$Q$7,$B329&lt;'111'!$N$11),"x","")</f>
        <v/>
      </c>
      <c r="S329" s="66" t="str">
        <f>IF(AND($O329=$Q$7,$B329&lt;'111'!$N$11),"x","")</f>
        <v/>
      </c>
      <c r="T329" s="66" t="str">
        <f>IF(AND($B329&gt;='112'!$M$9,$B329&lt;='112'!$N$9,OR($N329='112'!$I$6,$O329='112'!$I$6)),"x","")</f>
        <v>x</v>
      </c>
      <c r="U329" s="66" t="str">
        <f>IF(AND($N329='112'!$I$6,$B329&lt;'112'!$M$9),"x","")</f>
        <v/>
      </c>
      <c r="V329" s="66" t="str">
        <f>IF(AND($O329='112'!$I$6,$B329&lt;'112'!$M$9),"x","")</f>
        <v/>
      </c>
      <c r="W329" s="66" t="str">
        <f>IF(AND('131-CT'!$H$9=TH!H327,OR(N329="131",O329="131")),"x","")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IF(OR(TH!N327=TH!$AB$7,O329=TH!$AB$7),"x","")</f>
        <v/>
      </c>
      <c r="AC329" s="66" t="str">
        <f>IF(AND(1&lt;=$B329,$B329&lt;=3),"1",IF(AND(4&lt;=$B329,$B329&lt;=6),"2",IF(AND(7&lt;=$B329,$B329&lt;=9),"3",IF(AND(10&lt;=$B329,$B329&lt;=12),"4",""))))</f>
        <v>2</v>
      </c>
      <c r="AD329" s="66" t="str">
        <f>IF(AND(MONTH(E329)&lt;='IN-NX'!$P$3,'IN-NX'!$D$7=D329,OR(LEFT(TH!N327,2)="15",LEFT(TH!O327,2)="15")),"x","")</f>
        <v/>
      </c>
      <c r="AE329" s="66" t="str">
        <f>IF(AND(OR(LEFT(TH!N327,2)="15",LEFT(TH!O327,2)="15"),'152-CT'!$J$8=TH!F327),"x","")</f>
        <v/>
      </c>
      <c r="AF329" s="66" t="str">
        <f>IF(AND(OR(LEFT(TH!N327,2)="15",LEFT(TH!O327,2)="15"),'THE KHO'!$E$7=TH!F327),"x","")</f>
        <v/>
      </c>
      <c r="AG329" s="66" t="str">
        <f>IF(AND(N329="1521",MONTH(C329)='BK NL'!$M$11),"x","")</f>
        <v/>
      </c>
    </row>
    <row r="330" spans="1:34" ht="15.75" customHeight="1">
      <c r="A330" s="398" t="str">
        <f>IF(B330&lt;&gt;"",IF(AND(B330&gt;=_TM1,B330&lt;=_TM2,OR(TH!N330="1111",TH!O330="1111")),TH!D330,""),"")</f>
        <v/>
      </c>
      <c r="B330" s="63">
        <f>IF(C330&lt;&gt;"",MONTH(C330),"")</f>
        <v>5</v>
      </c>
      <c r="C330" s="64">
        <f>E330</f>
        <v>42515</v>
      </c>
      <c r="D330" s="64" t="s">
        <v>8</v>
      </c>
      <c r="E330" s="64">
        <v>42515</v>
      </c>
      <c r="F330" s="67" t="s">
        <v>414</v>
      </c>
      <c r="G330" s="361" t="s">
        <v>810</v>
      </c>
      <c r="H330" s="74" t="s">
        <v>167</v>
      </c>
      <c r="I330" s="518"/>
      <c r="J330" s="518"/>
      <c r="K330" s="510"/>
      <c r="L330" s="518"/>
      <c r="M330" s="65">
        <v>7935469</v>
      </c>
      <c r="N330" s="66" t="s">
        <v>134</v>
      </c>
      <c r="O330" s="66" t="s">
        <v>31</v>
      </c>
      <c r="P330" s="66" t="str">
        <f>IF(AND('331-CT'!$E$7=TH!H355,OR(N330="331",O330="331")),"x","")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IF(AND('131-CT'!$H$9=TH!H355,OR(N330="131",O330="131")),"x","")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IF(OR(TH!N355=TH!$AB$7,O330=TH!$AB$7),"x","")</f>
        <v/>
      </c>
      <c r="AC330" s="66" t="str">
        <f>IF(AND(1&lt;=$B330,$B330&lt;=3),"1",IF(AND(4&lt;=$B330,$B330&lt;=6),"2",IF(AND(7&lt;=$B330,$B330&lt;=9),"3",IF(AND(10&lt;=$B330,$B330&lt;=12),"4",""))))</f>
        <v>2</v>
      </c>
      <c r="AD330" s="66" t="str">
        <f>IF(AND(MONTH(E330)&lt;='IN-NX'!$P$3,'IN-NX'!$D$7=D330,OR(LEFT(TH!N355,2)="15",LEFT(TH!O355,2)="15")),"x","")</f>
        <v/>
      </c>
      <c r="AE330" s="66" t="str">
        <f>IF(AND(OR(LEFT(TH!N355,2)="15",LEFT(TH!O355,2)="15"),'152-CT'!$J$8=TH!F355),"x","")</f>
        <v/>
      </c>
      <c r="AF330" s="66" t="str">
        <f>IF(AND(OR(LEFT(TH!N355,2)="15",LEFT(TH!O355,2)="15"),'THE KHO'!$E$7=TH!F355),"x","")</f>
        <v/>
      </c>
      <c r="AG330" s="66" t="str">
        <f>IF(AND(N330="1521",MONTH(C330)='BK NL'!$M$11),"x","")</f>
        <v/>
      </c>
    </row>
    <row r="331" spans="1:34" ht="15.75" customHeight="1">
      <c r="A331" s="398" t="str">
        <f>IF(B331&lt;&gt;"",IF(AND(B331&gt;=_TM1,B331&lt;=_TM2,OR(TH!N331="1111",TH!O331="1111")),TH!D331,""),"")</f>
        <v/>
      </c>
      <c r="B331" s="63">
        <f>IF(C331&lt;&gt;"",MONTH(C331),"")</f>
        <v>5</v>
      </c>
      <c r="C331" s="64">
        <f>E331</f>
        <v>42515</v>
      </c>
      <c r="D331" s="64" t="s">
        <v>8</v>
      </c>
      <c r="E331" s="64">
        <v>42515</v>
      </c>
      <c r="F331" s="67" t="s">
        <v>414</v>
      </c>
      <c r="G331" s="361" t="s">
        <v>810</v>
      </c>
      <c r="H331" s="74" t="s">
        <v>168</v>
      </c>
      <c r="I331" s="518"/>
      <c r="J331" s="518"/>
      <c r="K331" s="510"/>
      <c r="L331" s="518"/>
      <c r="M331" s="65">
        <v>15870937</v>
      </c>
      <c r="N331" s="66" t="s">
        <v>134</v>
      </c>
      <c r="O331" s="66" t="s">
        <v>31</v>
      </c>
      <c r="P331" s="66" t="str">
        <f>IF(AND('331-CT'!$E$7=TH!H356,OR(N331="331",O331="331")),"x","")</f>
        <v/>
      </c>
      <c r="Q331" s="66" t="str">
        <f>IF(AND($B331&gt;='111'!$N$11,$B331&lt;='111'!$O$11,OR($N331=$Q$7,$O331=$Q$7)),"x","")</f>
        <v/>
      </c>
      <c r="R331" s="66" t="str">
        <f>IF(AND($N331=$Q$7,$B331&lt;'111'!$N$11),"x","")</f>
        <v/>
      </c>
      <c r="S331" s="66" t="str">
        <f>IF(AND($O331=$Q$7,$B331&lt;'111'!$N$11),"x","")</f>
        <v/>
      </c>
      <c r="T331" s="66" t="str">
        <f>IF(AND($B331&gt;='112'!$M$9,$B331&lt;='112'!$N$9,OR($N331='112'!$I$6,$O331='112'!$I$6)),"x","")</f>
        <v>x</v>
      </c>
      <c r="U331" s="66" t="str">
        <f>IF(AND($N331='112'!$I$6,$B331&lt;'112'!$M$9),"x","")</f>
        <v/>
      </c>
      <c r="V331" s="66" t="str">
        <f>IF(AND($O331='112'!$I$6,$B331&lt;'112'!$M$9),"x","")</f>
        <v/>
      </c>
      <c r="W331" s="66" t="str">
        <f>IF(AND('131-CT'!$H$9=TH!H356,OR(N331="131",O331="131")),"x","")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IF(OR(TH!N356=TH!$AB$7,O331=TH!$AB$7),"x","")</f>
        <v/>
      </c>
      <c r="AC331" s="66" t="str">
        <f>IF(AND(1&lt;=$B331,$B331&lt;=3),"1",IF(AND(4&lt;=$B331,$B331&lt;=6),"2",IF(AND(7&lt;=$B331,$B331&lt;=9),"3",IF(AND(10&lt;=$B331,$B331&lt;=12),"4",""))))</f>
        <v>2</v>
      </c>
      <c r="AD331" s="66" t="str">
        <f>IF(AND(MONTH(E331)&lt;='IN-NX'!$P$3,'IN-NX'!$D$7=D331,OR(LEFT(TH!N356,2)="15",LEFT(TH!O356,2)="15")),"x","")</f>
        <v/>
      </c>
      <c r="AE331" s="66" t="str">
        <f>IF(AND(OR(LEFT(TH!N356,2)="15",LEFT(TH!O356,2)="15"),'152-CT'!$J$8=TH!F356),"x","")</f>
        <v/>
      </c>
      <c r="AF331" s="66" t="str">
        <f>IF(AND(OR(LEFT(TH!N356,2)="15",LEFT(TH!O356,2)="15"),'THE KHO'!$E$7=TH!F356),"x","")</f>
        <v/>
      </c>
      <c r="AG331" s="66" t="str">
        <f>IF(AND(N331="1521",MONTH(C331)='BK NL'!$M$11),"x","")</f>
        <v/>
      </c>
    </row>
    <row r="332" spans="1:34" ht="15.75" customHeight="1">
      <c r="A332" s="398" t="str">
        <f>IF(B332&lt;&gt;"",IF(AND(B332&gt;=_TM1,B332&lt;=_TM2,OR(TH!N332="1111",TH!O332="1111")),TH!D332,""),"")</f>
        <v/>
      </c>
      <c r="B332" s="63">
        <f>IF(C332&lt;&gt;"",MONTH(C332),"")</f>
        <v>5</v>
      </c>
      <c r="C332" s="64">
        <f>E332</f>
        <v>42515</v>
      </c>
      <c r="D332" s="64" t="s">
        <v>8</v>
      </c>
      <c r="E332" s="64">
        <v>42515</v>
      </c>
      <c r="F332" s="67" t="s">
        <v>414</v>
      </c>
      <c r="G332" s="361" t="s">
        <v>810</v>
      </c>
      <c r="H332" s="75" t="s">
        <v>170</v>
      </c>
      <c r="I332" s="518"/>
      <c r="J332" s="518"/>
      <c r="K332" s="510"/>
      <c r="L332" s="518"/>
      <c r="M332" s="65">
        <v>12696750</v>
      </c>
      <c r="N332" s="66" t="s">
        <v>134</v>
      </c>
      <c r="O332" s="66" t="s">
        <v>31</v>
      </c>
      <c r="P332" s="66" t="str">
        <f>IF(AND('331-CT'!$E$7=TH!H357,OR(N332="331",O332="331")),"x","")</f>
        <v/>
      </c>
      <c r="Q332" s="66" t="str">
        <f>IF(AND($B332&gt;='111'!$N$11,$B332&lt;='111'!$O$11,OR($N332=$Q$7,$O332=$Q$7)),"x","")</f>
        <v/>
      </c>
      <c r="R332" s="66" t="str">
        <f>IF(AND($N332=$Q$7,$B332&lt;'111'!$N$11),"x","")</f>
        <v/>
      </c>
      <c r="S332" s="66" t="str">
        <f>IF(AND($O332=$Q$7,$B332&lt;'111'!$N$11),"x","")</f>
        <v/>
      </c>
      <c r="T332" s="66" t="str">
        <f>IF(AND($B332&gt;='112'!$M$9,$B332&lt;='112'!$N$9,OR($N332='112'!$I$6,$O332='112'!$I$6)),"x","")</f>
        <v>x</v>
      </c>
      <c r="U332" s="66" t="str">
        <f>IF(AND($N332='112'!$I$6,$B332&lt;'112'!$M$9),"x","")</f>
        <v/>
      </c>
      <c r="V332" s="66" t="str">
        <f>IF(AND($O332='112'!$I$6,$B332&lt;'112'!$M$9),"x","")</f>
        <v/>
      </c>
      <c r="W332" s="66" t="str">
        <f>IF(AND('131-CT'!$H$9=TH!H357,OR(N332="131",O332="131")),"x","")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IF(OR(TH!N357=TH!$AB$7,O332=TH!$AB$7),"x","")</f>
        <v/>
      </c>
      <c r="AC332" s="66" t="str">
        <f>IF(AND(1&lt;=$B332,$B332&lt;=3),"1",IF(AND(4&lt;=$B332,$B332&lt;=6),"2",IF(AND(7&lt;=$B332,$B332&lt;=9),"3",IF(AND(10&lt;=$B332,$B332&lt;=12),"4",""))))</f>
        <v>2</v>
      </c>
      <c r="AD332" s="66" t="str">
        <f>IF(AND(MONTH(E332)&lt;='IN-NX'!$P$3,'IN-NX'!$D$7=D332,OR(LEFT(TH!N357,2)="15",LEFT(TH!O357,2)="15")),"x","")</f>
        <v/>
      </c>
      <c r="AE332" s="66" t="str">
        <f>IF(AND(OR(LEFT(TH!N357,2)="15",LEFT(TH!O357,2)="15"),'152-CT'!$J$8=TH!F357),"x","")</f>
        <v/>
      </c>
      <c r="AF332" s="66" t="str">
        <f>IF(AND(OR(LEFT(TH!N357,2)="15",LEFT(TH!O357,2)="15"),'THE KHO'!$E$7=TH!F357),"x","")</f>
        <v/>
      </c>
      <c r="AG332" s="66" t="str">
        <f>IF(AND(N332="1521",MONTH(C332)='BK NL'!$M$11),"x","")</f>
        <v/>
      </c>
    </row>
    <row r="333" spans="1:34" ht="15.75" customHeight="1">
      <c r="A333" s="398" t="str">
        <f>IF(B333&lt;&gt;"",IF(AND(B333&gt;=_TM1,B333&lt;=_TM2,OR(TH!N333="1111",TH!O333="1111")),TH!D333,""),"")</f>
        <v/>
      </c>
      <c r="B333" s="63">
        <f>IF(C333&lt;&gt;"",MONTH(C333),"")</f>
        <v>5</v>
      </c>
      <c r="C333" s="64">
        <f>E333</f>
        <v>42515</v>
      </c>
      <c r="D333" s="64" t="s">
        <v>8</v>
      </c>
      <c r="E333" s="64">
        <v>42515</v>
      </c>
      <c r="F333" s="67" t="s">
        <v>414</v>
      </c>
      <c r="G333" s="361" t="s">
        <v>810</v>
      </c>
      <c r="H333" s="74" t="s">
        <v>169</v>
      </c>
      <c r="I333" s="518"/>
      <c r="J333" s="518"/>
      <c r="K333" s="510"/>
      <c r="L333" s="518"/>
      <c r="M333" s="65">
        <v>11903203</v>
      </c>
      <c r="N333" s="66" t="s">
        <v>134</v>
      </c>
      <c r="O333" s="66" t="s">
        <v>31</v>
      </c>
      <c r="P333" s="66" t="str">
        <f>IF(AND('331-CT'!$E$7=TH!H358,OR(N333="331",O333="331")),"x","")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IF(AND('131-CT'!$H$9=TH!H358,OR(N333="131",O333="131")),"x","")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IF(OR(TH!N358=TH!$AB$7,O333=TH!$AB$7),"x","")</f>
        <v/>
      </c>
      <c r="AC333" s="66" t="str">
        <f>IF(AND(1&lt;=$B333,$B333&lt;=3),"1",IF(AND(4&lt;=$B333,$B333&lt;=6),"2",IF(AND(7&lt;=$B333,$B333&lt;=9),"3",IF(AND(10&lt;=$B333,$B333&lt;=12),"4",""))))</f>
        <v>2</v>
      </c>
      <c r="AD333" s="66" t="str">
        <f>IF(AND(MONTH(E333)&lt;='IN-NX'!$P$3,'IN-NX'!$D$7=D333,OR(LEFT(TH!N358,2)="15",LEFT(TH!O358,2)="15")),"x","")</f>
        <v/>
      </c>
      <c r="AE333" s="66" t="str">
        <f>IF(AND(OR(LEFT(TH!N358,2)="15",LEFT(TH!O358,2)="15"),'152-CT'!$J$8=TH!F358),"x","")</f>
        <v/>
      </c>
      <c r="AF333" s="66" t="str">
        <f>IF(AND(OR(LEFT(TH!N358,2)="15",LEFT(TH!O358,2)="15"),'THE KHO'!$E$7=TH!F358),"x","")</f>
        <v/>
      </c>
      <c r="AG333" s="66" t="str">
        <f>IF(AND(N333="1521",MONTH(C333)='BK NL'!$M$11),"x","")</f>
        <v/>
      </c>
    </row>
    <row r="334" spans="1:34" ht="15.75" customHeight="1">
      <c r="A334" s="398" t="str">
        <f>IF(B334&lt;&gt;"",IF(AND(B334&gt;=_TM1,B334&lt;=_TM2,OR(TH!N334="1111",TH!O334="1111")),TH!D334,""),"")</f>
        <v/>
      </c>
      <c r="B334" s="63">
        <f>IF(C334&lt;&gt;"",MONTH(C334),"")</f>
        <v>5</v>
      </c>
      <c r="C334" s="64">
        <f>E334</f>
        <v>42515</v>
      </c>
      <c r="D334" s="64" t="s">
        <v>8</v>
      </c>
      <c r="E334" s="64">
        <v>42515</v>
      </c>
      <c r="F334" s="67" t="s">
        <v>414</v>
      </c>
      <c r="G334" s="361" t="s">
        <v>810</v>
      </c>
      <c r="H334" s="74" t="s">
        <v>171</v>
      </c>
      <c r="I334" s="518"/>
      <c r="J334" s="518"/>
      <c r="K334" s="510"/>
      <c r="L334" s="518"/>
      <c r="M334" s="65">
        <v>7935469</v>
      </c>
      <c r="N334" s="66" t="s">
        <v>134</v>
      </c>
      <c r="O334" s="66" t="s">
        <v>31</v>
      </c>
      <c r="P334" s="66" t="str">
        <f>IF(AND('331-CT'!$E$7=TH!H359,OR(N334="331",O334="331")),"x","")</f>
        <v/>
      </c>
      <c r="Q334" s="66" t="str">
        <f>IF(AND($B334&gt;='111'!$N$11,$B334&lt;='111'!$O$11,OR($N334=$Q$7,$O334=$Q$7)),"x","")</f>
        <v/>
      </c>
      <c r="R334" s="66" t="str">
        <f>IF(AND($N334=$Q$7,$B334&lt;'111'!$N$11),"x","")</f>
        <v/>
      </c>
      <c r="S334" s="66" t="str">
        <f>IF(AND($O334=$Q$7,$B334&lt;'111'!$N$11),"x","")</f>
        <v/>
      </c>
      <c r="T334" s="66" t="str">
        <f>IF(AND($B334&gt;='112'!$M$9,$B334&lt;='112'!$N$9,OR($N334='112'!$I$6,$O334='112'!$I$6)),"x","")</f>
        <v>x</v>
      </c>
      <c r="U334" s="66" t="str">
        <f>IF(AND($N334='112'!$I$6,$B334&lt;'112'!$M$9),"x","")</f>
        <v/>
      </c>
      <c r="V334" s="66" t="str">
        <f>IF(AND($O334='112'!$I$6,$B334&lt;'112'!$M$9),"x","")</f>
        <v/>
      </c>
      <c r="W334" s="66" t="str">
        <f>IF(AND('131-CT'!$H$9=TH!H359,OR(N334="131",O334="131")),"x","")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IF(OR(TH!N359=TH!$AB$7,O334=TH!$AB$7),"x","")</f>
        <v/>
      </c>
      <c r="AC334" s="66" t="str">
        <f>IF(AND(1&lt;=$B334,$B334&lt;=3),"1",IF(AND(4&lt;=$B334,$B334&lt;=6),"2",IF(AND(7&lt;=$B334,$B334&lt;=9),"3",IF(AND(10&lt;=$B334,$B334&lt;=12),"4",""))))</f>
        <v>2</v>
      </c>
      <c r="AD334" s="66" t="str">
        <f>IF(AND(MONTH(E334)&lt;='IN-NX'!$P$3,'IN-NX'!$D$7=D334,OR(LEFT(TH!N359,2)="15",LEFT(TH!O359,2)="15")),"x","")</f>
        <v/>
      </c>
      <c r="AE334" s="66" t="str">
        <f>IF(AND(OR(LEFT(TH!N359,2)="15",LEFT(TH!O359,2)="15"),'152-CT'!$J$8=TH!F359),"x","")</f>
        <v/>
      </c>
      <c r="AF334" s="66" t="str">
        <f>IF(AND(OR(LEFT(TH!N359,2)="15",LEFT(TH!O359,2)="15"),'THE KHO'!$E$7=TH!F359),"x","")</f>
        <v/>
      </c>
      <c r="AG334" s="66" t="str">
        <f>IF(AND(N334="1521",MONTH(C334)='BK NL'!$M$11),"x","")</f>
        <v/>
      </c>
    </row>
    <row r="335" spans="1:34" ht="15.75" customHeight="1">
      <c r="A335" s="398" t="str">
        <f>IF(B335&lt;&gt;"",IF(AND(B335&gt;=_TM1,B335&lt;=_TM2,OR(TH!N335="1111",TH!O335="1111")),TH!D335,""),"")</f>
        <v/>
      </c>
      <c r="B335" s="63">
        <f>IF(C335&lt;&gt;"",MONTH(C335),"")</f>
        <v>5</v>
      </c>
      <c r="C335" s="64">
        <f>E335</f>
        <v>42515</v>
      </c>
      <c r="D335" s="64" t="s">
        <v>8</v>
      </c>
      <c r="E335" s="64">
        <v>42515</v>
      </c>
      <c r="F335" s="67" t="s">
        <v>414</v>
      </c>
      <c r="G335" s="361" t="s">
        <v>810</v>
      </c>
      <c r="H335" s="74" t="s">
        <v>172</v>
      </c>
      <c r="I335" s="518"/>
      <c r="J335" s="518"/>
      <c r="K335" s="510"/>
      <c r="L335" s="518"/>
      <c r="M335" s="65">
        <v>11903203</v>
      </c>
      <c r="N335" s="66" t="s">
        <v>134</v>
      </c>
      <c r="O335" s="66" t="s">
        <v>31</v>
      </c>
      <c r="P335" s="66" t="str">
        <f>IF(AND('331-CT'!$E$7=TH!H360,OR(N335="331",O335="331")),"x","")</f>
        <v/>
      </c>
      <c r="Q335" s="66" t="str">
        <f>IF(AND($B335&gt;='111'!$N$11,$B335&lt;='111'!$O$11,OR($N335=$Q$7,$O335=$Q$7)),"x","")</f>
        <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IF(AND('131-CT'!$H$9=TH!H360,OR(N335="131",O335="131")),"x","")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IF(OR(TH!N360=TH!$AB$7,O335=TH!$AB$7),"x","")</f>
        <v/>
      </c>
      <c r="AC335" s="66" t="str">
        <f>IF(AND(1&lt;=$B335,$B335&lt;=3),"1",IF(AND(4&lt;=$B335,$B335&lt;=6),"2",IF(AND(7&lt;=$B335,$B335&lt;=9),"3",IF(AND(10&lt;=$B335,$B335&lt;=12),"4",""))))</f>
        <v>2</v>
      </c>
      <c r="AD335" s="66" t="str">
        <f>IF(AND(MONTH(E335)&lt;='IN-NX'!$P$3,'IN-NX'!$D$7=D335,OR(LEFT(TH!N360,2)="15",LEFT(TH!O360,2)="15")),"x","")</f>
        <v/>
      </c>
      <c r="AE335" s="66" t="str">
        <f>IF(AND(OR(LEFT(TH!N360,2)="15",LEFT(TH!O360,2)="15"),'152-CT'!$J$8=TH!F360),"x","")</f>
        <v/>
      </c>
      <c r="AF335" s="66" t="str">
        <f>IF(AND(OR(LEFT(TH!N360,2)="15",LEFT(TH!O360,2)="15"),'THE KHO'!$E$7=TH!F360),"x","")</f>
        <v/>
      </c>
      <c r="AG335" s="66" t="str">
        <f>IF(AND(N335="1521",MONTH(C335)='BK NL'!$M$11),"x","")</f>
        <v/>
      </c>
    </row>
    <row r="336" spans="1:34" ht="15.75" customHeight="1">
      <c r="A336" s="398" t="str">
        <f>IF(B336&lt;&gt;"",IF(AND(B336&gt;=_TM1,B336&lt;=_TM2,OR(TH!N336="1111",TH!O336="1111")),TH!D336,""),"")</f>
        <v/>
      </c>
      <c r="B336" s="63">
        <f>IF(C336&lt;&gt;"",MONTH(C336),"")</f>
        <v>5</v>
      </c>
      <c r="C336" s="64">
        <f>E336</f>
        <v>42515</v>
      </c>
      <c r="D336" s="64" t="s">
        <v>8</v>
      </c>
      <c r="E336" s="64">
        <v>42515</v>
      </c>
      <c r="F336" s="67" t="s">
        <v>414</v>
      </c>
      <c r="G336" s="361" t="s">
        <v>810</v>
      </c>
      <c r="H336" s="74" t="s">
        <v>173</v>
      </c>
      <c r="I336" s="518"/>
      <c r="J336" s="518"/>
      <c r="K336" s="510"/>
      <c r="L336" s="518"/>
      <c r="M336" s="65">
        <v>15870937</v>
      </c>
      <c r="N336" s="66" t="s">
        <v>134</v>
      </c>
      <c r="O336" s="66" t="s">
        <v>31</v>
      </c>
      <c r="P336" s="66" t="str">
        <f>IF(AND('331-CT'!$E$7=TH!H361,OR(N336="331",O336="331")),"x","")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IF(AND('131-CT'!$H$9=TH!H361,OR(N336="131",O336="131")),"x","")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IF(OR(TH!N361=TH!$AB$7,O336=TH!$AB$7),"x","")</f>
        <v/>
      </c>
      <c r="AC336" s="66" t="str">
        <f>IF(AND(1&lt;=$B336,$B336&lt;=3),"1",IF(AND(4&lt;=$B336,$B336&lt;=6),"2",IF(AND(7&lt;=$B336,$B336&lt;=9),"3",IF(AND(10&lt;=$B336,$B336&lt;=12),"4",""))))</f>
        <v>2</v>
      </c>
      <c r="AD336" s="66" t="str">
        <f>IF(AND(MONTH(E336)&lt;='IN-NX'!$P$3,'IN-NX'!$D$7=D336,OR(LEFT(TH!N361,2)="15",LEFT(TH!O361,2)="15")),"x","")</f>
        <v/>
      </c>
      <c r="AE336" s="66" t="str">
        <f>IF(AND(OR(LEFT(TH!N361,2)="15",LEFT(TH!O361,2)="15"),'152-CT'!$J$8=TH!F361),"x","")</f>
        <v/>
      </c>
      <c r="AF336" s="66" t="str">
        <f>IF(AND(OR(LEFT(TH!N361,2)="15",LEFT(TH!O361,2)="15"),'THE KHO'!$E$7=TH!F361),"x","")</f>
        <v/>
      </c>
      <c r="AG336" s="66" t="str">
        <f>IF(AND(N336="1521",MONTH(C336)='BK NL'!$M$11),"x","")</f>
        <v/>
      </c>
    </row>
    <row r="337" spans="1:34" ht="15.75" customHeight="1">
      <c r="A337" s="398" t="str">
        <f>IF(B337&lt;&gt;"",IF(AND(B337&gt;=_TM1,B337&lt;=_TM2,OR(TH!N337="1111",TH!O337="1111")),TH!D337,""),"")</f>
        <v/>
      </c>
      <c r="B337" s="63">
        <f>IF(C337&lt;&gt;"",MONTH(C337),"")</f>
        <v>5</v>
      </c>
      <c r="C337" s="64">
        <f>E337</f>
        <v>42515</v>
      </c>
      <c r="D337" s="64" t="s">
        <v>8</v>
      </c>
      <c r="E337" s="64">
        <v>42515</v>
      </c>
      <c r="F337" s="67" t="s">
        <v>414</v>
      </c>
      <c r="G337" s="361" t="s">
        <v>810</v>
      </c>
      <c r="H337" s="74" t="s">
        <v>181</v>
      </c>
      <c r="I337" s="518"/>
      <c r="J337" s="518"/>
      <c r="K337" s="510"/>
      <c r="L337" s="518"/>
      <c r="M337" s="65">
        <v>7935469</v>
      </c>
      <c r="N337" s="66" t="s">
        <v>134</v>
      </c>
      <c r="O337" s="66" t="s">
        <v>31</v>
      </c>
      <c r="P337" s="66" t="str">
        <f>IF(AND('331-CT'!$E$7=TH!H362,OR(N337="331",O337="331")),"x","")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IF(AND('131-CT'!$H$9=TH!H362,OR(N337="131",O337="131")),"x","")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IF(OR(TH!N362=TH!$AB$7,O337=TH!$AB$7),"x","")</f>
        <v/>
      </c>
      <c r="AC337" s="66" t="str">
        <f>IF(AND(1&lt;=$B337,$B337&lt;=3),"1",IF(AND(4&lt;=$B337,$B337&lt;=6),"2",IF(AND(7&lt;=$B337,$B337&lt;=9),"3",IF(AND(10&lt;=$B337,$B337&lt;=12),"4",""))))</f>
        <v>2</v>
      </c>
      <c r="AD337" s="66" t="str">
        <f>IF(AND(MONTH(E337)&lt;='IN-NX'!$P$3,'IN-NX'!$D$7=D337,OR(LEFT(TH!N362,2)="15",LEFT(TH!O362,2)="15")),"x","")</f>
        <v/>
      </c>
      <c r="AE337" s="66" t="str">
        <f>IF(AND(OR(LEFT(TH!N362,2)="15",LEFT(TH!O362,2)="15"),'152-CT'!$J$8=TH!F362),"x","")</f>
        <v/>
      </c>
      <c r="AF337" s="66" t="str">
        <f>IF(AND(OR(LEFT(TH!N362,2)="15",LEFT(TH!O362,2)="15"),'THE KHO'!$E$7=TH!F362),"x","")</f>
        <v/>
      </c>
      <c r="AG337" s="66" t="str">
        <f>IF(AND(N337="1521",MONTH(C337)='BK NL'!$M$11),"x","")</f>
        <v/>
      </c>
    </row>
    <row r="338" spans="1:34" s="407" customFormat="1" ht="15.75" customHeight="1">
      <c r="A338" s="398" t="str">
        <f>IF(B338&lt;&gt;"",IF(AND(B338&gt;=_TM1,B338&lt;=_TM2,OR(TH!N338="1111",TH!O338="1111")),TH!D338,""),"")</f>
        <v/>
      </c>
      <c r="B338" s="63">
        <f>IF(C338&lt;&gt;"",MONTH(C338),"")</f>
        <v>5</v>
      </c>
      <c r="C338" s="64">
        <f>E338</f>
        <v>42515</v>
      </c>
      <c r="D338" s="64" t="s">
        <v>8</v>
      </c>
      <c r="E338" s="64">
        <v>42515</v>
      </c>
      <c r="F338" s="67" t="s">
        <v>414</v>
      </c>
      <c r="G338" s="361" t="s">
        <v>810</v>
      </c>
      <c r="H338" s="74" t="s">
        <v>185</v>
      </c>
      <c r="I338" s="518"/>
      <c r="J338" s="518"/>
      <c r="K338" s="510"/>
      <c r="L338" s="518"/>
      <c r="M338" s="65">
        <v>7935470</v>
      </c>
      <c r="N338" s="66" t="s">
        <v>134</v>
      </c>
      <c r="O338" s="66" t="s">
        <v>31</v>
      </c>
      <c r="P338" s="66" t="str">
        <f>IF(AND('331-CT'!$E$7=TH!H363,OR(N338="331",O338="331")),"x","")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IF(AND('131-CT'!$H$9=TH!H363,OR(N338="131",O338="131")),"x","")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IF(OR(TH!N363=TH!$AB$7,O338=TH!$AB$7),"x","")</f>
        <v/>
      </c>
      <c r="AC338" s="66" t="str">
        <f>IF(AND(1&lt;=$B338,$B338&lt;=3),"1",IF(AND(4&lt;=$B338,$B338&lt;=6),"2",IF(AND(7&lt;=$B338,$B338&lt;=9),"3",IF(AND(10&lt;=$B338,$B338&lt;=12),"4",""))))</f>
        <v>2</v>
      </c>
      <c r="AD338" s="66" t="str">
        <f>IF(AND(MONTH(E338)&lt;='IN-NX'!$P$3,'IN-NX'!$D$7=D338,OR(LEFT(TH!N363,2)="15",LEFT(TH!O363,2)="15")),"x","")</f>
        <v/>
      </c>
      <c r="AE338" s="66" t="str">
        <f>IF(AND(OR(LEFT(TH!N363,2)="15",LEFT(TH!O363,2)="15"),'152-CT'!$J$8=TH!F363),"x","")</f>
        <v/>
      </c>
      <c r="AF338" s="66" t="str">
        <f>IF(AND(OR(LEFT(TH!N363,2)="15",LEFT(TH!O363,2)="15"),'THE KHO'!$E$7=TH!F363),"x","")</f>
        <v/>
      </c>
      <c r="AG338" s="66" t="str">
        <f>IF(AND(N338="1521",MONTH(C338)='BK NL'!$M$11),"x","")</f>
        <v/>
      </c>
      <c r="AH338" s="387"/>
    </row>
    <row r="339" spans="1:34" ht="15.75" customHeight="1">
      <c r="A339" s="398" t="str">
        <f>IF(B339&lt;&gt;"",IF(AND(B339&gt;=_TM1,B339&lt;=_TM2,OR(TH!N339="1111",TH!O339="1111")),TH!D339,""),"")</f>
        <v/>
      </c>
      <c r="B339" s="63">
        <f>IF(C339&lt;&gt;"",MONTH(C339),"")</f>
        <v>5</v>
      </c>
      <c r="C339" s="64">
        <f>E339</f>
        <v>42515</v>
      </c>
      <c r="D339" s="64" t="s">
        <v>8</v>
      </c>
      <c r="E339" s="64">
        <v>42515</v>
      </c>
      <c r="F339" s="67" t="s">
        <v>414</v>
      </c>
      <c r="G339" s="361" t="s">
        <v>810</v>
      </c>
      <c r="H339" s="74" t="s">
        <v>174</v>
      </c>
      <c r="I339" s="518"/>
      <c r="J339" s="518"/>
      <c r="K339" s="510"/>
      <c r="L339" s="518"/>
      <c r="M339" s="65">
        <v>11109656</v>
      </c>
      <c r="N339" s="66" t="s">
        <v>134</v>
      </c>
      <c r="O339" s="66" t="s">
        <v>31</v>
      </c>
      <c r="P339" s="66" t="str">
        <f>IF(AND('331-CT'!$E$7=TH!H364,OR(N339="331",O339="331")),"x","")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IF(AND('131-CT'!$H$9=TH!H364,OR(N339="131",O339="131")),"x","")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IF(OR(TH!N364=TH!$AB$7,O339=TH!$AB$7),"x","")</f>
        <v/>
      </c>
      <c r="AC339" s="66" t="str">
        <f>IF(AND(1&lt;=$B339,$B339&lt;=3),"1",IF(AND(4&lt;=$B339,$B339&lt;=6),"2",IF(AND(7&lt;=$B339,$B339&lt;=9),"3",IF(AND(10&lt;=$B339,$B339&lt;=12),"4",""))))</f>
        <v>2</v>
      </c>
      <c r="AD339" s="66" t="str">
        <f>IF(AND(MONTH(E339)&lt;='IN-NX'!$P$3,'IN-NX'!$D$7=D339,OR(LEFT(TH!N364,2)="15",LEFT(TH!O364,2)="15")),"x","")</f>
        <v/>
      </c>
      <c r="AE339" s="66" t="str">
        <f>IF(AND(OR(LEFT(TH!N364,2)="15",LEFT(TH!O364,2)="15"),'152-CT'!$J$8=TH!F364),"x","")</f>
        <v/>
      </c>
      <c r="AF339" s="66" t="str">
        <f>IF(AND(OR(LEFT(TH!N364,2)="15",LEFT(TH!O364,2)="15"),'THE KHO'!$E$7=TH!F364),"x","")</f>
        <v/>
      </c>
      <c r="AG339" s="66" t="str">
        <f>IF(AND(N339="1521",MONTH(C339)='BK NL'!$M$11),"x","")</f>
        <v/>
      </c>
    </row>
    <row r="340" spans="1:34" ht="15.75" customHeight="1">
      <c r="A340" s="398" t="str">
        <f>IF(B340&lt;&gt;"",IF(AND(B340&gt;=_TM1,B340&lt;=_TM2,OR(TH!N340="1111",TH!O340="1111")),TH!D340,""),"")</f>
        <v/>
      </c>
      <c r="B340" s="63">
        <f>IF(C340&lt;&gt;"",MONTH(C340),"")</f>
        <v>5</v>
      </c>
      <c r="C340" s="64">
        <f>E340</f>
        <v>42515</v>
      </c>
      <c r="D340" s="64" t="s">
        <v>8</v>
      </c>
      <c r="E340" s="64">
        <v>42515</v>
      </c>
      <c r="F340" s="67" t="s">
        <v>414</v>
      </c>
      <c r="G340" s="361" t="s">
        <v>810</v>
      </c>
      <c r="H340" s="405" t="s">
        <v>175</v>
      </c>
      <c r="I340" s="518"/>
      <c r="J340" s="518"/>
      <c r="K340" s="510"/>
      <c r="L340" s="518"/>
      <c r="M340" s="65">
        <v>11903203</v>
      </c>
      <c r="N340" s="66" t="s">
        <v>134</v>
      </c>
      <c r="O340" s="66" t="s">
        <v>31</v>
      </c>
      <c r="P340" s="66" t="str">
        <f>IF(AND('331-CT'!$E$7=TH!H365,OR(N340="331",O340="331")),"x","")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IF(AND('131-CT'!$H$9=TH!H365,OR(N340="131",O340="131")),"x","")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IF(OR(TH!N365=TH!$AB$7,O340=TH!$AB$7),"x","")</f>
        <v/>
      </c>
      <c r="AC340" s="66" t="str">
        <f>IF(AND(1&lt;=$B340,$B340&lt;=3),"1",IF(AND(4&lt;=$B340,$B340&lt;=6),"2",IF(AND(7&lt;=$B340,$B340&lt;=9),"3",IF(AND(10&lt;=$B340,$B340&lt;=12),"4",""))))</f>
        <v>2</v>
      </c>
      <c r="AD340" s="66" t="str">
        <f>IF(AND(MONTH(E340)&lt;='IN-NX'!$P$3,'IN-NX'!$D$7=D340,OR(LEFT(TH!N365,2)="15",LEFT(TH!O365,2)="15")),"x","")</f>
        <v/>
      </c>
      <c r="AE340" s="66" t="str">
        <f>IF(AND(OR(LEFT(TH!N365,2)="15",LEFT(TH!O365,2)="15"),'152-CT'!$J$8=TH!F365),"x","")</f>
        <v/>
      </c>
      <c r="AF340" s="66" t="str">
        <f>IF(AND(OR(LEFT(TH!N365,2)="15",LEFT(TH!O365,2)="15"),'THE KHO'!$E$7=TH!F365),"x","")</f>
        <v/>
      </c>
      <c r="AG340" s="66" t="str">
        <f>IF(AND(N340="1521",MONTH(C340)='BK NL'!$M$11),"x","")</f>
        <v/>
      </c>
    </row>
    <row r="341" spans="1:34" ht="15.75" customHeight="1">
      <c r="A341" s="398" t="str">
        <f>IF(B341&lt;&gt;"",IF(AND(B341&gt;=_TM1,B341&lt;=_TM2,OR(TH!N341="1111",TH!O341="1111")),TH!D341,""),"")</f>
        <v/>
      </c>
      <c r="B341" s="63">
        <f>IF(C341&lt;&gt;"",MONTH(C341),"")</f>
        <v>5</v>
      </c>
      <c r="C341" s="64">
        <f>E341</f>
        <v>42515</v>
      </c>
      <c r="D341" s="64" t="s">
        <v>8</v>
      </c>
      <c r="E341" s="64">
        <v>42515</v>
      </c>
      <c r="F341" s="67" t="s">
        <v>414</v>
      </c>
      <c r="G341" s="361" t="s">
        <v>810</v>
      </c>
      <c r="H341" s="405" t="s">
        <v>180</v>
      </c>
      <c r="I341" s="518"/>
      <c r="J341" s="518"/>
      <c r="K341" s="510"/>
      <c r="L341" s="518"/>
      <c r="M341" s="65">
        <v>11903203</v>
      </c>
      <c r="N341" s="66" t="s">
        <v>134</v>
      </c>
      <c r="O341" s="66" t="s">
        <v>31</v>
      </c>
      <c r="P341" s="66" t="str">
        <f>IF(AND('331-CT'!$E$7=TH!H366,OR(N341="331",O341="331")),"x","")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IF(AND('131-CT'!$H$9=TH!H366,OR(N341="131",O341="131")),"x","")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IF(OR(TH!N366=TH!$AB$7,O341=TH!$AB$7),"x","")</f>
        <v/>
      </c>
      <c r="AC341" s="66" t="str">
        <f>IF(AND(1&lt;=$B341,$B341&lt;=3),"1",IF(AND(4&lt;=$B341,$B341&lt;=6),"2",IF(AND(7&lt;=$B341,$B341&lt;=9),"3",IF(AND(10&lt;=$B341,$B341&lt;=12),"4",""))))</f>
        <v>2</v>
      </c>
      <c r="AD341" s="66" t="str">
        <f>IF(AND(MONTH(E341)&lt;='IN-NX'!$P$3,'IN-NX'!$D$7=D341,OR(LEFT(TH!N366,2)="15",LEFT(TH!O366,2)="15")),"x","")</f>
        <v/>
      </c>
      <c r="AE341" s="66" t="str">
        <f>IF(AND(OR(LEFT(TH!N366,2)="15",LEFT(TH!O366,2)="15"),'152-CT'!$J$8=TH!F366),"x","")</f>
        <v/>
      </c>
      <c r="AF341" s="66" t="str">
        <f>IF(AND(OR(LEFT(TH!N366,2)="15",LEFT(TH!O366,2)="15"),'THE KHO'!$E$7=TH!F366),"x","")</f>
        <v/>
      </c>
      <c r="AG341" s="66" t="str">
        <f>IF(AND(N341="1521",MONTH(C341)='BK NL'!$M$11),"x","")</f>
        <v/>
      </c>
    </row>
    <row r="342" spans="1:34" ht="15.75" customHeight="1">
      <c r="A342" s="398" t="str">
        <f>IF(B342&lt;&gt;"",IF(AND(B342&gt;=_TM1,B342&lt;=_TM2,OR(TH!N342="1111",TH!O342="1111")),TH!D342,""),"")</f>
        <v>C36</v>
      </c>
      <c r="B342" s="63">
        <f>IF(C342&lt;&gt;"",MONTH(C342),"")</f>
        <v>5</v>
      </c>
      <c r="C342" s="64">
        <f>E342</f>
        <v>42515</v>
      </c>
      <c r="D342" s="64" t="s">
        <v>764</v>
      </c>
      <c r="E342" s="64">
        <v>42515</v>
      </c>
      <c r="F342" s="67" t="s">
        <v>983</v>
      </c>
      <c r="G342" s="375" t="s">
        <v>985</v>
      </c>
      <c r="H342" s="74" t="s">
        <v>88</v>
      </c>
      <c r="I342" s="515"/>
      <c r="J342" s="515"/>
      <c r="K342" s="507"/>
      <c r="L342" s="515"/>
      <c r="M342" s="65">
        <v>10648600</v>
      </c>
      <c r="N342" s="66" t="s">
        <v>136</v>
      </c>
      <c r="O342" s="66" t="s">
        <v>98</v>
      </c>
      <c r="P342" s="66" t="str">
        <f>IF(AND('331-CT'!$E$7=TH!H401,OR(N342="331",O342="331")),"x","")</f>
        <v/>
      </c>
      <c r="Q342" s="66" t="str">
        <f>IF(AND($B342&gt;='111'!$N$11,$B342&lt;='111'!$O$11,OR($N342=$Q$7,$O342=$Q$7)),"x","")</f>
        <v>x</v>
      </c>
      <c r="R342" s="66" t="str">
        <f>IF(AND($N342=$Q$7,$B342&lt;'111'!$N$11),"x","")</f>
        <v/>
      </c>
      <c r="S342" s="66" t="str">
        <f>IF(AND($O342=$Q$7,$B342&lt;'111'!$N$11),"x","")</f>
        <v/>
      </c>
      <c r="T342" s="66" t="str">
        <f>IF(AND($B342&gt;='112'!$M$9,$B342&lt;='112'!$N$9,OR($N342='112'!$I$6,$O342='112'!$I$6)),"x","")</f>
        <v/>
      </c>
      <c r="U342" s="66" t="str">
        <f>IF(AND($N342='112'!$I$6,$B342&lt;'112'!$M$9),"x","")</f>
        <v/>
      </c>
      <c r="V342" s="66" t="str">
        <f>IF(AND($O342='112'!$I$6,$B342&lt;'112'!$M$9),"x","")</f>
        <v/>
      </c>
      <c r="W342" s="66" t="str">
        <f>IF(AND('131-CT'!$H$9=TH!H401,OR(N342="131",O342="131")),"x","")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IF(OR(TH!N401=TH!$AB$7,O342=TH!$AB$7),"x","")</f>
        <v/>
      </c>
      <c r="AC342" s="66" t="str">
        <f>IF(AND(1&lt;=$B342,$B342&lt;=3),"1",IF(AND(4&lt;=$B342,$B342&lt;=6),"2",IF(AND(7&lt;=$B342,$B342&lt;=9),"3",IF(AND(10&lt;=$B342,$B342&lt;=12),"4",""))))</f>
        <v>2</v>
      </c>
      <c r="AD342" s="66" t="str">
        <f>IF(AND(MONTH(E342)&lt;='IN-NX'!$P$3,'IN-NX'!$D$7=D342,OR(LEFT(TH!N401,2)="15",LEFT(TH!O401,2)="15")),"x","")</f>
        <v/>
      </c>
      <c r="AE342" s="66" t="str">
        <f>IF(AND(OR(LEFT(TH!N401,2)="15",LEFT(TH!O401,2)="15"),'152-CT'!$J$8=TH!F401),"x","")</f>
        <v/>
      </c>
      <c r="AF342" s="66" t="str">
        <f>IF(AND(OR(LEFT(TH!N401,2)="15",LEFT(TH!O401,2)="15"),'THE KHO'!$E$7=TH!F401),"x","")</f>
        <v/>
      </c>
      <c r="AG342" s="66" t="str">
        <f>IF(AND(N342="1521",MONTH(C342)='BK NL'!$M$11),"x","")</f>
        <v/>
      </c>
    </row>
    <row r="343" spans="1:34" ht="15.75" customHeight="1">
      <c r="A343" s="398" t="str">
        <f>IF(B343&lt;&gt;"",IF(AND(B343&gt;=_TM1,B343&lt;=_TM2,OR(TH!N343="1111",TH!O343="1111")),TH!D343,""),"")</f>
        <v>C36</v>
      </c>
      <c r="B343" s="63">
        <f>IF(C343&lt;&gt;"",MONTH(C343),"")</f>
        <v>5</v>
      </c>
      <c r="C343" s="64">
        <f>E343</f>
        <v>42515</v>
      </c>
      <c r="D343" s="64" t="s">
        <v>764</v>
      </c>
      <c r="E343" s="64">
        <v>42515</v>
      </c>
      <c r="F343" s="67" t="s">
        <v>984</v>
      </c>
      <c r="G343" s="375" t="s">
        <v>985</v>
      </c>
      <c r="H343" s="74" t="s">
        <v>88</v>
      </c>
      <c r="I343" s="515"/>
      <c r="J343" s="515"/>
      <c r="K343" s="507"/>
      <c r="L343" s="515"/>
      <c r="M343" s="65">
        <v>532430</v>
      </c>
      <c r="N343" s="68" t="s">
        <v>10</v>
      </c>
      <c r="O343" s="66" t="s">
        <v>98</v>
      </c>
      <c r="P343" s="66" t="str">
        <f>IF(AND('331-CT'!$E$7=TH!H402,OR(N343="331",O343="331")),"x","")</f>
        <v/>
      </c>
      <c r="Q343" s="66" t="str">
        <f>IF(AND($B343&gt;='111'!$N$11,$B343&lt;='111'!$O$11,OR($N343=$Q$7,$O343=$Q$7)),"x","")</f>
        <v>x</v>
      </c>
      <c r="R343" s="66" t="str">
        <f>IF(AND($N343=$Q$7,$B343&lt;'111'!$N$11),"x","")</f>
        <v/>
      </c>
      <c r="S343" s="66" t="str">
        <f>IF(AND($O343=$Q$7,$B343&lt;'111'!$N$11),"x","")</f>
        <v/>
      </c>
      <c r="T343" s="66" t="str">
        <f>IF(AND($B343&gt;='112'!$M$9,$B343&lt;='112'!$N$9,OR($N343='112'!$I$6,$O343='112'!$I$6)),"x","")</f>
        <v/>
      </c>
      <c r="U343" s="66" t="str">
        <f>IF(AND($N343='112'!$I$6,$B343&lt;'112'!$M$9),"x","")</f>
        <v/>
      </c>
      <c r="V343" s="66" t="str">
        <f>IF(AND($O343='112'!$I$6,$B343&lt;'112'!$M$9),"x","")</f>
        <v/>
      </c>
      <c r="W343" s="66" t="str">
        <f>IF(AND('131-CT'!$H$9=TH!H402,OR(N343="131",O343="131")),"x","")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IF(OR(TH!N402=TH!$AB$7,O343=TH!$AB$7),"x","")</f>
        <v/>
      </c>
      <c r="AC343" s="66" t="str">
        <f>IF(AND(1&lt;=$B343,$B343&lt;=3),"1",IF(AND(4&lt;=$B343,$B343&lt;=6),"2",IF(AND(7&lt;=$B343,$B343&lt;=9),"3",IF(AND(10&lt;=$B343,$B343&lt;=12),"4",""))))</f>
        <v>2</v>
      </c>
      <c r="AD343" s="66" t="str">
        <f>IF(AND(MONTH(E343)&lt;='IN-NX'!$P$3,'IN-NX'!$D$7=D343,OR(LEFT(TH!N402,2)="15",LEFT(TH!O402,2)="15")),"x","")</f>
        <v/>
      </c>
      <c r="AE343" s="66" t="str">
        <f>IF(AND(OR(LEFT(TH!N402,2)="15",LEFT(TH!O402,2)="15"),'152-CT'!$J$8=TH!F402),"x","")</f>
        <v/>
      </c>
      <c r="AF343" s="66" t="str">
        <f>IF(AND(OR(LEFT(TH!N402,2)="15",LEFT(TH!O402,2)="15"),'THE KHO'!$E$7=TH!F402),"x","")</f>
        <v/>
      </c>
      <c r="AG343" s="66" t="str">
        <f>IF(AND(N343="1521",MONTH(C343)='BK NL'!$M$11),"x","")</f>
        <v/>
      </c>
    </row>
    <row r="344" spans="1:34" ht="15.75" customHeight="1">
      <c r="A344" s="398" t="str">
        <f>IF(B344&lt;&gt;"",IF(AND(B344&gt;=_TM1,B344&lt;=_TM2,OR(TH!N344="1111",TH!O344="1111")),TH!D344,""),"")</f>
        <v>C37</v>
      </c>
      <c r="B344" s="63">
        <f>IF(C344&lt;&gt;"",MONTH(C344),"")</f>
        <v>5</v>
      </c>
      <c r="C344" s="64">
        <f>E344</f>
        <v>42516</v>
      </c>
      <c r="D344" s="64" t="s">
        <v>767</v>
      </c>
      <c r="E344" s="64">
        <v>42516</v>
      </c>
      <c r="F344" s="67" t="s">
        <v>934</v>
      </c>
      <c r="G344" s="375" t="s">
        <v>936</v>
      </c>
      <c r="H344" s="74" t="s">
        <v>937</v>
      </c>
      <c r="I344" s="515"/>
      <c r="J344" s="515"/>
      <c r="K344" s="507"/>
      <c r="L344" s="515"/>
      <c r="M344" s="65">
        <v>9090909</v>
      </c>
      <c r="N344" s="66" t="s">
        <v>243</v>
      </c>
      <c r="O344" s="66" t="s">
        <v>98</v>
      </c>
      <c r="P344" s="66" t="str">
        <f>IF(AND('331-CT'!$E$7=TH!H292,OR(N344="331",O344="331")),"x","")</f>
        <v/>
      </c>
      <c r="Q344" s="66" t="str">
        <f>IF(AND($B344&gt;='111'!$N$11,$B344&lt;='111'!$O$11,OR($N344=$Q$7,$O344=$Q$7)),"x","")</f>
        <v>x</v>
      </c>
      <c r="R344" s="66" t="str">
        <f>IF(AND($N344=$Q$7,$B344&lt;'111'!$N$11),"x","")</f>
        <v/>
      </c>
      <c r="S344" s="66" t="str">
        <f>IF(AND($O344=$Q$7,$B344&lt;'111'!$N$11),"x","")</f>
        <v/>
      </c>
      <c r="T344" s="66" t="str">
        <f>IF(AND($B344&gt;='112'!$M$9,$B344&lt;='112'!$N$9,OR($N344='112'!$I$6,$O344='112'!$I$6)),"x","")</f>
        <v/>
      </c>
      <c r="U344" s="66" t="str">
        <f>IF(AND($N344='112'!$I$6,$B344&lt;'112'!$M$9),"x","")</f>
        <v/>
      </c>
      <c r="V344" s="66" t="str">
        <f>IF(AND($O344='112'!$I$6,$B344&lt;'112'!$M$9),"x","")</f>
        <v/>
      </c>
      <c r="W344" s="66" t="str">
        <f>IF(AND('131-CT'!$H$9=TH!H292,OR(N344="131",O344="131")),"x","")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IF(OR(TH!N292=TH!$AB$7,O344=TH!$AB$7),"x","")</f>
        <v/>
      </c>
      <c r="AC344" s="66" t="str">
        <f>IF(AND(1&lt;=$B344,$B344&lt;=3),"1",IF(AND(4&lt;=$B344,$B344&lt;=6),"2",IF(AND(7&lt;=$B344,$B344&lt;=9),"3",IF(AND(10&lt;=$B344,$B344&lt;=12),"4",""))))</f>
        <v>2</v>
      </c>
      <c r="AD344" s="66" t="str">
        <f>IF(AND(MONTH(E344)&lt;='IN-NX'!$P$3,'IN-NX'!$D$7=D344,OR(LEFT(TH!N292,2)="15",LEFT(TH!O292,2)="15")),"x","")</f>
        <v/>
      </c>
      <c r="AE344" s="66" t="str">
        <f>IF(AND(OR(LEFT(TH!N292,2)="15",LEFT(TH!O292,2)="15"),'152-CT'!$J$8=TH!F292),"x","")</f>
        <v/>
      </c>
      <c r="AF344" s="66" t="str">
        <f>IF(AND(OR(LEFT(TH!N292,2)="15",LEFT(TH!O292,2)="15"),'THE KHO'!$E$7=TH!F292),"x","")</f>
        <v/>
      </c>
      <c r="AG344" s="66" t="str">
        <f>IF(AND(N344="1521",MONTH(C344)='BK NL'!$M$11),"x","")</f>
        <v/>
      </c>
    </row>
    <row r="345" spans="1:34" ht="15.75" customHeight="1">
      <c r="A345" s="398" t="str">
        <f>IF(B345&lt;&gt;"",IF(AND(B345&gt;=_TM1,B345&lt;=_TM2,OR(TH!N345="1111",TH!O345="1111")),TH!D345,""),"")</f>
        <v>C37</v>
      </c>
      <c r="B345" s="63">
        <f>IF(C345&lt;&gt;"",MONTH(C345),"")</f>
        <v>5</v>
      </c>
      <c r="C345" s="64">
        <f>E345</f>
        <v>42516</v>
      </c>
      <c r="D345" s="64" t="s">
        <v>767</v>
      </c>
      <c r="E345" s="64">
        <v>42516</v>
      </c>
      <c r="F345" s="1268" t="s">
        <v>935</v>
      </c>
      <c r="G345" s="375" t="s">
        <v>936</v>
      </c>
      <c r="H345" s="74" t="s">
        <v>937</v>
      </c>
      <c r="I345" s="515"/>
      <c r="J345" s="515"/>
      <c r="K345" s="507"/>
      <c r="L345" s="515"/>
      <c r="M345" s="65">
        <v>909091</v>
      </c>
      <c r="N345" s="66" t="s">
        <v>10</v>
      </c>
      <c r="O345" s="66" t="s">
        <v>98</v>
      </c>
      <c r="P345" s="66" t="str">
        <f>IF(AND('331-CT'!$E$7=TH!H293,OR(N345="331",O345="331")),"x","")</f>
        <v/>
      </c>
      <c r="Q345" s="66" t="str">
        <f>IF(AND($B345&gt;='111'!$N$11,$B345&lt;='111'!$O$11,OR($N345=$Q$7,$O345=$Q$7)),"x","")</f>
        <v>x</v>
      </c>
      <c r="R345" s="66" t="str">
        <f>IF(AND($N345=$Q$7,$B345&lt;'111'!$N$11),"x","")</f>
        <v/>
      </c>
      <c r="S345" s="66" t="str">
        <f>IF(AND($O345=$Q$7,$B345&lt;'111'!$N$11),"x","")</f>
        <v/>
      </c>
      <c r="T345" s="66" t="str">
        <f>IF(AND($B345&gt;='112'!$M$9,$B345&lt;='112'!$N$9,OR($N345='112'!$I$6,$O345='112'!$I$6)),"x","")</f>
        <v/>
      </c>
      <c r="U345" s="66" t="str">
        <f>IF(AND($N345='112'!$I$6,$B345&lt;'112'!$M$9),"x","")</f>
        <v/>
      </c>
      <c r="V345" s="66" t="str">
        <f>IF(AND($O345='112'!$I$6,$B345&lt;'112'!$M$9),"x","")</f>
        <v/>
      </c>
      <c r="W345" s="66" t="str">
        <f>IF(AND('131-CT'!$H$9=TH!H293,OR(N345="131",O345="131")),"x","")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IF(OR(TH!N293=TH!$AB$7,O345=TH!$AB$7),"x","")</f>
        <v/>
      </c>
      <c r="AC345" s="66" t="str">
        <f>IF(AND(1&lt;=$B345,$B345&lt;=3),"1",IF(AND(4&lt;=$B345,$B345&lt;=6),"2",IF(AND(7&lt;=$B345,$B345&lt;=9),"3",IF(AND(10&lt;=$B345,$B345&lt;=12),"4",""))))</f>
        <v>2</v>
      </c>
      <c r="AD345" s="66" t="str">
        <f>IF(AND(MONTH(E345)&lt;='IN-NX'!$P$3,'IN-NX'!$D$7=D345,OR(LEFT(TH!N293,2)="15",LEFT(TH!O293,2)="15")),"x","")</f>
        <v/>
      </c>
      <c r="AE345" s="66" t="str">
        <f>IF(AND(OR(LEFT(TH!N293,2)="15",LEFT(TH!O293,2)="15"),'152-CT'!$J$8=TH!F293),"x","")</f>
        <v/>
      </c>
      <c r="AF345" s="66" t="str">
        <f>IF(AND(OR(LEFT(TH!N293,2)="15",LEFT(TH!O293,2)="15"),'THE KHO'!$E$7=TH!F293),"x","")</f>
        <v/>
      </c>
      <c r="AG345" s="66" t="str">
        <f>IF(AND(N345="1521",MONTH(C345)='BK NL'!$M$11),"x","")</f>
        <v/>
      </c>
    </row>
    <row r="346" spans="1:34" ht="15.75" customHeight="1">
      <c r="A346" s="398" t="str">
        <f>IF(B346&lt;&gt;"",IF(AND(B346&gt;=_TM1,B346&lt;=_TM2,OR(TH!N346="1111",TH!O346="1111")),TH!D346,""),"")</f>
        <v>C38</v>
      </c>
      <c r="B346" s="63">
        <f>IF(C346&lt;&gt;"",MONTH(C346),"")</f>
        <v>5</v>
      </c>
      <c r="C346" s="64">
        <f>E346</f>
        <v>42517</v>
      </c>
      <c r="D346" s="64" t="s">
        <v>774</v>
      </c>
      <c r="E346" s="64">
        <v>42517</v>
      </c>
      <c r="F346" s="67" t="s">
        <v>186</v>
      </c>
      <c r="G346" s="375" t="s">
        <v>929</v>
      </c>
      <c r="H346" s="74" t="s">
        <v>327</v>
      </c>
      <c r="I346" s="515"/>
      <c r="J346" s="515"/>
      <c r="K346" s="507"/>
      <c r="L346" s="515"/>
      <c r="M346" s="65">
        <v>1186000</v>
      </c>
      <c r="N346" s="66" t="s">
        <v>243</v>
      </c>
      <c r="O346" s="66" t="s">
        <v>98</v>
      </c>
      <c r="P346" s="66" t="str">
        <f>IF(AND('331-CT'!$E$7=TH!H294,OR(N346="331",O346="331")),"x","")</f>
        <v/>
      </c>
      <c r="Q346" s="66" t="str">
        <f>IF(AND($B346&gt;='111'!$N$11,$B346&lt;='111'!$O$11,OR($N346=$Q$7,$O346=$Q$7)),"x","")</f>
        <v>x</v>
      </c>
      <c r="R346" s="66" t="str">
        <f>IF(AND($N346=$Q$7,$B346&lt;'111'!$N$11),"x","")</f>
        <v/>
      </c>
      <c r="S346" s="66" t="str">
        <f>IF(AND($O346=$Q$7,$B346&lt;'111'!$N$11),"x","")</f>
        <v/>
      </c>
      <c r="T346" s="66" t="str">
        <f>IF(AND($B346&gt;='112'!$M$9,$B346&lt;='112'!$N$9,OR($N346='112'!$I$6,$O346='112'!$I$6)),"x","")</f>
        <v/>
      </c>
      <c r="U346" s="66" t="str">
        <f>IF(AND($N346='112'!$I$6,$B346&lt;'112'!$M$9),"x","")</f>
        <v/>
      </c>
      <c r="V346" s="66" t="str">
        <f>IF(AND($O346='112'!$I$6,$B346&lt;'112'!$M$9),"x","")</f>
        <v/>
      </c>
      <c r="W346" s="66" t="str">
        <f>IF(AND('131-CT'!$H$9=TH!H294,OR(N346="131",O346="131")),"x","")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IF(OR(TH!N294=TH!$AB$7,O346=TH!$AB$7),"x","")</f>
        <v/>
      </c>
      <c r="AC346" s="66" t="str">
        <f>IF(AND(1&lt;=$B346,$B346&lt;=3),"1",IF(AND(4&lt;=$B346,$B346&lt;=6),"2",IF(AND(7&lt;=$B346,$B346&lt;=9),"3",IF(AND(10&lt;=$B346,$B346&lt;=12),"4",""))))</f>
        <v>2</v>
      </c>
      <c r="AD346" s="66" t="str">
        <f>IF(AND(MONTH(E346)&lt;='IN-NX'!$P$3,'IN-NX'!$D$7=D346,OR(LEFT(TH!N294,2)="15",LEFT(TH!O294,2)="15")),"x","")</f>
        <v/>
      </c>
      <c r="AE346" s="66" t="str">
        <f>IF(AND(OR(LEFT(TH!N294,2)="15",LEFT(TH!O294,2)="15"),'152-CT'!$J$8=TH!F294),"x","")</f>
        <v/>
      </c>
      <c r="AF346" s="66" t="str">
        <f>IF(AND(OR(LEFT(TH!N294,2)="15",LEFT(TH!O294,2)="15"),'THE KHO'!$E$7=TH!F294),"x","")</f>
        <v/>
      </c>
      <c r="AG346" s="66" t="str">
        <f>IF(AND(N346="1521",MONTH(C346)='BK NL'!$M$11),"x","")</f>
        <v/>
      </c>
    </row>
    <row r="347" spans="1:34" ht="15.75" customHeight="1">
      <c r="A347" s="398" t="str">
        <f>IF(B347&lt;&gt;"",IF(AND(B347&gt;=_TM1,B347&lt;=_TM2,OR(TH!N347="1111",TH!O347="1111")),TH!D347,""),"")</f>
        <v>C39</v>
      </c>
      <c r="B347" s="63">
        <f>IF(C347&lt;&gt;"",MONTH(C347),"")</f>
        <v>5</v>
      </c>
      <c r="C347" s="64">
        <f>E347</f>
        <v>42517</v>
      </c>
      <c r="D347" s="64" t="s">
        <v>776</v>
      </c>
      <c r="E347" s="64">
        <v>42517</v>
      </c>
      <c r="F347" s="67" t="s">
        <v>419</v>
      </c>
      <c r="G347" s="361" t="s">
        <v>810</v>
      </c>
      <c r="H347" s="74" t="s">
        <v>969</v>
      </c>
      <c r="I347" s="515"/>
      <c r="J347" s="515"/>
      <c r="K347" s="507"/>
      <c r="L347" s="515"/>
      <c r="M347" s="65">
        <v>24000000</v>
      </c>
      <c r="N347" s="66" t="s">
        <v>31</v>
      </c>
      <c r="O347" s="66" t="s">
        <v>98</v>
      </c>
      <c r="P347" s="66" t="str">
        <f>IF(AND('331-CT'!$E$7=TH!H328,OR(N347="331",O347="331")),"x","")</f>
        <v/>
      </c>
      <c r="Q347" s="66" t="str">
        <f>IF(AND($B347&gt;='111'!$N$11,$B347&lt;='111'!$O$11,OR($N347=$Q$7,$O347=$Q$7)),"x","")</f>
        <v>x</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IF(AND('131-CT'!$H$9=TH!H328,OR(N347="131",O347="131")),"x","")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IF(OR(TH!N328=TH!$AB$7,O347=TH!$AB$7),"x","")</f>
        <v>x</v>
      </c>
      <c r="AC347" s="66" t="str">
        <f>IF(AND(1&lt;=$B347,$B347&lt;=3),"1",IF(AND(4&lt;=$B347,$B347&lt;=6),"2",IF(AND(7&lt;=$B347,$B347&lt;=9),"3",IF(AND(10&lt;=$B347,$B347&lt;=12),"4",""))))</f>
        <v>2</v>
      </c>
      <c r="AD347" s="66" t="str">
        <f>IF(AND(MONTH(E347)&lt;='IN-NX'!$P$3,'IN-NX'!$D$7=D347,OR(LEFT(TH!N328,2)="15",LEFT(TH!O328,2)="15")),"x","")</f>
        <v/>
      </c>
      <c r="AE347" s="66" t="str">
        <f>IF(AND(OR(LEFT(TH!N328,2)="15",LEFT(TH!O328,2)="15"),'152-CT'!$J$8=TH!F328),"x","")</f>
        <v/>
      </c>
      <c r="AF347" s="66" t="str">
        <f>IF(AND(OR(LEFT(TH!N328,2)="15",LEFT(TH!O328,2)="15"),'THE KHO'!$E$7=TH!F328),"x","")</f>
        <v/>
      </c>
      <c r="AG347" s="66" t="str">
        <f>IF(AND(N347="1521",MONTH(C347)='BK NL'!$M$11),"x","")</f>
        <v/>
      </c>
    </row>
    <row r="348" spans="1:34" ht="15.75" customHeight="1">
      <c r="A348" s="398" t="str">
        <f>IF(B348&lt;&gt;"",IF(AND(B348&gt;=_TM1,B348&lt;=_TM2,OR(TH!N348="1111",TH!O348="1111")),TH!D348,""),"")</f>
        <v/>
      </c>
      <c r="B348" s="63">
        <f>IF(C348&lt;&gt;"",MONTH(C348),"")</f>
        <v>5</v>
      </c>
      <c r="C348" s="64">
        <f>E348</f>
        <v>42517</v>
      </c>
      <c r="D348" s="64" t="s">
        <v>8</v>
      </c>
      <c r="E348" s="64">
        <v>42517</v>
      </c>
      <c r="F348" s="67" t="s">
        <v>414</v>
      </c>
      <c r="G348" s="361" t="s">
        <v>810</v>
      </c>
      <c r="H348" s="74" t="s">
        <v>177</v>
      </c>
      <c r="I348" s="518"/>
      <c r="J348" s="518"/>
      <c r="K348" s="510"/>
      <c r="L348" s="518"/>
      <c r="M348" s="65">
        <v>11912604</v>
      </c>
      <c r="N348" s="66" t="s">
        <v>134</v>
      </c>
      <c r="O348" s="66" t="s">
        <v>31</v>
      </c>
      <c r="P348" s="66" t="str">
        <f>IF(AND('331-CT'!$E$7=TH!H367,OR(N348="331",O348="331")),"x","")</f>
        <v/>
      </c>
      <c r="Q348" s="66" t="str">
        <f>IF(AND($B348&gt;='111'!$N$11,$B348&lt;='111'!$O$11,OR($N348=$Q$7,$O348=$Q$7)),"x","")</f>
        <v/>
      </c>
      <c r="R348" s="66" t="str">
        <f>IF(AND($N348=$Q$7,$B348&lt;'111'!$N$11),"x","")</f>
        <v/>
      </c>
      <c r="S348" s="66" t="str">
        <f>IF(AND($O348=$Q$7,$B348&lt;'111'!$N$11),"x","")</f>
        <v/>
      </c>
      <c r="T348" s="66" t="str">
        <f>IF(AND($B348&gt;='112'!$M$9,$B348&lt;='112'!$N$9,OR($N348='112'!$I$6,$O348='112'!$I$6)),"x","")</f>
        <v>x</v>
      </c>
      <c r="U348" s="66" t="str">
        <f>IF(AND($N348='112'!$I$6,$B348&lt;'112'!$M$9),"x","")</f>
        <v/>
      </c>
      <c r="V348" s="66" t="str">
        <f>IF(AND($O348='112'!$I$6,$B348&lt;'112'!$M$9),"x","")</f>
        <v/>
      </c>
      <c r="W348" s="66" t="str">
        <f>IF(AND('131-CT'!$H$9=TH!H367,OR(N348="131",O348="131")),"x","")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IF(OR(TH!N367=TH!$AB$7,O348=TH!$AB$7),"x","")</f>
        <v/>
      </c>
      <c r="AC348" s="66" t="str">
        <f>IF(AND(1&lt;=$B348,$B348&lt;=3),"1",IF(AND(4&lt;=$B348,$B348&lt;=6),"2",IF(AND(7&lt;=$B348,$B348&lt;=9),"3",IF(AND(10&lt;=$B348,$B348&lt;=12),"4",""))))</f>
        <v>2</v>
      </c>
      <c r="AD348" s="66" t="str">
        <f>IF(AND(MONTH(E348)&lt;='IN-NX'!$P$3,'IN-NX'!$D$7=D348,OR(LEFT(TH!N367,2)="15",LEFT(TH!O367,2)="15")),"x","")</f>
        <v/>
      </c>
      <c r="AE348" s="66" t="str">
        <f>IF(AND(OR(LEFT(TH!N367,2)="15",LEFT(TH!O367,2)="15"),'152-CT'!$J$8=TH!F367),"x","")</f>
        <v/>
      </c>
      <c r="AF348" s="66" t="str">
        <f>IF(AND(OR(LEFT(TH!N367,2)="15",LEFT(TH!O367,2)="15"),'THE KHO'!$E$7=TH!F367),"x","")</f>
        <v/>
      </c>
      <c r="AG348" s="66" t="str">
        <f>IF(AND(N348="1521",MONTH(C348)='BK NL'!$M$11),"x","")</f>
        <v/>
      </c>
    </row>
    <row r="349" spans="1:34" ht="15.75" customHeight="1">
      <c r="A349" s="398" t="str">
        <f>IF(B349&lt;&gt;"",IF(AND(B349&gt;=_TM1,B349&lt;=_TM2,OR(TH!N349="1111",TH!O349="1111")),TH!D349,""),"")</f>
        <v/>
      </c>
      <c r="B349" s="63">
        <f>IF(C349&lt;&gt;"",MONTH(C349),"")</f>
        <v>5</v>
      </c>
      <c r="C349" s="64">
        <f>E349</f>
        <v>42517</v>
      </c>
      <c r="D349" s="64" t="s">
        <v>8</v>
      </c>
      <c r="E349" s="64">
        <v>42517</v>
      </c>
      <c r="F349" s="67" t="s">
        <v>414</v>
      </c>
      <c r="G349" s="361" t="s">
        <v>810</v>
      </c>
      <c r="H349" s="74" t="s">
        <v>176</v>
      </c>
      <c r="I349" s="518"/>
      <c r="J349" s="518"/>
      <c r="K349" s="510"/>
      <c r="L349" s="518"/>
      <c r="M349" s="65">
        <v>11912604</v>
      </c>
      <c r="N349" s="66" t="s">
        <v>134</v>
      </c>
      <c r="O349" s="66" t="s">
        <v>31</v>
      </c>
      <c r="P349" s="66" t="str">
        <f>IF(AND('331-CT'!$E$7=TH!H368,OR(N349="331",O349="331")),"x","")</f>
        <v/>
      </c>
      <c r="Q349" s="66" t="str">
        <f>IF(AND($B349&gt;='111'!$N$11,$B349&lt;='111'!$O$11,OR($N349=$Q$7,$O349=$Q$7)),"x","")</f>
        <v/>
      </c>
      <c r="R349" s="66" t="str">
        <f>IF(AND($N349=$Q$7,$B349&lt;'111'!$N$11),"x","")</f>
        <v/>
      </c>
      <c r="S349" s="66" t="str">
        <f>IF(AND($O349=$Q$7,$B349&lt;'111'!$N$11),"x","")</f>
        <v/>
      </c>
      <c r="T349" s="66" t="str">
        <f>IF(AND($B349&gt;='112'!$M$9,$B349&lt;='112'!$N$9,OR($N349='112'!$I$6,$O349='112'!$I$6)),"x","")</f>
        <v>x</v>
      </c>
      <c r="U349" s="66" t="str">
        <f>IF(AND($N349='112'!$I$6,$B349&lt;'112'!$M$9),"x","")</f>
        <v/>
      </c>
      <c r="V349" s="66" t="str">
        <f>IF(AND($O349='112'!$I$6,$B349&lt;'112'!$M$9),"x","")</f>
        <v/>
      </c>
      <c r="W349" s="66" t="str">
        <f>IF(AND('131-CT'!$H$9=TH!H368,OR(N349="131",O349="131")),"x","")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IF(OR(TH!N368=TH!$AB$7,O349=TH!$AB$7),"x","")</f>
        <v/>
      </c>
      <c r="AC349" s="66" t="str">
        <f>IF(AND(1&lt;=$B349,$B349&lt;=3),"1",IF(AND(4&lt;=$B349,$B349&lt;=6),"2",IF(AND(7&lt;=$B349,$B349&lt;=9),"3",IF(AND(10&lt;=$B349,$B349&lt;=12),"4",""))))</f>
        <v>2</v>
      </c>
      <c r="AD349" s="66" t="str">
        <f>IF(AND(MONTH(E349)&lt;='IN-NX'!$P$3,'IN-NX'!$D$7=D349,OR(LEFT(TH!N368,2)="15",LEFT(TH!O368,2)="15")),"x","")</f>
        <v/>
      </c>
      <c r="AE349" s="66" t="str">
        <f>IF(AND(OR(LEFT(TH!N368,2)="15",LEFT(TH!O368,2)="15"),'152-CT'!$J$8=TH!F368),"x","")</f>
        <v/>
      </c>
      <c r="AF349" s="66" t="str">
        <f>IF(AND(OR(LEFT(TH!N368,2)="15",LEFT(TH!O368,2)="15"),'THE KHO'!$E$7=TH!F368),"x","")</f>
        <v/>
      </c>
      <c r="AG349" s="66" t="str">
        <f>IF(AND(N349="1521",MONTH(C349)='BK NL'!$M$11),"x","")</f>
        <v/>
      </c>
    </row>
    <row r="350" spans="1:34" ht="15.75" customHeight="1">
      <c r="A350" s="398" t="str">
        <f>IF(B350&lt;&gt;"",IF(AND(B350&gt;=_TM1,B350&lt;=_TM2,OR(TH!N350="1111",TH!O350="1111")),TH!D350,""),"")</f>
        <v>C40</v>
      </c>
      <c r="B350" s="63">
        <f>IF(C350&lt;&gt;"",MONTH(C350),"")</f>
        <v>5</v>
      </c>
      <c r="C350" s="64">
        <f>E350</f>
        <v>42520</v>
      </c>
      <c r="D350" s="64" t="s">
        <v>808</v>
      </c>
      <c r="E350" s="64">
        <v>42520</v>
      </c>
      <c r="F350" s="67" t="s">
        <v>812</v>
      </c>
      <c r="G350" s="375" t="s">
        <v>928</v>
      </c>
      <c r="H350" s="7" t="s">
        <v>50</v>
      </c>
      <c r="I350" s="515"/>
      <c r="J350" s="515"/>
      <c r="K350" s="507"/>
      <c r="L350" s="515"/>
      <c r="M350" s="65">
        <v>6379636</v>
      </c>
      <c r="N350" s="66" t="s">
        <v>136</v>
      </c>
      <c r="O350" s="66" t="s">
        <v>98</v>
      </c>
      <c r="P350" s="66" t="str">
        <f>IF(AND('331-CT'!$E$7=TH!H295,OR(N350="331",O350="331")),"x","")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IF(AND('131-CT'!$H$9=TH!H295,OR(N350="131",O350="131")),"x","")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IF(OR(TH!N295=TH!$AB$7,O350=TH!$AB$7),"x","")</f>
        <v/>
      </c>
      <c r="AC350" s="66" t="str">
        <f>IF(AND(1&lt;=$B350,$B350&lt;=3),"1",IF(AND(4&lt;=$B350,$B350&lt;=6),"2",IF(AND(7&lt;=$B350,$B350&lt;=9),"3",IF(AND(10&lt;=$B350,$B350&lt;=12),"4",""))))</f>
        <v>2</v>
      </c>
      <c r="AD350" s="66" t="str">
        <f>IF(AND(MONTH(E350)&lt;='IN-NX'!$P$3,'IN-NX'!$D$7=D350,OR(LEFT(TH!N295,2)="15",LEFT(TH!O295,2)="15")),"x","")</f>
        <v/>
      </c>
      <c r="AE350" s="66" t="str">
        <f>IF(AND(OR(LEFT(TH!N295,2)="15",LEFT(TH!O295,2)="15"),'152-CT'!$J$8=TH!F295),"x","")</f>
        <v/>
      </c>
      <c r="AF350" s="66" t="str">
        <f>IF(AND(OR(LEFT(TH!N295,2)="15",LEFT(TH!O295,2)="15"),'THE KHO'!$E$7=TH!F295),"x","")</f>
        <v/>
      </c>
      <c r="AG350" s="66" t="str">
        <f>IF(AND(N350="1521",MONTH(C350)='BK NL'!$M$11),"x","")</f>
        <v/>
      </c>
    </row>
    <row r="351" spans="1:34" ht="15.75" customHeight="1">
      <c r="A351" s="398" t="str">
        <f>IF(B351&lt;&gt;"",IF(AND(B351&gt;=_TM1,B351&lt;=_TM2,OR(TH!N351="1111",TH!O351="1111")),TH!D351,""),"")</f>
        <v>C40</v>
      </c>
      <c r="B351" s="63">
        <f>IF(C351&lt;&gt;"",MONTH(C351),"")</f>
        <v>5</v>
      </c>
      <c r="C351" s="64">
        <f>E351</f>
        <v>42520</v>
      </c>
      <c r="D351" s="64" t="s">
        <v>808</v>
      </c>
      <c r="E351" s="64">
        <v>42520</v>
      </c>
      <c r="F351" s="67" t="s">
        <v>814</v>
      </c>
      <c r="G351" s="375" t="s">
        <v>928</v>
      </c>
      <c r="H351" s="7" t="s">
        <v>50</v>
      </c>
      <c r="I351" s="515"/>
      <c r="J351" s="515"/>
      <c r="K351" s="507"/>
      <c r="L351" s="515"/>
      <c r="M351" s="65">
        <v>637964</v>
      </c>
      <c r="N351" s="66" t="s">
        <v>10</v>
      </c>
      <c r="O351" s="66" t="s">
        <v>98</v>
      </c>
      <c r="P351" s="66" t="str">
        <f>IF(AND('331-CT'!$E$7=TH!H296,OR(N351="331",O351="331")),"x","")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IF(AND('131-CT'!$H$9=TH!H296,OR(N351="131",O351="131")),"x","")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IF(OR(TH!N296=TH!$AB$7,O351=TH!$AB$7),"x","")</f>
        <v/>
      </c>
      <c r="AC351" s="66" t="str">
        <f>IF(AND(1&lt;=$B351,$B351&lt;=3),"1",IF(AND(4&lt;=$B351,$B351&lt;=6),"2",IF(AND(7&lt;=$B351,$B351&lt;=9),"3",IF(AND(10&lt;=$B351,$B351&lt;=12),"4",""))))</f>
        <v>2</v>
      </c>
      <c r="AD351" s="66" t="str">
        <f>IF(AND(MONTH(E351)&lt;='IN-NX'!$P$3,'IN-NX'!$D$7=D351,OR(LEFT(TH!N296,2)="15",LEFT(TH!O296,2)="15")),"x","")</f>
        <v/>
      </c>
      <c r="AE351" s="66" t="str">
        <f>IF(AND(OR(LEFT(TH!N296,2)="15",LEFT(TH!O296,2)="15"),'152-CT'!$J$8=TH!F296),"x","")</f>
        <v/>
      </c>
      <c r="AF351" s="66" t="str">
        <f>IF(AND(OR(LEFT(TH!N296,2)="15",LEFT(TH!O296,2)="15"),'THE KHO'!$E$7=TH!F296),"x","")</f>
        <v/>
      </c>
      <c r="AG351" s="66" t="str">
        <f>IF(AND(N351="1521",MONTH(C351)='BK NL'!$M$11),"x","")</f>
        <v/>
      </c>
    </row>
    <row r="352" spans="1:34" ht="15.75" customHeight="1">
      <c r="A352" s="398" t="str">
        <f>IF(B352&lt;&gt;"",IF(AND(B352&gt;=_TM1,B352&lt;=_TM2,OR(TH!N352="1111",TH!O352="1111")),TH!D352,""),"")</f>
        <v>C41</v>
      </c>
      <c r="B352" s="63">
        <f>IF(C352&lt;&gt;"",MONTH(C352),"")</f>
        <v>5</v>
      </c>
      <c r="C352" s="64">
        <f>E352</f>
        <v>42521</v>
      </c>
      <c r="D352" s="64" t="s">
        <v>811</v>
      </c>
      <c r="E352" s="64">
        <v>42521</v>
      </c>
      <c r="F352" s="67" t="s">
        <v>924</v>
      </c>
      <c r="G352" s="375" t="s">
        <v>925</v>
      </c>
      <c r="H352" s="74" t="s">
        <v>927</v>
      </c>
      <c r="I352" s="515"/>
      <c r="J352" s="515"/>
      <c r="K352" s="507"/>
      <c r="L352" s="515"/>
      <c r="M352" s="65">
        <v>3000000</v>
      </c>
      <c r="N352" s="66" t="s">
        <v>136</v>
      </c>
      <c r="O352" s="66" t="s">
        <v>98</v>
      </c>
      <c r="P352" s="66" t="str">
        <f>IF(AND('331-CT'!$E$7=TH!H297,OR(N352="331",O352="331")),"x","")</f>
        <v/>
      </c>
      <c r="Q352" s="66" t="str">
        <f>IF(AND($B352&gt;='111'!$N$11,$B352&lt;='111'!$O$11,OR($N352=$Q$7,$O352=$Q$7)),"x","")</f>
        <v>x</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IF(AND('131-CT'!$H$9=TH!H297,OR(N352="131",O352="131")),"x","")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IF(OR(TH!N297=TH!$AB$7,O352=TH!$AB$7),"x","")</f>
        <v/>
      </c>
      <c r="AC352" s="66" t="str">
        <f>IF(AND(1&lt;=$B352,$B352&lt;=3),"1",IF(AND(4&lt;=$B352,$B352&lt;=6),"2",IF(AND(7&lt;=$B352,$B352&lt;=9),"3",IF(AND(10&lt;=$B352,$B352&lt;=12),"4",""))))</f>
        <v>2</v>
      </c>
      <c r="AD352" s="66" t="str">
        <f>IF(AND(MONTH(E352)&lt;='IN-NX'!$P$3,'IN-NX'!$D$7=D352,OR(LEFT(TH!N297,2)="15",LEFT(TH!O297,2)="15")),"x","")</f>
        <v/>
      </c>
      <c r="AE352" s="66" t="str">
        <f>IF(AND(OR(LEFT(TH!N297,2)="15",LEFT(TH!O297,2)="15"),'152-CT'!$J$8=TH!F297),"x","")</f>
        <v/>
      </c>
      <c r="AF352" s="66" t="str">
        <f>IF(AND(OR(LEFT(TH!N297,2)="15",LEFT(TH!O297,2)="15"),'THE KHO'!$E$7=TH!F297),"x","")</f>
        <v/>
      </c>
      <c r="AG352" s="66" t="str">
        <f>IF(AND(N352="1521",MONTH(C352)='BK NL'!$M$11),"x","")</f>
        <v/>
      </c>
    </row>
    <row r="353" spans="1:34" ht="15.75" customHeight="1">
      <c r="A353" s="398" t="str">
        <f>IF(B353&lt;&gt;"",IF(AND(B353&gt;=_TM1,B353&lt;=_TM2,OR(TH!N353="1111",TH!O353="1111")),TH!D353,""),"")</f>
        <v>C41</v>
      </c>
      <c r="B353" s="63">
        <f>IF(C353&lt;&gt;"",MONTH(C353),"")</f>
        <v>5</v>
      </c>
      <c r="C353" s="64">
        <f>E353</f>
        <v>42521</v>
      </c>
      <c r="D353" s="64" t="s">
        <v>811</v>
      </c>
      <c r="E353" s="64">
        <v>42521</v>
      </c>
      <c r="F353" s="67" t="s">
        <v>926</v>
      </c>
      <c r="G353" s="375" t="s">
        <v>925</v>
      </c>
      <c r="H353" s="74" t="s">
        <v>927</v>
      </c>
      <c r="I353" s="515"/>
      <c r="J353" s="515"/>
      <c r="K353" s="507"/>
      <c r="L353" s="515"/>
      <c r="M353" s="65">
        <v>300000</v>
      </c>
      <c r="N353" s="66" t="s">
        <v>10</v>
      </c>
      <c r="O353" s="66" t="s">
        <v>98</v>
      </c>
      <c r="P353" s="66" t="str">
        <f>IF(AND('331-CT'!$E$7=TH!H298,OR(N353="331",O353="331")),"x","")</f>
        <v/>
      </c>
      <c r="Q353" s="66" t="str">
        <f>IF(AND($B353&gt;='111'!$N$11,$B353&lt;='111'!$O$11,OR($N353=$Q$7,$O353=$Q$7)),"x","")</f>
        <v>x</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IF(AND('131-CT'!$H$9=TH!H298,OR(N353="131",O353="131")),"x","")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IF(OR(TH!N298=TH!$AB$7,O353=TH!$AB$7),"x","")</f>
        <v/>
      </c>
      <c r="AC353" s="66" t="str">
        <f>IF(AND(1&lt;=$B353,$B353&lt;=3),"1",IF(AND(4&lt;=$B353,$B353&lt;=6),"2",IF(AND(7&lt;=$B353,$B353&lt;=9),"3",IF(AND(10&lt;=$B353,$B353&lt;=12),"4",""))))</f>
        <v>2</v>
      </c>
      <c r="AD353" s="66" t="str">
        <f>IF(AND(MONTH(E353)&lt;='IN-NX'!$P$3,'IN-NX'!$D$7=D353,OR(LEFT(TH!N298,2)="15",LEFT(TH!O298,2)="15")),"x","")</f>
        <v/>
      </c>
      <c r="AE353" s="66" t="str">
        <f>IF(AND(OR(LEFT(TH!N298,2)="15",LEFT(TH!O298,2)="15"),'152-CT'!$J$8=TH!F298),"x","")</f>
        <v/>
      </c>
      <c r="AF353" s="66" t="str">
        <f>IF(AND(OR(LEFT(TH!N298,2)="15",LEFT(TH!O298,2)="15"),'THE KHO'!$E$7=TH!F298),"x","")</f>
        <v/>
      </c>
      <c r="AG353" s="66" t="str">
        <f>IF(AND(N353="1521",MONTH(C353)='BK NL'!$M$11),"x","")</f>
        <v/>
      </c>
    </row>
    <row r="354" spans="1:34" ht="15.75" customHeight="1">
      <c r="A354" s="398" t="str">
        <f>IF(B354&lt;&gt;"",IF(AND(B354&gt;=_TM1,B354&lt;=_TM2,OR(TH!N354="1111",TH!O354="1111")),TH!D354,""),"")</f>
        <v>C42</v>
      </c>
      <c r="B354" s="63">
        <f>IF(C354&lt;&gt;"",MONTH(C354),"")</f>
        <v>5</v>
      </c>
      <c r="C354" s="64">
        <f>E354</f>
        <v>42521</v>
      </c>
      <c r="D354" s="64" t="s">
        <v>815</v>
      </c>
      <c r="E354" s="64">
        <v>42521</v>
      </c>
      <c r="F354" s="67" t="s">
        <v>419</v>
      </c>
      <c r="G354" s="361" t="s">
        <v>810</v>
      </c>
      <c r="H354" s="74" t="s">
        <v>161</v>
      </c>
      <c r="I354" s="515"/>
      <c r="J354" s="515"/>
      <c r="K354" s="507"/>
      <c r="L354" s="515"/>
      <c r="M354" s="65">
        <v>62000000</v>
      </c>
      <c r="N354" s="66" t="s">
        <v>31</v>
      </c>
      <c r="O354" s="66" t="s">
        <v>98</v>
      </c>
      <c r="P354" s="66" t="str">
        <f>IF(AND('331-CT'!$E$7=TH!H329,OR(N354="331",O354="331")),"x","")</f>
        <v/>
      </c>
      <c r="Q354" s="66" t="str">
        <f>IF(AND($B354&gt;='111'!$N$11,$B354&lt;='111'!$O$11,OR($N354=$Q$7,$O354=$Q$7)),"x","")</f>
        <v>x</v>
      </c>
      <c r="R354" s="66" t="str">
        <f>IF(AND($N354=$Q$7,$B354&lt;'111'!$N$11),"x","")</f>
        <v/>
      </c>
      <c r="S354" s="66" t="str">
        <f>IF(AND($O354=$Q$7,$B354&lt;'111'!$N$11),"x","")</f>
        <v/>
      </c>
      <c r="T354" s="66" t="str">
        <f>IF(AND($B354&gt;='112'!$M$9,$B354&lt;='112'!$N$9,OR($N354='112'!$I$6,$O354='112'!$I$6)),"x","")</f>
        <v>x</v>
      </c>
      <c r="U354" s="66" t="str">
        <f>IF(AND($N354='112'!$I$6,$B354&lt;'112'!$M$9),"x","")</f>
        <v/>
      </c>
      <c r="V354" s="66" t="str">
        <f>IF(AND($O354='112'!$I$6,$B354&lt;'112'!$M$9),"x","")</f>
        <v/>
      </c>
      <c r="W354" s="66" t="str">
        <f>IF(AND('131-CT'!$H$9=TH!H329,OR(N354="131",O354="131")),"x","")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IF(OR(TH!N329=TH!$AB$7,O354=TH!$AB$7),"x","")</f>
        <v/>
      </c>
      <c r="AC354" s="66" t="str">
        <f>IF(AND(1&lt;=$B354,$B354&lt;=3),"1",IF(AND(4&lt;=$B354,$B354&lt;=6),"2",IF(AND(7&lt;=$B354,$B354&lt;=9),"3",IF(AND(10&lt;=$B354,$B354&lt;=12),"4",""))))</f>
        <v>2</v>
      </c>
      <c r="AD354" s="66" t="str">
        <f>IF(AND(MONTH(E354)&lt;='IN-NX'!$P$3,'IN-NX'!$D$7=D354,OR(LEFT(TH!N329,2)="15",LEFT(TH!O329,2)="15")),"x","")</f>
        <v/>
      </c>
      <c r="AE354" s="66" t="str">
        <f>IF(AND(OR(LEFT(TH!N329,2)="15",LEFT(TH!O329,2)="15"),'152-CT'!$J$8=TH!F329),"x","")</f>
        <v/>
      </c>
      <c r="AF354" s="66" t="str">
        <f>IF(AND(OR(LEFT(TH!N329,2)="15",LEFT(TH!O329,2)="15"),'THE KHO'!$E$7=TH!F329),"x","")</f>
        <v/>
      </c>
      <c r="AG354" s="66" t="str">
        <f>IF(AND(N354="1521",MONTH(C354)='BK NL'!$M$11),"x","")</f>
        <v/>
      </c>
    </row>
    <row r="355" spans="1:34" ht="15.75" customHeight="1">
      <c r="A355" s="398" t="str">
        <f>IF(B355&lt;&gt;"",IF(AND(B355&gt;=_TM1,B355&lt;=_TM2,OR(TH!N355="1111",TH!O355="1111")),TH!D355,""),"")</f>
        <v/>
      </c>
      <c r="B355" s="63">
        <f>IF(C355&lt;&gt;"",MONTH(C355),"")</f>
        <v>5</v>
      </c>
      <c r="C355" s="64">
        <f>E355</f>
        <v>42521</v>
      </c>
      <c r="D355" s="64" t="s">
        <v>8</v>
      </c>
      <c r="E355" s="64">
        <v>42521</v>
      </c>
      <c r="F355" s="67" t="s">
        <v>972</v>
      </c>
      <c r="G355" s="375" t="s">
        <v>810</v>
      </c>
      <c r="H355" s="74" t="s">
        <v>222</v>
      </c>
      <c r="I355" s="515"/>
      <c r="J355" s="515"/>
      <c r="K355" s="507"/>
      <c r="L355" s="515"/>
      <c r="M355" s="65">
        <v>61262630</v>
      </c>
      <c r="N355" s="66" t="s">
        <v>9</v>
      </c>
      <c r="O355" s="66" t="s">
        <v>31</v>
      </c>
      <c r="P355" s="66" t="str">
        <f>IF(AND('331-CT'!$E$7=TH!H369,OR(N355="331",O355="331")),"x","")</f>
        <v/>
      </c>
      <c r="Q355" s="66" t="str">
        <f>IF(AND($B355&gt;='111'!$N$11,$B355&lt;='111'!$O$11,OR($N355=$Q$7,$O355=$Q$7)),"x","")</f>
        <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IF(AND('131-CT'!$H$9=TH!H369,OR(N355="131",O355="131")),"x","")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IF(OR(TH!N369=TH!$AB$7,O355=TH!$AB$7),"x","")</f>
        <v/>
      </c>
      <c r="AC355" s="66" t="str">
        <f>IF(AND(1&lt;=$B355,$B355&lt;=3),"1",IF(AND(4&lt;=$B355,$B355&lt;=6),"2",IF(AND(7&lt;=$B355,$B355&lt;=9),"3",IF(AND(10&lt;=$B355,$B355&lt;=12),"4",""))))</f>
        <v>2</v>
      </c>
      <c r="AD355" s="66" t="str">
        <f>IF(AND(MONTH(E355)&lt;='IN-NX'!$P$3,'IN-NX'!$D$7=D355,OR(LEFT(TH!N369,2)="15",LEFT(TH!O369,2)="15")),"x","")</f>
        <v/>
      </c>
      <c r="AE355" s="66" t="str">
        <f>IF(AND(OR(LEFT(TH!N369,2)="15",LEFT(TH!O369,2)="15"),'152-CT'!$J$8=TH!F369),"x","")</f>
        <v/>
      </c>
      <c r="AF355" s="66" t="str">
        <f>IF(AND(OR(LEFT(TH!N369,2)="15",LEFT(TH!O369,2)="15"),'THE KHO'!$E$7=TH!F369),"x","")</f>
        <v/>
      </c>
      <c r="AG355" s="66" t="str">
        <f>IF(AND(N355="1521",MONTH(C355)='BK NL'!$M$11),"x","")</f>
        <v/>
      </c>
    </row>
    <row r="356" spans="1:34" ht="15.75" customHeight="1">
      <c r="A356" s="398" t="str">
        <f>IF(B356&lt;&gt;"",IF(AND(B356&gt;=_TM1,B356&lt;=_TM2,OR(TH!N356="1111",TH!O356="1111")),TH!D356,""),"")</f>
        <v/>
      </c>
      <c r="B356" s="63">
        <f>IF(C356&lt;&gt;"",MONTH(C356),"")</f>
        <v>5</v>
      </c>
      <c r="C356" s="64">
        <f>E356</f>
        <v>42521</v>
      </c>
      <c r="D356" s="64" t="s">
        <v>8</v>
      </c>
      <c r="E356" s="64">
        <v>42521</v>
      </c>
      <c r="F356" s="67" t="s">
        <v>22</v>
      </c>
      <c r="G356" s="375" t="s">
        <v>810</v>
      </c>
      <c r="H356" s="405"/>
      <c r="I356" s="516"/>
      <c r="J356" s="516"/>
      <c r="K356" s="508"/>
      <c r="L356" s="516"/>
      <c r="M356" s="65">
        <v>50631</v>
      </c>
      <c r="N356" s="66" t="s">
        <v>136</v>
      </c>
      <c r="O356" s="66" t="s">
        <v>31</v>
      </c>
      <c r="P356" s="66" t="str">
        <f>IF(AND('331-CT'!$E$7=TH!H370,OR(N356="331",O356="331")),"x","")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IF(AND('131-CT'!$H$9=TH!H370,OR(N356="131",O356="131")),"x","")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IF(OR(TH!N370=TH!$AB$7,O356=TH!$AB$7),"x","")</f>
        <v/>
      </c>
      <c r="AC356" s="66" t="str">
        <f>IF(AND(1&lt;=$B356,$B356&lt;=3),"1",IF(AND(4&lt;=$B356,$B356&lt;=6),"2",IF(AND(7&lt;=$B356,$B356&lt;=9),"3",IF(AND(10&lt;=$B356,$B356&lt;=12),"4",""))))</f>
        <v>2</v>
      </c>
      <c r="AD356" s="66" t="str">
        <f>IF(AND(MONTH(E356)&lt;='IN-NX'!$P$3,'IN-NX'!$D$7=D356,OR(LEFT(TH!N370,2)="15",LEFT(TH!O370,2)="15")),"x","")</f>
        <v/>
      </c>
      <c r="AE356" s="66" t="str">
        <f>IF(AND(OR(LEFT(TH!N370,2)="15",LEFT(TH!O370,2)="15"),'152-CT'!$J$8=TH!F370),"x","")</f>
        <v/>
      </c>
      <c r="AF356" s="66" t="str">
        <f>IF(AND(OR(LEFT(TH!N370,2)="15",LEFT(TH!O370,2)="15"),'THE KHO'!$E$7=TH!F370),"x","")</f>
        <v/>
      </c>
      <c r="AG356" s="66" t="str">
        <f>IF(AND(N356="1521",MONTH(C356)='BK NL'!$M$11),"x","")</f>
        <v/>
      </c>
    </row>
    <row r="357" spans="1:34" ht="15.75" customHeight="1">
      <c r="A357" s="398" t="str">
        <f>IF(B357&lt;&gt;"",IF(AND(B357&gt;=_TM1,B357&lt;=_TM2,OR(TH!N357="1111",TH!O357="1111")),TH!D357,""),"")</f>
        <v/>
      </c>
      <c r="B357" s="63">
        <f>IF(C357&lt;&gt;"",MONTH(C357),"")</f>
        <v>5</v>
      </c>
      <c r="C357" s="64">
        <f>E357</f>
        <v>42521</v>
      </c>
      <c r="D357" s="64" t="s">
        <v>8</v>
      </c>
      <c r="E357" s="64">
        <v>42521</v>
      </c>
      <c r="F357" s="67" t="s">
        <v>23</v>
      </c>
      <c r="G357" s="375" t="s">
        <v>810</v>
      </c>
      <c r="H357" s="74"/>
      <c r="I357" s="515"/>
      <c r="J357" s="515"/>
      <c r="K357" s="507"/>
      <c r="L357" s="515"/>
      <c r="M357" s="65">
        <v>5063</v>
      </c>
      <c r="N357" s="66" t="s">
        <v>10</v>
      </c>
      <c r="O357" s="66" t="s">
        <v>31</v>
      </c>
      <c r="P357" s="66" t="str">
        <f>IF(AND('331-CT'!$E$7=TH!H371,OR(N357="331",O357="331")),"x","")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IF(AND('131-CT'!$H$9=TH!H371,OR(N357="131",O357="131")),"x","")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IF(OR(TH!N371=TH!$AB$7,O357=TH!$AB$7),"x","")</f>
        <v/>
      </c>
      <c r="AC357" s="66" t="str">
        <f>IF(AND(1&lt;=$B357,$B357&lt;=3),"1",IF(AND(4&lt;=$B357,$B357&lt;=6),"2",IF(AND(7&lt;=$B357,$B357&lt;=9),"3",IF(AND(10&lt;=$B357,$B357&lt;=12),"4",""))))</f>
        <v>2</v>
      </c>
      <c r="AD357" s="66" t="str">
        <f>IF(AND(MONTH(E357)&lt;='IN-NX'!$P$3,'IN-NX'!$D$7=D357,OR(LEFT(TH!N371,2)="15",LEFT(TH!O371,2)="15")),"x","")</f>
        <v/>
      </c>
      <c r="AE357" s="66" t="str">
        <f>IF(AND(OR(LEFT(TH!N371,2)="15",LEFT(TH!O371,2)="15"),'152-CT'!$J$8=TH!F371),"x","")</f>
        <v/>
      </c>
      <c r="AF357" s="66" t="str">
        <f>IF(AND(OR(LEFT(TH!N371,2)="15",LEFT(TH!O371,2)="15"),'THE KHO'!$E$7=TH!F371),"x","")</f>
        <v/>
      </c>
      <c r="AG357" s="66" t="str">
        <f>IF(AND(N357="1521",MONTH(C357)='BK NL'!$M$11),"x","")</f>
        <v/>
      </c>
    </row>
    <row r="358" spans="1:34" ht="15.75" customHeight="1">
      <c r="A358" s="398" t="str">
        <f>IF(B358&lt;&gt;"",IF(AND(B358&gt;=_TM1,B358&lt;=_TM2,OR(TH!N358="1111",TH!O358="1111")),TH!D358,""),"")</f>
        <v>C43</v>
      </c>
      <c r="B358" s="154">
        <f>IF(C358&lt;&gt;"",MONTH(C358),"")</f>
        <v>6</v>
      </c>
      <c r="C358" s="64">
        <f>E358</f>
        <v>42531</v>
      </c>
      <c r="D358" s="64" t="s">
        <v>817</v>
      </c>
      <c r="E358" s="155">
        <v>42531</v>
      </c>
      <c r="F358" s="95" t="s">
        <v>408</v>
      </c>
      <c r="G358" s="375" t="s">
        <v>990</v>
      </c>
      <c r="H358" s="74" t="s">
        <v>327</v>
      </c>
      <c r="I358" s="519"/>
      <c r="J358" s="519"/>
      <c r="K358" s="511"/>
      <c r="L358" s="519"/>
      <c r="M358" s="156">
        <f>1503000+1085000</f>
        <v>2588000</v>
      </c>
      <c r="N358" s="157" t="s">
        <v>243</v>
      </c>
      <c r="O358" s="157" t="s">
        <v>98</v>
      </c>
      <c r="P358" s="66" t="str">
        <f>IF(AND('331-CT'!$E$7=TH!H405,OR(N358="331",O358="331")),"x","")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IF(AND('131-CT'!$H$9=TH!H405,OR(N358="131",O358="131")),"x","")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IF(OR(TH!N405=TH!$AB$7,O358=TH!$AB$7),"x","")</f>
        <v>x</v>
      </c>
      <c r="AC358" s="66" t="str">
        <f>IF(AND(1&lt;=$B358,$B358&lt;=3),"1",IF(AND(4&lt;=$B358,$B358&lt;=6),"2",IF(AND(7&lt;=$B358,$B358&lt;=9),"3",IF(AND(10&lt;=$B358,$B358&lt;=12),"4",""))))</f>
        <v>2</v>
      </c>
      <c r="AD358" s="66" t="str">
        <f>IF(AND(MONTH(E358)&lt;='IN-NX'!$P$3,'IN-NX'!$D$7=D358,OR(LEFT(TH!N405,2)="15",LEFT(TH!O405,2)="15")),"x","")</f>
        <v/>
      </c>
      <c r="AE358" s="66" t="str">
        <f>IF(AND(OR(LEFT(TH!N405,2)="15",LEFT(TH!O405,2)="15"),'152-CT'!$J$8=TH!F405),"x","")</f>
        <v/>
      </c>
      <c r="AF358" s="66" t="str">
        <f>IF(AND(OR(LEFT(TH!N405,2)="15",LEFT(TH!O405,2)="15"),'THE KHO'!$E$7=TH!F405),"x","")</f>
        <v/>
      </c>
      <c r="AG358" s="66" t="str">
        <f>IF(AND(N358="1521",MONTH(C358)='BK NL'!$M$11),"x","")</f>
        <v/>
      </c>
      <c r="AH358" s="408"/>
    </row>
    <row r="359" spans="1:34" ht="15.75" customHeight="1">
      <c r="A359" s="398" t="str">
        <f>IF(B359&lt;&gt;"",IF(AND(B359&gt;=_TM1,B359&lt;=_TM2,OR(TH!N359="1111",TH!O359="1111")),TH!D359,""),"")</f>
        <v>C44</v>
      </c>
      <c r="B359" s="159">
        <f>IF(C359&lt;&gt;"",MONTH(C359),"")</f>
        <v>6</v>
      </c>
      <c r="C359" s="64">
        <f>E359</f>
        <v>42531</v>
      </c>
      <c r="D359" s="64" t="s">
        <v>821</v>
      </c>
      <c r="E359" s="155">
        <v>42531</v>
      </c>
      <c r="F359" s="67" t="s">
        <v>991</v>
      </c>
      <c r="G359" s="375" t="s">
        <v>993</v>
      </c>
      <c r="H359" s="74" t="s">
        <v>323</v>
      </c>
      <c r="I359" s="516"/>
      <c r="J359" s="516"/>
      <c r="K359" s="508"/>
      <c r="L359" s="516"/>
      <c r="M359" s="65">
        <v>7272727</v>
      </c>
      <c r="N359" s="66" t="s">
        <v>136</v>
      </c>
      <c r="O359" s="66" t="s">
        <v>98</v>
      </c>
      <c r="P359" s="66" t="str">
        <f>IF(AND('331-CT'!$E$7=TH!H406,OR(N359="331",O359="331")),"x","")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IF(AND('131-CT'!$H$9=TH!H406,OR(N359="131",O359="131")),"x","")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IF(OR(TH!N406=TH!$AB$7,O359=TH!$AB$7),"x","")</f>
        <v/>
      </c>
      <c r="AC359" s="66" t="str">
        <f>IF(AND(1&lt;=$B359,$B359&lt;=3),"1",IF(AND(4&lt;=$B359,$B359&lt;=6),"2",IF(AND(7&lt;=$B359,$B359&lt;=9),"3",IF(AND(10&lt;=$B359,$B359&lt;=12),"4",""))))</f>
        <v>2</v>
      </c>
      <c r="AD359" s="66" t="str">
        <f>IF(AND(MONTH(E359)&lt;='IN-NX'!$P$3,'IN-NX'!$D$7=D359,OR(LEFT(TH!N406,2)="15",LEFT(TH!O406,2)="15")),"x","")</f>
        <v/>
      </c>
      <c r="AE359" s="66" t="str">
        <f>IF(AND(OR(LEFT(TH!N406,2)="15",LEFT(TH!O406,2)="15"),'152-CT'!$J$8=TH!F406),"x","")</f>
        <v/>
      </c>
      <c r="AF359" s="66" t="str">
        <f>IF(AND(OR(LEFT(TH!N406,2)="15",LEFT(TH!O406,2)="15"),'THE KHO'!$E$7=TH!F406),"x","")</f>
        <v/>
      </c>
      <c r="AG359" s="66" t="str">
        <f>IF(AND(N359="1521",MONTH(C359)='BK NL'!$M$11),"x","")</f>
        <v/>
      </c>
      <c r="AH359" s="409"/>
    </row>
    <row r="360" spans="1:34" ht="15.75" customHeight="1">
      <c r="A360" s="398" t="str">
        <f>IF(B360&lt;&gt;"",IF(AND(B360&gt;=_TM1,B360&lt;=_TM2,OR(TH!N360="1111",TH!O360="1111")),TH!D360,""),"")</f>
        <v>C44</v>
      </c>
      <c r="B360" s="63">
        <f>IF(C360&lt;&gt;"",MONTH(C360),"")</f>
        <v>6</v>
      </c>
      <c r="C360" s="64">
        <f>E360</f>
        <v>42531</v>
      </c>
      <c r="D360" s="64" t="s">
        <v>821</v>
      </c>
      <c r="E360" s="155">
        <v>42531</v>
      </c>
      <c r="F360" s="67" t="s">
        <v>992</v>
      </c>
      <c r="G360" s="375" t="s">
        <v>993</v>
      </c>
      <c r="H360" s="74" t="s">
        <v>323</v>
      </c>
      <c r="I360" s="516"/>
      <c r="J360" s="516"/>
      <c r="K360" s="508"/>
      <c r="L360" s="516"/>
      <c r="M360" s="65">
        <v>727273</v>
      </c>
      <c r="N360" s="66" t="s">
        <v>10</v>
      </c>
      <c r="O360" s="66" t="s">
        <v>98</v>
      </c>
      <c r="P360" s="66" t="str">
        <f>IF(AND('331-CT'!$E$7=TH!H407,OR(N360="331",O360="331")),"x","")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IF(AND('131-CT'!$H$9=TH!H407,OR(N360="131",O360="131")),"x","")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IF(OR(TH!N407=TH!$AB$7,O360=TH!$AB$7),"x","")</f>
        <v/>
      </c>
      <c r="AC360" s="66" t="str">
        <f>IF(AND(1&lt;=$B360,$B360&lt;=3),"1",IF(AND(4&lt;=$B360,$B360&lt;=6),"2",IF(AND(7&lt;=$B360,$B360&lt;=9),"3",IF(AND(10&lt;=$B360,$B360&lt;=12),"4",""))))</f>
        <v>2</v>
      </c>
      <c r="AD360" s="66" t="str">
        <f>IF(AND(MONTH(E360)&lt;='IN-NX'!$P$3,'IN-NX'!$D$7=D360,OR(LEFT(TH!N407,2)="15",LEFT(TH!O407,2)="15")),"x","")</f>
        <v/>
      </c>
      <c r="AE360" s="66" t="str">
        <f>IF(AND(OR(LEFT(TH!N407,2)="15",LEFT(TH!O407,2)="15"),'152-CT'!$J$8=TH!F407),"x","")</f>
        <v/>
      </c>
      <c r="AF360" s="66" t="str">
        <f>IF(AND(OR(LEFT(TH!N407,2)="15",LEFT(TH!O407,2)="15"),'THE KHO'!$E$7=TH!F407),"x","")</f>
        <v/>
      </c>
      <c r="AG360" s="66" t="str">
        <f>IF(AND(N360="1521",MONTH(C360)='BK NL'!$M$11),"x","")</f>
        <v/>
      </c>
    </row>
    <row r="361" spans="1:34" ht="15.75" customHeight="1">
      <c r="A361" s="398" t="str">
        <f>IF(B361&lt;&gt;"",IF(AND(B361&gt;=_TM1,B361&lt;=_TM2,OR(TH!N361="1111",TH!O361="1111")),TH!D361,""),"")</f>
        <v>C45</v>
      </c>
      <c r="B361" s="63">
        <f>IF(C361&lt;&gt;"",MONTH(C361),"")</f>
        <v>6</v>
      </c>
      <c r="C361" s="64">
        <f>E361</f>
        <v>42537</v>
      </c>
      <c r="D361" s="64" t="s">
        <v>848</v>
      </c>
      <c r="E361" s="64">
        <v>42537</v>
      </c>
      <c r="F361" s="67" t="s">
        <v>986</v>
      </c>
      <c r="G361" s="375" t="s">
        <v>988</v>
      </c>
      <c r="H361" s="74" t="s">
        <v>162</v>
      </c>
      <c r="I361" s="516"/>
      <c r="J361" s="516"/>
      <c r="K361" s="508"/>
      <c r="L361" s="516"/>
      <c r="M361" s="65">
        <f>60000+210000+83304+68352</f>
        <v>421656</v>
      </c>
      <c r="N361" s="66" t="s">
        <v>136</v>
      </c>
      <c r="O361" s="66" t="s">
        <v>98</v>
      </c>
      <c r="P361" s="66" t="str">
        <f>IF(AND('331-CT'!$E$7=TH!H403,OR(N361="331",O361="331")),"x","")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IF(AND('131-CT'!$H$9=TH!H403,OR(N361="131",O361="131")),"x","")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IF(OR(TH!N403=TH!$AB$7,O361=TH!$AB$7),"x","")</f>
        <v/>
      </c>
      <c r="AC361" s="66" t="str">
        <f>IF(AND(1&lt;=$B361,$B361&lt;=3),"1",IF(AND(4&lt;=$B361,$B361&lt;=6),"2",IF(AND(7&lt;=$B361,$B361&lt;=9),"3",IF(AND(10&lt;=$B361,$B361&lt;=12),"4",""))))</f>
        <v>2</v>
      </c>
      <c r="AD361" s="66" t="str">
        <f>IF(AND(MONTH(E361)&lt;='IN-NX'!$P$3,'IN-NX'!$D$7=D361,OR(LEFT(TH!N403,2)="15",LEFT(TH!O403,2)="15")),"x","")</f>
        <v/>
      </c>
      <c r="AE361" s="66" t="str">
        <f>IF(AND(OR(LEFT(TH!N403,2)="15",LEFT(TH!O403,2)="15"),'152-CT'!$J$8=TH!F403),"x","")</f>
        <v/>
      </c>
      <c r="AF361" s="66" t="str">
        <f>IF(AND(OR(LEFT(TH!N403,2)="15",LEFT(TH!O403,2)="15"),'THE KHO'!$E$7=TH!F403),"x","")</f>
        <v/>
      </c>
      <c r="AG361" s="66" t="str">
        <f>IF(AND(N361="1521",MONTH(C361)='BK NL'!$M$11),"x","")</f>
        <v/>
      </c>
    </row>
    <row r="362" spans="1:34" ht="15.75" customHeight="1">
      <c r="A362" s="398" t="str">
        <f>IF(B362&lt;&gt;"",IF(AND(B362&gt;=_TM1,B362&lt;=_TM2,OR(TH!N362="1111",TH!O362="1111")),TH!D362,""),"")</f>
        <v>C45</v>
      </c>
      <c r="B362" s="154">
        <f>IF(C362&lt;&gt;"",MONTH(C362),"")</f>
        <v>6</v>
      </c>
      <c r="C362" s="64">
        <f>E362</f>
        <v>42537</v>
      </c>
      <c r="D362" s="64" t="s">
        <v>848</v>
      </c>
      <c r="E362" s="64">
        <v>42537</v>
      </c>
      <c r="F362" s="67" t="s">
        <v>987</v>
      </c>
      <c r="G362" s="375" t="s">
        <v>989</v>
      </c>
      <c r="H362" s="74" t="s">
        <v>162</v>
      </c>
      <c r="I362" s="515"/>
      <c r="J362" s="515"/>
      <c r="K362" s="507"/>
      <c r="L362" s="515"/>
      <c r="M362" s="65">
        <f>6000+21000+8330+6835</f>
        <v>42165</v>
      </c>
      <c r="N362" s="66" t="s">
        <v>10</v>
      </c>
      <c r="O362" s="66" t="s">
        <v>98</v>
      </c>
      <c r="P362" s="66" t="str">
        <f>IF(AND('331-CT'!$E$7=TH!H404,OR(N362="331",O362="331")),"x","")</f>
        <v/>
      </c>
      <c r="Q362" s="66" t="str">
        <f>IF(AND($B362&gt;='111'!$N$11,$B362&lt;='111'!$O$11,OR($N362=$Q$7,$O362=$Q$7)),"x","")</f>
        <v>x</v>
      </c>
      <c r="R362" s="66" t="str">
        <f>IF(AND($N362=$Q$7,$B362&lt;'111'!$N$11),"x","")</f>
        <v/>
      </c>
      <c r="S362" s="66" t="str">
        <f>IF(AND($O362=$Q$7,$B362&lt;'111'!$N$11),"x","")</f>
        <v/>
      </c>
      <c r="T362" s="66" t="str">
        <f>IF(AND($B362&gt;='112'!$M$9,$B362&lt;='112'!$N$9,OR($N362='112'!$I$6,$O362='112'!$I$6)),"x","")</f>
        <v/>
      </c>
      <c r="U362" s="66" t="str">
        <f>IF(AND($N362='112'!$I$6,$B362&lt;'112'!$M$9),"x","")</f>
        <v/>
      </c>
      <c r="V362" s="66" t="str">
        <f>IF(AND($O362='112'!$I$6,$B362&lt;'112'!$M$9),"x","")</f>
        <v/>
      </c>
      <c r="W362" s="66" t="str">
        <f>IF(AND('131-CT'!$H$9=TH!H404,OR(N362="131",O362="131")),"x","")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IF(OR(TH!N404=TH!$AB$7,O362=TH!$AB$7),"x","")</f>
        <v/>
      </c>
      <c r="AC362" s="66" t="str">
        <f>IF(AND(1&lt;=$B362,$B362&lt;=3),"1",IF(AND(4&lt;=$B362,$B362&lt;=6),"2",IF(AND(7&lt;=$B362,$B362&lt;=9),"3",IF(AND(10&lt;=$B362,$B362&lt;=12),"4",""))))</f>
        <v>2</v>
      </c>
      <c r="AD362" s="66" t="str">
        <f>IF(AND(MONTH(E362)&lt;='IN-NX'!$P$3,'IN-NX'!$D$7=D362,OR(LEFT(TH!N404,2)="15",LEFT(TH!O404,2)="15")),"x","")</f>
        <v/>
      </c>
      <c r="AE362" s="66" t="str">
        <f>IF(AND(OR(LEFT(TH!N404,2)="15",LEFT(TH!O404,2)="15"),'152-CT'!$J$8=TH!F404),"x","")</f>
        <v/>
      </c>
      <c r="AF362" s="66" t="str">
        <f>IF(AND(OR(LEFT(TH!N404,2)="15",LEFT(TH!O404,2)="15"),'THE KHO'!$E$7=TH!F404),"x","")</f>
        <v/>
      </c>
      <c r="AG362" s="66" t="str">
        <f>IF(AND(N362="1521",MONTH(C362)='BK NL'!$M$11),"x","")</f>
        <v/>
      </c>
      <c r="AH362" s="408"/>
    </row>
    <row r="363" spans="1:34" ht="15.75" customHeight="1">
      <c r="A363" s="398" t="str">
        <f>IF(B363&lt;&gt;"",IF(AND(B363&gt;=_TM1,B363&lt;=_TM2,OR(TH!N363="1111",TH!O363="1111")),TH!D363,""),"")</f>
        <v/>
      </c>
      <c r="B363" s="63">
        <f>IF(C363&lt;&gt;"",MONTH(C363),"")</f>
        <v>6</v>
      </c>
      <c r="C363" s="64">
        <f>E363</f>
        <v>42538</v>
      </c>
      <c r="D363" s="64" t="s">
        <v>12</v>
      </c>
      <c r="E363" s="64">
        <v>42538</v>
      </c>
      <c r="F363" s="67" t="s">
        <v>973</v>
      </c>
      <c r="G363" s="375" t="s">
        <v>810</v>
      </c>
      <c r="H363" s="406"/>
      <c r="I363" s="518"/>
      <c r="J363" s="518"/>
      <c r="K363" s="510">
        <v>88000</v>
      </c>
      <c r="L363" s="518">
        <v>22305</v>
      </c>
      <c r="M363" s="65">
        <f>ROUND(K363*L363,0)</f>
        <v>1962840000</v>
      </c>
      <c r="N363" s="66" t="s">
        <v>464</v>
      </c>
      <c r="O363" s="66" t="s">
        <v>31</v>
      </c>
      <c r="P363" s="66" t="str">
        <f>IF(AND('331-CT'!$E$7=TH!H372,OR(N363="331",O363="331")),"x","")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IF(AND('131-CT'!$H$9=TH!H372,OR(N363="131",O363="131")),"x","")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IF(OR(TH!N372=TH!$AB$7,O363=TH!$AB$7),"x","")</f>
        <v/>
      </c>
      <c r="AC363" s="66" t="str">
        <f>IF(AND(1&lt;=$B363,$B363&lt;=3),"1",IF(AND(4&lt;=$B363,$B363&lt;=6),"2",IF(AND(7&lt;=$B363,$B363&lt;=9),"3",IF(AND(10&lt;=$B363,$B363&lt;=12),"4",""))))</f>
        <v>2</v>
      </c>
      <c r="AD363" s="66" t="str">
        <f>IF(AND(MONTH(E363)&lt;='IN-NX'!$P$3,'IN-NX'!$D$7=D363,OR(LEFT(TH!N372,2)="15",LEFT(TH!O372,2)="15")),"x","")</f>
        <v/>
      </c>
      <c r="AE363" s="66" t="str">
        <f>IF(AND(OR(LEFT(TH!N372,2)="15",LEFT(TH!O372,2)="15"),'152-CT'!$J$8=TH!F372),"x","")</f>
        <v/>
      </c>
      <c r="AF363" s="66" t="str">
        <f>IF(AND(OR(LEFT(TH!N372,2)="15",LEFT(TH!O372,2)="15"),'THE KHO'!$E$7=TH!F372),"x","")</f>
        <v/>
      </c>
      <c r="AG363" s="66" t="str">
        <f>IF(AND(N363="1521",MONTH(C363)='BK NL'!$M$11),"x","")</f>
        <v/>
      </c>
    </row>
    <row r="364" spans="1:34" ht="15.75" customHeight="1">
      <c r="A364" s="398" t="str">
        <f>IF(B364&lt;&gt;"",IF(AND(B364&gt;=_TM1,B364&lt;=_TM2,OR(TH!N364="1111",TH!O364="1111")),TH!D364,""),"")</f>
        <v/>
      </c>
      <c r="B364" s="63">
        <f>IF(C364&lt;&gt;"",MONTH(C364),"")</f>
        <v>6</v>
      </c>
      <c r="C364" s="64">
        <f>E364</f>
        <v>42538</v>
      </c>
      <c r="D364" s="64" t="s">
        <v>8</v>
      </c>
      <c r="E364" s="64">
        <v>42538</v>
      </c>
      <c r="F364" s="67" t="s">
        <v>974</v>
      </c>
      <c r="G364" s="375" t="s">
        <v>810</v>
      </c>
      <c r="H364" s="7" t="s">
        <v>333</v>
      </c>
      <c r="I364" s="518"/>
      <c r="J364" s="518"/>
      <c r="K364" s="510">
        <v>88000</v>
      </c>
      <c r="L364" s="518">
        <v>22305</v>
      </c>
      <c r="M364" s="65">
        <f>ROUND(K364*L364,0)</f>
        <v>1962840000</v>
      </c>
      <c r="N364" s="66" t="s">
        <v>122</v>
      </c>
      <c r="O364" s="66" t="s">
        <v>464</v>
      </c>
      <c r="P364" s="66" t="str">
        <f>IF(AND('331-CT'!$E$7=TH!H373,OR(N364="331",O364="331")),"x","")</f>
        <v/>
      </c>
      <c r="Q364" s="66" t="str">
        <f>IF(AND($B364&gt;='111'!$N$11,$B364&lt;='111'!$O$11,OR($N364=$Q$7,$O364=$Q$7)),"x","")</f>
        <v/>
      </c>
      <c r="R364" s="66" t="str">
        <f>IF(AND($N364=$Q$7,$B364&lt;'111'!$N$11),"x","")</f>
        <v/>
      </c>
      <c r="S364" s="66" t="str">
        <f>IF(AND($O364=$Q$7,$B364&lt;'111'!$N$11),"x","")</f>
        <v/>
      </c>
      <c r="T364" s="66" t="str">
        <f>IF(AND($B364&gt;='112'!$M$9,$B364&lt;='112'!$N$9,OR($N364='112'!$I$6,$O364='112'!$I$6)),"x","")</f>
        <v/>
      </c>
      <c r="U364" s="66" t="str">
        <f>IF(AND($N364='112'!$I$6,$B364&lt;'112'!$M$9),"x","")</f>
        <v/>
      </c>
      <c r="V364" s="66" t="str">
        <f>IF(AND($O364='112'!$I$6,$B364&lt;'112'!$M$9),"x","")</f>
        <v/>
      </c>
      <c r="W364" s="66" t="str">
        <f>IF(AND('131-CT'!$H$9=TH!H373,OR(N364="131",O364="131")),"x","")</f>
        <v/>
      </c>
      <c r="X364" s="66" t="str">
        <f>IF(AND($B364&gt;='1331'!$I$9,$B364&lt;='1331'!$J$9,OR($N364=$X$7,$O364=$X$7)),"x","")</f>
        <v/>
      </c>
      <c r="Y364" s="66" t="str">
        <f>IF(AND($N364=$X$7,$B364&lt;'1331'!$I$9),"x","")</f>
        <v/>
      </c>
      <c r="Z364" s="66" t="str">
        <f>IF(AND($O364=$X$7,$B364&lt;'1331'!$I$9),"x","")</f>
        <v/>
      </c>
      <c r="AA364" s="66" t="str">
        <f>IF(AND('341-CT'!$H$9=H364,OR(LEFT(N364,3)=$AA$7,LEFT(O364,3)=$AA$7)),"x","")</f>
        <v>x</v>
      </c>
      <c r="AB364" s="66" t="str">
        <f>IF(OR(TH!N373=TH!$AB$7,O364=TH!$AB$7),"x","")</f>
        <v/>
      </c>
      <c r="AC364" s="66" t="str">
        <f>IF(AND(1&lt;=$B364,$B364&lt;=3),"1",IF(AND(4&lt;=$B364,$B364&lt;=6),"2",IF(AND(7&lt;=$B364,$B364&lt;=9),"3",IF(AND(10&lt;=$B364,$B364&lt;=12),"4",""))))</f>
        <v>2</v>
      </c>
      <c r="AD364" s="66" t="str">
        <f>IF(AND(MONTH(E364)&lt;='IN-NX'!$P$3,'IN-NX'!$D$7=D364,OR(LEFT(TH!N373,2)="15",LEFT(TH!O373,2)="15")),"x","")</f>
        <v/>
      </c>
      <c r="AE364" s="66" t="str">
        <f>IF(AND(OR(LEFT(TH!N373,2)="15",LEFT(TH!O373,2)="15"),'152-CT'!$J$8=TH!F373),"x","")</f>
        <v/>
      </c>
      <c r="AF364" s="66" t="str">
        <f>IF(AND(OR(LEFT(TH!N373,2)="15",LEFT(TH!O373,2)="15"),'THE KHO'!$E$7=TH!F373),"x","")</f>
        <v/>
      </c>
      <c r="AG364" s="66" t="str">
        <f>IF(AND(N364="1521",MONTH(C364)='BK NL'!$M$11),"x","")</f>
        <v/>
      </c>
    </row>
    <row r="365" spans="1:34" ht="15.75" customHeight="1">
      <c r="A365" s="398" t="str">
        <f>IF(B365&lt;&gt;"",IF(AND(B365&gt;=_TM1,B365&lt;=_TM2,OR(TH!N365="1111",TH!O365="1111")),TH!D365,""),"")</f>
        <v/>
      </c>
      <c r="B365" s="63">
        <f>IF(C365&lt;&gt;"",MONTH(C365),"")</f>
        <v>6</v>
      </c>
      <c r="C365" s="64">
        <f>E365</f>
        <v>42538</v>
      </c>
      <c r="D365" s="64" t="s">
        <v>45</v>
      </c>
      <c r="E365" s="64">
        <v>42538</v>
      </c>
      <c r="F365" s="67" t="s">
        <v>975</v>
      </c>
      <c r="G365" s="375" t="s">
        <v>810</v>
      </c>
      <c r="H365" s="7" t="s">
        <v>333</v>
      </c>
      <c r="I365" s="515"/>
      <c r="J365" s="515"/>
      <c r="K365" s="507"/>
      <c r="L365" s="515"/>
      <c r="M365" s="65">
        <v>19800000</v>
      </c>
      <c r="N365" s="66" t="s">
        <v>122</v>
      </c>
      <c r="O365" s="66" t="s">
        <v>59</v>
      </c>
      <c r="P365" s="66" t="str">
        <f>IF(AND('331-CT'!$E$7=TH!H374,OR(N365="331",O365="331")),"x","")</f>
        <v/>
      </c>
      <c r="Q365" s="66" t="str">
        <f>IF(AND($B365&gt;='111'!$N$11,$B365&lt;='111'!$O$11,OR($N365=$Q$7,$O365=$Q$7)),"x","")</f>
        <v/>
      </c>
      <c r="R365" s="66" t="str">
        <f>IF(AND($N365=$Q$7,$B365&lt;'111'!$N$11),"x","")</f>
        <v/>
      </c>
      <c r="S365" s="66" t="str">
        <f>IF(AND($O365=$Q$7,$B365&lt;'111'!$N$11),"x","")</f>
        <v/>
      </c>
      <c r="T365" s="66" t="str">
        <f>IF(AND($B365&gt;='112'!$M$9,$B365&lt;='112'!$N$9,OR($N365='112'!$I$6,$O365='112'!$I$6)),"x","")</f>
        <v/>
      </c>
      <c r="U365" s="66" t="str">
        <f>IF(AND($N365='112'!$I$6,$B365&lt;'112'!$M$9),"x","")</f>
        <v/>
      </c>
      <c r="V365" s="66" t="str">
        <f>IF(AND($O365='112'!$I$6,$B365&lt;'112'!$M$9),"x","")</f>
        <v/>
      </c>
      <c r="W365" s="66" t="str">
        <f>IF(AND('131-CT'!$H$9=TH!H374,OR(N365="131",O365="131")),"x","")</f>
        <v/>
      </c>
      <c r="X365" s="66" t="str">
        <f>IF(AND($B365&gt;='1331'!$I$9,$B365&lt;='1331'!$J$9,OR($N365=$X$7,$O365=$X$7)),"x","")</f>
        <v/>
      </c>
      <c r="Y365" s="66" t="str">
        <f>IF(AND($N365=$X$7,$B365&lt;'1331'!$I$9),"x","")</f>
        <v/>
      </c>
      <c r="Z365" s="66" t="str">
        <f>IF(AND($O365=$X$7,$B365&lt;'1331'!$I$9),"x","")</f>
        <v/>
      </c>
      <c r="AA365" s="66" t="str">
        <f>IF(AND('341-CT'!$H$9=H365,OR(LEFT(N365,3)=$AA$7,LEFT(O365,3)=$AA$7)),"x","")</f>
        <v>x</v>
      </c>
      <c r="AB365" s="66" t="str">
        <f>IF(OR(TH!N374=TH!$AB$7,O365=TH!$AB$7),"x","")</f>
        <v/>
      </c>
      <c r="AC365" s="66" t="str">
        <f>IF(AND(1&lt;=$B365,$B365&lt;=3),"1",IF(AND(4&lt;=$B365,$B365&lt;=6),"2",IF(AND(7&lt;=$B365,$B365&lt;=9),"3",IF(AND(10&lt;=$B365,$B365&lt;=12),"4",""))))</f>
        <v>2</v>
      </c>
      <c r="AD365" s="66" t="str">
        <f>IF(AND(MONTH(E365)&lt;='IN-NX'!$P$3,'IN-NX'!$D$7=D365,OR(LEFT(TH!N374,2)="15",LEFT(TH!O374,2)="15")),"x","")</f>
        <v/>
      </c>
      <c r="AE365" s="66" t="str">
        <f>IF(AND(OR(LEFT(TH!N374,2)="15",LEFT(TH!O374,2)="15"),'152-CT'!$J$8=TH!F374),"x","")</f>
        <v/>
      </c>
      <c r="AF365" s="66" t="str">
        <f>IF(AND(OR(LEFT(TH!N374,2)="15",LEFT(TH!O374,2)="15"),'THE KHO'!$E$7=TH!F374),"x","")</f>
        <v/>
      </c>
      <c r="AG365" s="66" t="str">
        <f>IF(AND(N365="1521",MONTH(C365)='BK NL'!$M$11),"x","")</f>
        <v/>
      </c>
    </row>
    <row r="366" spans="1:34" ht="15.75" customHeight="1">
      <c r="A366" s="398" t="str">
        <f>IF(B366&lt;&gt;"",IF(AND(B366&gt;=_TM1,B366&lt;=_TM2,OR(TH!N366="1111",TH!O366="1111")),TH!D366,""),"")</f>
        <v/>
      </c>
      <c r="B366" s="63">
        <f>IF(C366&lt;&gt;"",MONTH(C366),"")</f>
        <v>6</v>
      </c>
      <c r="C366" s="64">
        <f>E366</f>
        <v>42538</v>
      </c>
      <c r="D366" s="64" t="s">
        <v>12</v>
      </c>
      <c r="E366" s="64">
        <v>42538</v>
      </c>
      <c r="F366" s="67" t="s">
        <v>800</v>
      </c>
      <c r="G366" s="375" t="s">
        <v>810</v>
      </c>
      <c r="H366" s="74" t="s">
        <v>439</v>
      </c>
      <c r="I366" s="515"/>
      <c r="J366" s="515"/>
      <c r="K366" s="507"/>
      <c r="L366" s="515"/>
      <c r="M366" s="65">
        <v>1975000000</v>
      </c>
      <c r="N366" s="66" t="s">
        <v>31</v>
      </c>
      <c r="O366" s="66" t="s">
        <v>107</v>
      </c>
      <c r="P366" s="66" t="str">
        <f>IF(AND('331-CT'!$E$7=TH!H375,OR(N366="331",O366="331")),"x","")</f>
        <v/>
      </c>
      <c r="Q366" s="66" t="str">
        <f>IF(AND($B366&gt;='111'!$N$11,$B366&lt;='111'!$O$11,OR($N366=$Q$7,$O366=$Q$7)),"x","")</f>
        <v/>
      </c>
      <c r="R366" s="66" t="str">
        <f>IF(AND($N366=$Q$7,$B366&lt;'111'!$N$11),"x","")</f>
        <v/>
      </c>
      <c r="S366" s="66" t="str">
        <f>IF(AND($O366=$Q$7,$B366&lt;'111'!$N$11),"x","")</f>
        <v/>
      </c>
      <c r="T366" s="66" t="str">
        <f>IF(AND($B366&gt;='112'!$M$9,$B366&lt;='112'!$N$9,OR($N366='112'!$I$6,$O366='112'!$I$6)),"x","")</f>
        <v>x</v>
      </c>
      <c r="U366" s="66" t="str">
        <f>IF(AND($N366='112'!$I$6,$B366&lt;'112'!$M$9),"x","")</f>
        <v/>
      </c>
      <c r="V366" s="66" t="str">
        <f>IF(AND($O366='112'!$I$6,$B366&lt;'112'!$M$9),"x","")</f>
        <v/>
      </c>
      <c r="W366" s="66" t="str">
        <f>IF(AND('131-CT'!$H$9=TH!H375,OR(N366="131",O366="131")),"x","")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IF(OR(TH!N375=TH!$AB$7,O366=TH!$AB$7),"x","")</f>
        <v>x</v>
      </c>
      <c r="AC366" s="66" t="str">
        <f>IF(AND(1&lt;=$B366,$B366&lt;=3),"1",IF(AND(4&lt;=$B366,$B366&lt;=6),"2",IF(AND(7&lt;=$B366,$B366&lt;=9),"3",IF(AND(10&lt;=$B366,$B366&lt;=12),"4",""))))</f>
        <v>2</v>
      </c>
      <c r="AD366" s="66" t="str">
        <f>IF(AND(MONTH(E366)&lt;='IN-NX'!$P$3,'IN-NX'!$D$7=D366,OR(LEFT(TH!N375,2)="15",LEFT(TH!O375,2)="15")),"x","")</f>
        <v/>
      </c>
      <c r="AE366" s="66" t="str">
        <f>IF(AND(OR(LEFT(TH!N375,2)="15",LEFT(TH!O375,2)="15"),'152-CT'!$J$8=TH!F375),"x","")</f>
        <v/>
      </c>
      <c r="AF366" s="66" t="str">
        <f>IF(AND(OR(LEFT(TH!N375,2)="15",LEFT(TH!O375,2)="15"),'THE KHO'!$E$7=TH!F375),"x","")</f>
        <v/>
      </c>
      <c r="AG366" s="66" t="str">
        <f>IF(AND(N366="1521",MONTH(C366)='BK NL'!$M$11),"x","")</f>
        <v/>
      </c>
    </row>
    <row r="367" spans="1:34" ht="15.75" customHeight="1">
      <c r="A367" s="398" t="str">
        <f>IF(B367&lt;&gt;"",IF(AND(B367&gt;=_TM1,B367&lt;=_TM2,OR(TH!N367="1111",TH!O367="1111")),TH!D367,""),"")</f>
        <v/>
      </c>
      <c r="B367" s="63">
        <f>IF(C367&lt;&gt;"",MONTH(C367),"")</f>
        <v>6</v>
      </c>
      <c r="C367" s="64">
        <f>E367</f>
        <v>42538</v>
      </c>
      <c r="D367" s="64" t="s">
        <v>8</v>
      </c>
      <c r="E367" s="64">
        <v>42538</v>
      </c>
      <c r="F367" s="67" t="s">
        <v>979</v>
      </c>
      <c r="G367" s="375" t="s">
        <v>810</v>
      </c>
      <c r="H367" s="7" t="s">
        <v>333</v>
      </c>
      <c r="I367" s="515"/>
      <c r="J367" s="515"/>
      <c r="K367" s="507"/>
      <c r="L367" s="515"/>
      <c r="M367" s="65">
        <v>7210682</v>
      </c>
      <c r="N367" s="66" t="s">
        <v>134</v>
      </c>
      <c r="O367" s="66" t="s">
        <v>31</v>
      </c>
      <c r="P367" s="66" t="str">
        <f>IF(AND('331-CT'!$E$7=TH!H380,OR(N367="331",O367="331")),"x","")</f>
        <v/>
      </c>
      <c r="Q367" s="66" t="str">
        <f>IF(AND($B367&gt;='111'!$N$11,$B367&lt;='111'!$O$11,OR($N367=$Q$7,$O367=$Q$7)),"x","")</f>
        <v/>
      </c>
      <c r="R367" s="66" t="str">
        <f>IF(AND($N367=$Q$7,$B367&lt;'111'!$N$11),"x","")</f>
        <v/>
      </c>
      <c r="S367" s="66" t="str">
        <f>IF(AND($O367=$Q$7,$B367&lt;'111'!$N$11),"x","")</f>
        <v/>
      </c>
      <c r="T367" s="66" t="str">
        <f>IF(AND($B367&gt;='112'!$M$9,$B367&lt;='112'!$N$9,OR($N367='112'!$I$6,$O367='112'!$I$6)),"x","")</f>
        <v>x</v>
      </c>
      <c r="U367" s="66" t="str">
        <f>IF(AND($N367='112'!$I$6,$B367&lt;'112'!$M$9),"x","")</f>
        <v/>
      </c>
      <c r="V367" s="66" t="str">
        <f>IF(AND($O367='112'!$I$6,$B367&lt;'112'!$M$9),"x","")</f>
        <v/>
      </c>
      <c r="W367" s="66" t="str">
        <f>IF(AND('131-CT'!$H$9=TH!H380,OR(N367="131",O367="131")),"x","")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IF(OR(TH!N380=TH!$AB$7,O367=TH!$AB$7),"x","")</f>
        <v/>
      </c>
      <c r="AC367" s="66" t="str">
        <f>IF(AND(1&lt;=$B367,$B367&lt;=3),"1",IF(AND(4&lt;=$B367,$B367&lt;=6),"2",IF(AND(7&lt;=$B367,$B367&lt;=9),"3",IF(AND(10&lt;=$B367,$B367&lt;=12),"4",""))))</f>
        <v>2</v>
      </c>
      <c r="AD367" s="66" t="str">
        <f>IF(AND(MONTH(E367)&lt;='IN-NX'!$P$3,'IN-NX'!$D$7=D367,OR(LEFT(TH!N380,2)="15",LEFT(TH!O380,2)="15")),"x","")</f>
        <v/>
      </c>
      <c r="AE367" s="66" t="str">
        <f>IF(AND(OR(LEFT(TH!N380,2)="15",LEFT(TH!O380,2)="15"),'152-CT'!$J$8=TH!F380),"x","")</f>
        <v/>
      </c>
      <c r="AF367" s="66" t="str">
        <f>IF(AND(OR(LEFT(TH!N380,2)="15",LEFT(TH!O380,2)="15"),'THE KHO'!$E$7=TH!F380),"x","")</f>
        <v/>
      </c>
      <c r="AG367" s="66" t="str">
        <f>IF(AND(N367="1521",MONTH(C367)='BK NL'!$M$11),"x","")</f>
        <v/>
      </c>
    </row>
    <row r="368" spans="1:34" ht="15.75" customHeight="1">
      <c r="A368" s="398" t="str">
        <f>IF(B368&lt;&gt;"",IF(AND(B368&gt;=_TM1,B368&lt;=_TM2,OR(TH!N368="1111",TH!O368="1111")),TH!D368,""),"")</f>
        <v>C46</v>
      </c>
      <c r="B368" s="63">
        <f>IF(C368&lt;&gt;"",MONTH(C368),"")</f>
        <v>6</v>
      </c>
      <c r="C368" s="64">
        <f>E368</f>
        <v>42542</v>
      </c>
      <c r="D368" s="64" t="s">
        <v>854</v>
      </c>
      <c r="E368" s="64">
        <v>42542</v>
      </c>
      <c r="F368" s="67" t="s">
        <v>419</v>
      </c>
      <c r="G368" s="375" t="s">
        <v>810</v>
      </c>
      <c r="H368" s="74" t="s">
        <v>161</v>
      </c>
      <c r="I368" s="515"/>
      <c r="J368" s="515"/>
      <c r="K368" s="507"/>
      <c r="L368" s="515"/>
      <c r="M368" s="65">
        <v>100000000</v>
      </c>
      <c r="N368" s="66" t="s">
        <v>31</v>
      </c>
      <c r="O368" s="66" t="s">
        <v>98</v>
      </c>
      <c r="P368" s="66" t="str">
        <f>IF(AND('331-CT'!$E$7=TH!H377,OR(N368="331",O368="331")),"x","")</f>
        <v/>
      </c>
      <c r="Q368" s="66" t="str">
        <f>IF(AND($B368&gt;='111'!$N$11,$B368&lt;='111'!$O$11,OR($N368=$Q$7,$O368=$Q$7)),"x","")</f>
        <v>x</v>
      </c>
      <c r="R368" s="66" t="str">
        <f>IF(AND($N368=$Q$7,$B368&lt;'111'!$N$11),"x","")</f>
        <v/>
      </c>
      <c r="S368" s="66" t="str">
        <f>IF(AND($O368=$Q$7,$B368&lt;'111'!$N$11),"x","")</f>
        <v/>
      </c>
      <c r="T368" s="66" t="str">
        <f>IF(AND($B368&gt;='112'!$M$9,$B368&lt;='112'!$N$9,OR($N368='112'!$I$6,$O368='112'!$I$6)),"x","")</f>
        <v>x</v>
      </c>
      <c r="U368" s="66" t="str">
        <f>IF(AND($N368='112'!$I$6,$B368&lt;'112'!$M$9),"x","")</f>
        <v/>
      </c>
      <c r="V368" s="66" t="str">
        <f>IF(AND($O368='112'!$I$6,$B368&lt;'112'!$M$9),"x","")</f>
        <v/>
      </c>
      <c r="W368" s="66" t="str">
        <f>IF(AND('131-CT'!$H$9=TH!H377,OR(N368="131",O368="131")),"x","")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IF(OR(TH!N377=TH!$AB$7,O368=TH!$AB$7),"x","")</f>
        <v/>
      </c>
      <c r="AC368" s="66" t="str">
        <f>IF(AND(1&lt;=$B368,$B368&lt;=3),"1",IF(AND(4&lt;=$B368,$B368&lt;=6),"2",IF(AND(7&lt;=$B368,$B368&lt;=9),"3",IF(AND(10&lt;=$B368,$B368&lt;=12),"4",""))))</f>
        <v>2</v>
      </c>
      <c r="AD368" s="66" t="str">
        <f>IF(AND(MONTH(E368)&lt;='IN-NX'!$P$3,'IN-NX'!$D$7=D368,OR(LEFT(TH!N377,2)="15",LEFT(TH!O377,2)="15")),"x","")</f>
        <v/>
      </c>
      <c r="AE368" s="66" t="str">
        <f>IF(AND(OR(LEFT(TH!N377,2)="15",LEFT(TH!O377,2)="15"),'152-CT'!$J$8=TH!F377),"x","")</f>
        <v/>
      </c>
      <c r="AF368" s="66" t="str">
        <f>IF(AND(OR(LEFT(TH!N377,2)="15",LEFT(TH!O377,2)="15"),'THE KHO'!$E$7=TH!F377),"x","")</f>
        <v/>
      </c>
      <c r="AG368" s="66" t="str">
        <f>IF(AND(N368="1521",MONTH(C368)='BK NL'!$M$11),"x","")</f>
        <v/>
      </c>
    </row>
    <row r="369" spans="1:34" ht="15.75" customHeight="1">
      <c r="A369" s="398" t="str">
        <f>IF(B369&lt;&gt;"",IF(AND(B369&gt;=_TM1,B369&lt;=_TM2,OR(TH!N369="1111",TH!O369="1111")),TH!D369,""),"")</f>
        <v>C46</v>
      </c>
      <c r="B369" s="63">
        <f>IF(C369&lt;&gt;"",MONTH(C369),"")</f>
        <v>6</v>
      </c>
      <c r="C369" s="64">
        <f>E369</f>
        <v>42542</v>
      </c>
      <c r="D369" s="64" t="s">
        <v>854</v>
      </c>
      <c r="E369" s="64">
        <v>42542</v>
      </c>
      <c r="F369" s="67" t="s">
        <v>419</v>
      </c>
      <c r="G369" s="375" t="s">
        <v>810</v>
      </c>
      <c r="H369" s="74" t="s">
        <v>161</v>
      </c>
      <c r="I369" s="515"/>
      <c r="J369" s="515"/>
      <c r="K369" s="507"/>
      <c r="L369" s="515"/>
      <c r="M369" s="65">
        <v>70000000</v>
      </c>
      <c r="N369" s="66" t="s">
        <v>31</v>
      </c>
      <c r="O369" s="66" t="s">
        <v>98</v>
      </c>
      <c r="P369" s="66" t="str">
        <f>IF(AND('331-CT'!$E$7=TH!H378,OR(N369="331",O369="331")),"x","")</f>
        <v/>
      </c>
      <c r="Q369" s="66" t="str">
        <f>IF(AND($B369&gt;='111'!$N$11,$B369&lt;='111'!$O$11,OR($N369=$Q$7,$O369=$Q$7)),"x","")</f>
        <v>x</v>
      </c>
      <c r="R369" s="66" t="str">
        <f>IF(AND($N369=$Q$7,$B369&lt;'111'!$N$11),"x","")</f>
        <v/>
      </c>
      <c r="S369" s="66" t="str">
        <f>IF(AND($O369=$Q$7,$B369&lt;'111'!$N$11),"x","")</f>
        <v/>
      </c>
      <c r="T369" s="66" t="str">
        <f>IF(AND($B369&gt;='112'!$M$9,$B369&lt;='112'!$N$9,OR($N369='112'!$I$6,$O369='112'!$I$6)),"x","")</f>
        <v>x</v>
      </c>
      <c r="U369" s="66" t="str">
        <f>IF(AND($N369='112'!$I$6,$B369&lt;'112'!$M$9),"x","")</f>
        <v/>
      </c>
      <c r="V369" s="66" t="str">
        <f>IF(AND($O369='112'!$I$6,$B369&lt;'112'!$M$9),"x","")</f>
        <v/>
      </c>
      <c r="W369" s="66" t="str">
        <f>IF(AND('131-CT'!$H$9=TH!H378,OR(N369="131",O369="131")),"x","")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IF(OR(TH!N378=TH!$AB$7,O369=TH!$AB$7),"x","")</f>
        <v/>
      </c>
      <c r="AC369" s="66" t="str">
        <f>IF(AND(1&lt;=$B369,$B369&lt;=3),"1",IF(AND(4&lt;=$B369,$B369&lt;=6),"2",IF(AND(7&lt;=$B369,$B369&lt;=9),"3",IF(AND(10&lt;=$B369,$B369&lt;=12),"4",""))))</f>
        <v>2</v>
      </c>
      <c r="AD369" s="66" t="str">
        <f>IF(AND(MONTH(E369)&lt;='IN-NX'!$P$3,'IN-NX'!$D$7=D369,OR(LEFT(TH!N378,2)="15",LEFT(TH!O378,2)="15")),"x","")</f>
        <v/>
      </c>
      <c r="AE369" s="66" t="str">
        <f>IF(AND(OR(LEFT(TH!N378,2)="15",LEFT(TH!O378,2)="15"),'152-CT'!$J$8=TH!F378),"x","")</f>
        <v/>
      </c>
      <c r="AF369" s="66" t="str">
        <f>IF(AND(OR(LEFT(TH!N378,2)="15",LEFT(TH!O378,2)="15"),'THE KHO'!$E$7=TH!F378),"x","")</f>
        <v/>
      </c>
      <c r="AG369" s="66" t="str">
        <f>IF(AND(N369="1521",MONTH(C369)='BK NL'!$M$11),"x","")</f>
        <v/>
      </c>
    </row>
    <row r="370" spans="1:34" ht="15.75" customHeight="1">
      <c r="A370" s="398" t="str">
        <f>IF(B370&lt;&gt;"",IF(AND(B370&gt;=_TM1,B370&lt;=_TM2,OR(TH!N370="1111",TH!O370="1111")),TH!D370,""),"")</f>
        <v/>
      </c>
      <c r="B370" s="63">
        <f>IF(C370&lt;&gt;"",MONTH(C370),"")</f>
        <v>6</v>
      </c>
      <c r="C370" s="64">
        <f>E370</f>
        <v>42542</v>
      </c>
      <c r="D370" s="64" t="s">
        <v>8</v>
      </c>
      <c r="E370" s="64">
        <v>42542</v>
      </c>
      <c r="F370" s="67" t="s">
        <v>414</v>
      </c>
      <c r="G370" s="375" t="s">
        <v>810</v>
      </c>
      <c r="H370" s="74" t="s">
        <v>167</v>
      </c>
      <c r="I370" s="515"/>
      <c r="J370" s="515"/>
      <c r="K370" s="507"/>
      <c r="L370" s="515"/>
      <c r="M370" s="65">
        <v>8187032</v>
      </c>
      <c r="N370" s="66" t="s">
        <v>134</v>
      </c>
      <c r="O370" s="66" t="s">
        <v>31</v>
      </c>
      <c r="P370" s="66" t="str">
        <f>IF(AND('331-CT'!$E$7=TH!H381,OR(N370="331",O370="331")),"x","")</f>
        <v/>
      </c>
      <c r="Q370" s="66" t="str">
        <f>IF(AND($B370&gt;='111'!$N$11,$B370&lt;='111'!$O$11,OR($N370=$Q$7,$O370=$Q$7)),"x","")</f>
        <v/>
      </c>
      <c r="R370" s="66" t="str">
        <f>IF(AND($N370=$Q$7,$B370&lt;'111'!$N$11),"x","")</f>
        <v/>
      </c>
      <c r="S370" s="66" t="str">
        <f>IF(AND($O370=$Q$7,$B370&lt;'111'!$N$11),"x","")</f>
        <v/>
      </c>
      <c r="T370" s="66" t="str">
        <f>IF(AND($B370&gt;='112'!$M$9,$B370&lt;='112'!$N$9,OR($N370='112'!$I$6,$O370='112'!$I$6)),"x","")</f>
        <v>x</v>
      </c>
      <c r="U370" s="66" t="str">
        <f>IF(AND($N370='112'!$I$6,$B370&lt;'112'!$M$9),"x","")</f>
        <v/>
      </c>
      <c r="V370" s="66" t="str">
        <f>IF(AND($O370='112'!$I$6,$B370&lt;'112'!$M$9),"x","")</f>
        <v/>
      </c>
      <c r="W370" s="66" t="str">
        <f>IF(AND('131-CT'!$H$9=TH!H381,OR(N370="131",O370="131")),"x","")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IF(OR(TH!N381=TH!$AB$7,O370=TH!$AB$7),"x","")</f>
        <v/>
      </c>
      <c r="AC370" s="66" t="str">
        <f>IF(AND(1&lt;=$B370,$B370&lt;=3),"1",IF(AND(4&lt;=$B370,$B370&lt;=6),"2",IF(AND(7&lt;=$B370,$B370&lt;=9),"3",IF(AND(10&lt;=$B370,$B370&lt;=12),"4",""))))</f>
        <v>2</v>
      </c>
      <c r="AD370" s="66" t="str">
        <f>IF(AND(MONTH(E370)&lt;='IN-NX'!$P$3,'IN-NX'!$D$7=D370,OR(LEFT(TH!N381,2)="15",LEFT(TH!O381,2)="15")),"x","")</f>
        <v/>
      </c>
      <c r="AE370" s="66" t="str">
        <f>IF(AND(OR(LEFT(TH!N381,2)="15",LEFT(TH!O381,2)="15"),'152-CT'!$J$8=TH!F381),"x","")</f>
        <v/>
      </c>
      <c r="AF370" s="66" t="str">
        <f>IF(AND(OR(LEFT(TH!N381,2)="15",LEFT(TH!O381,2)="15"),'THE KHO'!$E$7=TH!F381),"x","")</f>
        <v/>
      </c>
      <c r="AG370" s="66" t="str">
        <f>IF(AND(N370="1521",MONTH(C370)='BK NL'!$M$11),"x","")</f>
        <v/>
      </c>
    </row>
    <row r="371" spans="1:34" ht="15.75" customHeight="1">
      <c r="A371" s="398" t="str">
        <f>IF(B371&lt;&gt;"",IF(AND(B371&gt;=_TM1,B371&lt;=_TM2,OR(TH!N371="1111",TH!O371="1111")),TH!D371,""),"")</f>
        <v/>
      </c>
      <c r="B371" s="63">
        <f>IF(C371&lt;&gt;"",MONTH(C371),"")</f>
        <v>6</v>
      </c>
      <c r="C371" s="64">
        <f>E371</f>
        <v>42542</v>
      </c>
      <c r="D371" s="64" t="s">
        <v>8</v>
      </c>
      <c r="E371" s="64">
        <v>42542</v>
      </c>
      <c r="F371" s="67" t="s">
        <v>414</v>
      </c>
      <c r="G371" s="375" t="s">
        <v>810</v>
      </c>
      <c r="H371" s="74" t="s">
        <v>168</v>
      </c>
      <c r="I371" s="515"/>
      <c r="J371" s="515"/>
      <c r="K371" s="507"/>
      <c r="L371" s="515"/>
      <c r="M371" s="65">
        <v>16374064</v>
      </c>
      <c r="N371" s="66" t="s">
        <v>134</v>
      </c>
      <c r="O371" s="66" t="s">
        <v>31</v>
      </c>
      <c r="P371" s="66" t="str">
        <f>IF(AND('331-CT'!$E$7=TH!H382,OR(N371="331",O371="331")),"x","")</f>
        <v/>
      </c>
      <c r="Q371" s="66" t="str">
        <f>IF(AND($B371&gt;='111'!$N$11,$B371&lt;='111'!$O$11,OR($N371=$Q$7,$O371=$Q$7)),"x","")</f>
        <v/>
      </c>
      <c r="R371" s="66" t="str">
        <f>IF(AND($N371=$Q$7,$B371&lt;'111'!$N$11),"x","")</f>
        <v/>
      </c>
      <c r="S371" s="66" t="str">
        <f>IF(AND($O371=$Q$7,$B371&lt;'111'!$N$11),"x","")</f>
        <v/>
      </c>
      <c r="T371" s="66" t="str">
        <f>IF(AND($B371&gt;='112'!$M$9,$B371&lt;='112'!$N$9,OR($N371='112'!$I$6,$O371='112'!$I$6)),"x","")</f>
        <v>x</v>
      </c>
      <c r="U371" s="66" t="str">
        <f>IF(AND($N371='112'!$I$6,$B371&lt;'112'!$M$9),"x","")</f>
        <v/>
      </c>
      <c r="V371" s="66" t="str">
        <f>IF(AND($O371='112'!$I$6,$B371&lt;'112'!$M$9),"x","")</f>
        <v/>
      </c>
      <c r="W371" s="66" t="str">
        <f>IF(AND('131-CT'!$H$9=TH!H382,OR(N371="131",O371="131")),"x","")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IF(OR(TH!N382=TH!$AB$7,O371=TH!$AB$7),"x","")</f>
        <v/>
      </c>
      <c r="AC371" s="66" t="str">
        <f>IF(AND(1&lt;=$B371,$B371&lt;=3),"1",IF(AND(4&lt;=$B371,$B371&lt;=6),"2",IF(AND(7&lt;=$B371,$B371&lt;=9),"3",IF(AND(10&lt;=$B371,$B371&lt;=12),"4",""))))</f>
        <v>2</v>
      </c>
      <c r="AD371" s="66" t="str">
        <f>IF(AND(MONTH(E371)&lt;='IN-NX'!$P$3,'IN-NX'!$D$7=D371,OR(LEFT(TH!N382,2)="15",LEFT(TH!O382,2)="15")),"x","")</f>
        <v/>
      </c>
      <c r="AE371" s="66" t="str">
        <f>IF(AND(OR(LEFT(TH!N382,2)="15",LEFT(TH!O382,2)="15"),'152-CT'!$J$8=TH!F382),"x","")</f>
        <v/>
      </c>
      <c r="AF371" s="66" t="str">
        <f>IF(AND(OR(LEFT(TH!N382,2)="15",LEFT(TH!O382,2)="15"),'THE KHO'!$E$7=TH!F382),"x","")</f>
        <v/>
      </c>
      <c r="AG371" s="66" t="str">
        <f>IF(AND(N371="1521",MONTH(C371)='BK NL'!$M$11),"x","")</f>
        <v/>
      </c>
    </row>
    <row r="372" spans="1:34" ht="15.75" customHeight="1">
      <c r="A372" s="398" t="str">
        <f>IF(B372&lt;&gt;"",IF(AND(B372&gt;=_TM1,B372&lt;=_TM2,OR(TH!N372="1111",TH!O372="1111")),TH!D372,""),"")</f>
        <v/>
      </c>
      <c r="B372" s="63">
        <f>IF(C372&lt;&gt;"",MONTH(C372),"")</f>
        <v>6</v>
      </c>
      <c r="C372" s="64">
        <f>E372</f>
        <v>42542</v>
      </c>
      <c r="D372" s="64" t="s">
        <v>8</v>
      </c>
      <c r="E372" s="64">
        <v>42542</v>
      </c>
      <c r="F372" s="67" t="s">
        <v>414</v>
      </c>
      <c r="G372" s="375" t="s">
        <v>810</v>
      </c>
      <c r="H372" s="75" t="s">
        <v>170</v>
      </c>
      <c r="I372" s="515"/>
      <c r="J372" s="515"/>
      <c r="K372" s="507"/>
      <c r="L372" s="515"/>
      <c r="M372" s="65">
        <v>13099251</v>
      </c>
      <c r="N372" s="66" t="s">
        <v>134</v>
      </c>
      <c r="O372" s="66" t="s">
        <v>31</v>
      </c>
      <c r="P372" s="66" t="str">
        <f>IF(AND('331-CT'!$E$7=TH!H383,OR(N372="331",O372="331")),"x","")</f>
        <v/>
      </c>
      <c r="Q372" s="66" t="str">
        <f>IF(AND($B372&gt;='111'!$N$11,$B372&lt;='111'!$O$11,OR($N372=$Q$7,$O372=$Q$7)),"x","")</f>
        <v/>
      </c>
      <c r="R372" s="66" t="str">
        <f>IF(AND($N372=$Q$7,$B372&lt;'111'!$N$11),"x","")</f>
        <v/>
      </c>
      <c r="S372" s="66" t="str">
        <f>IF(AND($O372=$Q$7,$B372&lt;'111'!$N$11),"x","")</f>
        <v/>
      </c>
      <c r="T372" s="66" t="str">
        <f>IF(AND($B372&gt;='112'!$M$9,$B372&lt;='112'!$N$9,OR($N372='112'!$I$6,$O372='112'!$I$6)),"x","")</f>
        <v>x</v>
      </c>
      <c r="U372" s="66" t="str">
        <f>IF(AND($N372='112'!$I$6,$B372&lt;'112'!$M$9),"x","")</f>
        <v/>
      </c>
      <c r="V372" s="66" t="str">
        <f>IF(AND($O372='112'!$I$6,$B372&lt;'112'!$M$9),"x","")</f>
        <v/>
      </c>
      <c r="W372" s="66" t="str">
        <f>IF(AND('131-CT'!$H$9=TH!H383,OR(N372="131",O372="131")),"x","")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IF(OR(TH!N383=TH!$AB$7,O372=TH!$AB$7),"x","")</f>
        <v/>
      </c>
      <c r="AC372" s="66" t="str">
        <f>IF(AND(1&lt;=$B372,$B372&lt;=3),"1",IF(AND(4&lt;=$B372,$B372&lt;=6),"2",IF(AND(7&lt;=$B372,$B372&lt;=9),"3",IF(AND(10&lt;=$B372,$B372&lt;=12),"4",""))))</f>
        <v>2</v>
      </c>
      <c r="AD372" s="66" t="str">
        <f>IF(AND(MONTH(E372)&lt;='IN-NX'!$P$3,'IN-NX'!$D$7=D372,OR(LEFT(TH!N383,2)="15",LEFT(TH!O383,2)="15")),"x","")</f>
        <v/>
      </c>
      <c r="AE372" s="66" t="str">
        <f>IF(AND(OR(LEFT(TH!N383,2)="15",LEFT(TH!O383,2)="15"),'152-CT'!$J$8=TH!F383),"x","")</f>
        <v/>
      </c>
      <c r="AF372" s="66" t="str">
        <f>IF(AND(OR(LEFT(TH!N383,2)="15",LEFT(TH!O383,2)="15"),'THE KHO'!$E$7=TH!F383),"x","")</f>
        <v/>
      </c>
      <c r="AG372" s="66" t="str">
        <f>IF(AND(N372="1521",MONTH(C372)='BK NL'!$M$11),"x","")</f>
        <v/>
      </c>
    </row>
    <row r="373" spans="1:34" ht="15.75" customHeight="1">
      <c r="A373" s="398" t="str">
        <f>IF(B373&lt;&gt;"",IF(AND(B373&gt;=_TM1,B373&lt;=_TM2,OR(TH!N373="1111",TH!O373="1111")),TH!D373,""),"")</f>
        <v/>
      </c>
      <c r="B373" s="63">
        <f>IF(C373&lt;&gt;"",MONTH(C373),"")</f>
        <v>6</v>
      </c>
      <c r="C373" s="64">
        <f>E373</f>
        <v>42542</v>
      </c>
      <c r="D373" s="64" t="s">
        <v>8</v>
      </c>
      <c r="E373" s="64">
        <v>42542</v>
      </c>
      <c r="F373" s="67" t="s">
        <v>414</v>
      </c>
      <c r="G373" s="375" t="s">
        <v>810</v>
      </c>
      <c r="H373" s="74" t="s">
        <v>169</v>
      </c>
      <c r="I373" s="515"/>
      <c r="J373" s="515"/>
      <c r="K373" s="507"/>
      <c r="L373" s="515"/>
      <c r="M373" s="65">
        <v>12280547</v>
      </c>
      <c r="N373" s="66" t="s">
        <v>134</v>
      </c>
      <c r="O373" s="66" t="s">
        <v>31</v>
      </c>
      <c r="P373" s="66" t="str">
        <f>IF(AND('331-CT'!$E$7=TH!H384,OR(N373="331",O373="331")),"x","")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IF(AND('131-CT'!$H$9=TH!H384,OR(N373="131",O373="131")),"x","")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IF(OR(TH!N384=TH!$AB$7,O373=TH!$AB$7),"x","")</f>
        <v/>
      </c>
      <c r="AC373" s="66" t="str">
        <f>IF(AND(1&lt;=$B373,$B373&lt;=3),"1",IF(AND(4&lt;=$B373,$B373&lt;=6),"2",IF(AND(7&lt;=$B373,$B373&lt;=9),"3",IF(AND(10&lt;=$B373,$B373&lt;=12),"4",""))))</f>
        <v>2</v>
      </c>
      <c r="AD373" s="66" t="str">
        <f>IF(AND(MONTH(E373)&lt;='IN-NX'!$P$3,'IN-NX'!$D$7=D373,OR(LEFT(TH!N384,2)="15",LEFT(TH!O384,2)="15")),"x","")</f>
        <v/>
      </c>
      <c r="AE373" s="66" t="str">
        <f>IF(AND(OR(LEFT(TH!N384,2)="15",LEFT(TH!O384,2)="15"),'152-CT'!$J$8=TH!F384),"x","")</f>
        <v/>
      </c>
      <c r="AF373" s="66" t="str">
        <f>IF(AND(OR(LEFT(TH!N384,2)="15",LEFT(TH!O384,2)="15"),'THE KHO'!$E$7=TH!F384),"x","")</f>
        <v/>
      </c>
      <c r="AG373" s="66" t="str">
        <f>IF(AND(N373="1521",MONTH(C373)='BK NL'!$M$11),"x","")</f>
        <v/>
      </c>
    </row>
    <row r="374" spans="1:34" ht="15.75" customHeight="1">
      <c r="A374" s="398" t="str">
        <f>IF(B374&lt;&gt;"",IF(AND(B374&gt;=_TM1,B374&lt;=_TM2,OR(TH!N374="1111",TH!O374="1111")),TH!D374,""),"")</f>
        <v/>
      </c>
      <c r="B374" s="63">
        <f>IF(C374&lt;&gt;"",MONTH(C374),"")</f>
        <v>6</v>
      </c>
      <c r="C374" s="64">
        <f>E374</f>
        <v>42542</v>
      </c>
      <c r="D374" s="64" t="s">
        <v>8</v>
      </c>
      <c r="E374" s="64">
        <v>42542</v>
      </c>
      <c r="F374" s="67" t="s">
        <v>414</v>
      </c>
      <c r="G374" s="375" t="s">
        <v>810</v>
      </c>
      <c r="H374" s="74" t="s">
        <v>171</v>
      </c>
      <c r="I374" s="515"/>
      <c r="J374" s="515"/>
      <c r="K374" s="507"/>
      <c r="L374" s="515"/>
      <c r="M374" s="65">
        <v>8187032</v>
      </c>
      <c r="N374" s="66" t="s">
        <v>134</v>
      </c>
      <c r="O374" s="66" t="s">
        <v>31</v>
      </c>
      <c r="P374" s="66" t="str">
        <f>IF(AND('331-CT'!$E$7=TH!H385,OR(N374="331",O374="331")),"x","")</f>
        <v/>
      </c>
      <c r="Q374" s="66" t="str">
        <f>IF(AND($B374&gt;='111'!$N$11,$B374&lt;='111'!$O$11,OR($N374=$Q$7,$O374=$Q$7)),"x","")</f>
        <v/>
      </c>
      <c r="R374" s="66" t="str">
        <f>IF(AND($N374=$Q$7,$B374&lt;'111'!$N$11),"x","")</f>
        <v/>
      </c>
      <c r="S374" s="66" t="str">
        <f>IF(AND($O374=$Q$7,$B374&lt;'111'!$N$11),"x","")</f>
        <v/>
      </c>
      <c r="T374" s="66" t="str">
        <f>IF(AND($B374&gt;='112'!$M$9,$B374&lt;='112'!$N$9,OR($N374='112'!$I$6,$O374='112'!$I$6)),"x","")</f>
        <v>x</v>
      </c>
      <c r="U374" s="66" t="str">
        <f>IF(AND($N374='112'!$I$6,$B374&lt;'112'!$M$9),"x","")</f>
        <v/>
      </c>
      <c r="V374" s="66" t="str">
        <f>IF(AND($O374='112'!$I$6,$B374&lt;'112'!$M$9),"x","")</f>
        <v/>
      </c>
      <c r="W374" s="66" t="str">
        <f>IF(AND('131-CT'!$H$9=TH!H385,OR(N374="131",O374="131")),"x","")</f>
        <v/>
      </c>
      <c r="X374" s="66" t="str">
        <f>IF(AND($B374&gt;='1331'!$I$9,$B374&lt;='1331'!$J$9,OR($N374=$X$7,$O374=$X$7)),"x","")</f>
        <v/>
      </c>
      <c r="Y374" s="66" t="str">
        <f>IF(AND($N374=$X$7,$B374&lt;'1331'!$I$9),"x","")</f>
        <v/>
      </c>
      <c r="Z374" s="66" t="str">
        <f>IF(AND($O374=$X$7,$B374&lt;'1331'!$I$9),"x","")</f>
        <v/>
      </c>
      <c r="AA374" s="66" t="str">
        <f>IF(AND('341-CT'!$H$9=H374,OR(LEFT(N374,3)=$AA$7,LEFT(O374,3)=$AA$7)),"x","")</f>
        <v/>
      </c>
      <c r="AB374" s="66" t="str">
        <f>IF(OR(TH!N385=TH!$AB$7,O374=TH!$AB$7),"x","")</f>
        <v>x</v>
      </c>
      <c r="AC374" s="66" t="str">
        <f>IF(AND(1&lt;=$B374,$B374&lt;=3),"1",IF(AND(4&lt;=$B374,$B374&lt;=6),"2",IF(AND(7&lt;=$B374,$B374&lt;=9),"3",IF(AND(10&lt;=$B374,$B374&lt;=12),"4",""))))</f>
        <v>2</v>
      </c>
      <c r="AD374" s="66" t="str">
        <f>IF(AND(MONTH(E374)&lt;='IN-NX'!$P$3,'IN-NX'!$D$7=D374,OR(LEFT(TH!N385,2)="15",LEFT(TH!O385,2)="15")),"x","")</f>
        <v/>
      </c>
      <c r="AE374" s="66" t="str">
        <f>IF(AND(OR(LEFT(TH!N385,2)="15",LEFT(TH!O385,2)="15"),'152-CT'!$J$8=TH!F385),"x","")</f>
        <v/>
      </c>
      <c r="AF374" s="66" t="str">
        <f>IF(AND(OR(LEFT(TH!N385,2)="15",LEFT(TH!O385,2)="15"),'THE KHO'!$E$7=TH!F385),"x","")</f>
        <v/>
      </c>
      <c r="AG374" s="66" t="str">
        <f>IF(AND(N374="1521",MONTH(C374)='BK NL'!$M$11),"x","")</f>
        <v/>
      </c>
    </row>
    <row r="375" spans="1:34" ht="15.75" customHeight="1">
      <c r="A375" s="398" t="str">
        <f>IF(B375&lt;&gt;"",IF(AND(B375&gt;=_TM1,B375&lt;=_TM2,OR(TH!N375="1111",TH!O375="1111")),TH!D375,""),"")</f>
        <v/>
      </c>
      <c r="B375" s="63">
        <f>IF(C375&lt;&gt;"",MONTH(C375),"")</f>
        <v>6</v>
      </c>
      <c r="C375" s="64">
        <f>E375</f>
        <v>42542</v>
      </c>
      <c r="D375" s="64" t="s">
        <v>8</v>
      </c>
      <c r="E375" s="64">
        <v>42542</v>
      </c>
      <c r="F375" s="67" t="s">
        <v>414</v>
      </c>
      <c r="G375" s="375" t="s">
        <v>810</v>
      </c>
      <c r="H375" s="74" t="s">
        <v>172</v>
      </c>
      <c r="I375" s="515"/>
      <c r="J375" s="515"/>
      <c r="K375" s="507"/>
      <c r="L375" s="515"/>
      <c r="M375" s="65">
        <v>12280547</v>
      </c>
      <c r="N375" s="66" t="s">
        <v>134</v>
      </c>
      <c r="O375" s="66" t="s">
        <v>31</v>
      </c>
      <c r="P375" s="66" t="str">
        <f>IF(AND('331-CT'!$E$7=TH!H386,OR(N375="331",O375="331")),"x","")</f>
        <v/>
      </c>
      <c r="Q375" s="66" t="str">
        <f>IF(AND($B375&gt;='111'!$N$11,$B375&lt;='111'!$O$11,OR($N375=$Q$7,$O375=$Q$7)),"x","")</f>
        <v/>
      </c>
      <c r="R375" s="66" t="str">
        <f>IF(AND($N375=$Q$7,$B375&lt;'111'!$N$11),"x","")</f>
        <v/>
      </c>
      <c r="S375" s="66" t="str">
        <f>IF(AND($O375=$Q$7,$B375&lt;'111'!$N$11),"x","")</f>
        <v/>
      </c>
      <c r="T375" s="66" t="str">
        <f>IF(AND($B375&gt;='112'!$M$9,$B375&lt;='112'!$N$9,OR($N375='112'!$I$6,$O375='112'!$I$6)),"x","")</f>
        <v>x</v>
      </c>
      <c r="U375" s="66" t="str">
        <f>IF(AND($N375='112'!$I$6,$B375&lt;'112'!$M$9),"x","")</f>
        <v/>
      </c>
      <c r="V375" s="66" t="str">
        <f>IF(AND($O375='112'!$I$6,$B375&lt;'112'!$M$9),"x","")</f>
        <v/>
      </c>
      <c r="W375" s="66" t="str">
        <f>IF(AND('131-CT'!$H$9=TH!H386,OR(N375="131",O375="131")),"x","")</f>
        <v/>
      </c>
      <c r="X375" s="66" t="str">
        <f>IF(AND($B375&gt;='1331'!$I$9,$B375&lt;='1331'!$J$9,OR($N375=$X$7,$O375=$X$7)),"x","")</f>
        <v/>
      </c>
      <c r="Y375" s="66" t="str">
        <f>IF(AND($N375=$X$7,$B375&lt;'1331'!$I$9),"x","")</f>
        <v/>
      </c>
      <c r="Z375" s="66" t="str">
        <f>IF(AND($O375=$X$7,$B375&lt;'1331'!$I$9),"x","")</f>
        <v/>
      </c>
      <c r="AA375" s="66" t="str">
        <f>IF(AND('341-CT'!$H$9=H375,OR(LEFT(N375,3)=$AA$7,LEFT(O375,3)=$AA$7)),"x","")</f>
        <v/>
      </c>
      <c r="AB375" s="66" t="str">
        <f>IF(OR(TH!N386=TH!$AB$7,O375=TH!$AB$7),"x","")</f>
        <v>x</v>
      </c>
      <c r="AC375" s="66" t="str">
        <f>IF(AND(1&lt;=$B375,$B375&lt;=3),"1",IF(AND(4&lt;=$B375,$B375&lt;=6),"2",IF(AND(7&lt;=$B375,$B375&lt;=9),"3",IF(AND(10&lt;=$B375,$B375&lt;=12),"4",""))))</f>
        <v>2</v>
      </c>
      <c r="AD375" s="66" t="str">
        <f>IF(AND(MONTH(E375)&lt;='IN-NX'!$P$3,'IN-NX'!$D$7=D375,OR(LEFT(TH!N386,2)="15",LEFT(TH!O386,2)="15")),"x","")</f>
        <v/>
      </c>
      <c r="AE375" s="66" t="str">
        <f>IF(AND(OR(LEFT(TH!N386,2)="15",LEFT(TH!O386,2)="15"),'152-CT'!$J$8=TH!F386),"x","")</f>
        <v/>
      </c>
      <c r="AF375" s="66" t="str">
        <f>IF(AND(OR(LEFT(TH!N386,2)="15",LEFT(TH!O386,2)="15"),'THE KHO'!$E$7=TH!F386),"x","")</f>
        <v/>
      </c>
      <c r="AG375" s="66" t="str">
        <f>IF(AND(N375="1521",MONTH(C375)='BK NL'!$M$11),"x","")</f>
        <v/>
      </c>
    </row>
    <row r="376" spans="1:34" ht="15.75" customHeight="1">
      <c r="A376" s="398" t="str">
        <f>IF(B376&lt;&gt;"",IF(AND(B376&gt;=_TM1,B376&lt;=_TM2,OR(TH!N376="1111",TH!O376="1111")),TH!D376,""),"")</f>
        <v/>
      </c>
      <c r="B376" s="63">
        <f>IF(C376&lt;&gt;"",MONTH(C376),"")</f>
        <v>6</v>
      </c>
      <c r="C376" s="64">
        <f>E376</f>
        <v>42542</v>
      </c>
      <c r="D376" s="64" t="s">
        <v>8</v>
      </c>
      <c r="E376" s="64">
        <v>42542</v>
      </c>
      <c r="F376" s="67" t="s">
        <v>414</v>
      </c>
      <c r="G376" s="375" t="s">
        <v>810</v>
      </c>
      <c r="H376" s="74" t="s">
        <v>173</v>
      </c>
      <c r="I376" s="515"/>
      <c r="J376" s="515"/>
      <c r="K376" s="507"/>
      <c r="L376" s="515"/>
      <c r="M376" s="65">
        <v>16374064</v>
      </c>
      <c r="N376" s="66" t="s">
        <v>134</v>
      </c>
      <c r="O376" s="66" t="s">
        <v>31</v>
      </c>
      <c r="P376" s="66" t="str">
        <f>IF(AND('331-CT'!$E$7=TH!H387,OR(N376="331",O376="331")),"x","")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IF(AND('131-CT'!$H$9=TH!H387,OR(N376="131",O376="131")),"x","")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IF(OR(TH!N387=TH!$AB$7,O376=TH!$AB$7),"x","")</f>
        <v/>
      </c>
      <c r="AC376" s="66" t="str">
        <f>IF(AND(1&lt;=$B376,$B376&lt;=3),"1",IF(AND(4&lt;=$B376,$B376&lt;=6),"2",IF(AND(7&lt;=$B376,$B376&lt;=9),"3",IF(AND(10&lt;=$B376,$B376&lt;=12),"4",""))))</f>
        <v>2</v>
      </c>
      <c r="AD376" s="66" t="str">
        <f>IF(AND(MONTH(E376)&lt;='IN-NX'!$P$3,'IN-NX'!$D$7=D376,OR(LEFT(TH!N387,2)="15",LEFT(TH!O387,2)="15")),"x","")</f>
        <v/>
      </c>
      <c r="AE376" s="66" t="str">
        <f>IF(AND(OR(LEFT(TH!N387,2)="15",LEFT(TH!O387,2)="15"),'152-CT'!$J$8=TH!F387),"x","")</f>
        <v/>
      </c>
      <c r="AF376" s="66" t="str">
        <f>IF(AND(OR(LEFT(TH!N387,2)="15",LEFT(TH!O387,2)="15"),'THE KHO'!$E$7=TH!F387),"x","")</f>
        <v/>
      </c>
      <c r="AG376" s="66" t="str">
        <f>IF(AND(N376="1521",MONTH(C376)='BK NL'!$M$11),"x","")</f>
        <v/>
      </c>
    </row>
    <row r="377" spans="1:34" ht="15.75" customHeight="1">
      <c r="A377" s="398" t="str">
        <f>IF(B377&lt;&gt;"",IF(AND(B377&gt;=_TM1,B377&lt;=_TM2,OR(TH!N377="1111",TH!O377="1111")),TH!D377,""),"")</f>
        <v/>
      </c>
      <c r="B377" s="63">
        <f>IF(C377&lt;&gt;"",MONTH(C377),"")</f>
        <v>6</v>
      </c>
      <c r="C377" s="64">
        <f>E377</f>
        <v>42542</v>
      </c>
      <c r="D377" s="64" t="s">
        <v>8</v>
      </c>
      <c r="E377" s="64">
        <v>42542</v>
      </c>
      <c r="F377" s="67" t="s">
        <v>414</v>
      </c>
      <c r="G377" s="375" t="s">
        <v>810</v>
      </c>
      <c r="H377" s="74" t="s">
        <v>174</v>
      </c>
      <c r="I377" s="515"/>
      <c r="J377" s="515"/>
      <c r="K377" s="507"/>
      <c r="L377" s="515"/>
      <c r="M377" s="65">
        <v>11461845</v>
      </c>
      <c r="N377" s="66" t="s">
        <v>134</v>
      </c>
      <c r="O377" s="66" t="s">
        <v>31</v>
      </c>
      <c r="P377" s="66" t="str">
        <f>IF(AND('331-CT'!$E$7=TH!H388,OR(N377="331",O377="331")),"x","")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IF(AND('131-CT'!$H$9=TH!H388,OR(N377="131",O377="131")),"x","")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IF(OR(TH!N388=TH!$AB$7,O377=TH!$AB$7),"x","")</f>
        <v/>
      </c>
      <c r="AC377" s="66" t="str">
        <f>IF(AND(1&lt;=$B377,$B377&lt;=3),"1",IF(AND(4&lt;=$B377,$B377&lt;=6),"2",IF(AND(7&lt;=$B377,$B377&lt;=9),"3",IF(AND(10&lt;=$B377,$B377&lt;=12),"4",""))))</f>
        <v>2</v>
      </c>
      <c r="AD377" s="66" t="str">
        <f>IF(AND(MONTH(E377)&lt;='IN-NX'!$P$3,'IN-NX'!$D$7=D377,OR(LEFT(TH!N388,2)="15",LEFT(TH!O388,2)="15")),"x","")</f>
        <v/>
      </c>
      <c r="AE377" s="66" t="str">
        <f>IF(AND(OR(LEFT(TH!N388,2)="15",LEFT(TH!O388,2)="15"),'152-CT'!$J$8=TH!F388),"x","")</f>
        <v/>
      </c>
      <c r="AF377" s="66" t="str">
        <f>IF(AND(OR(LEFT(TH!N388,2)="15",LEFT(TH!O388,2)="15"),'THE KHO'!$E$7=TH!F388),"x","")</f>
        <v/>
      </c>
      <c r="AG377" s="66" t="str">
        <f>IF(AND(N377="1521",MONTH(C377)='BK NL'!$M$11),"x","")</f>
        <v/>
      </c>
    </row>
    <row r="378" spans="1:34" ht="15.75" customHeight="1">
      <c r="A378" s="398" t="str">
        <f>IF(B378&lt;&gt;"",IF(AND(B378&gt;=_TM1,B378&lt;=_TM2,OR(TH!N378="1111",TH!O378="1111")),TH!D378,""),"")</f>
        <v/>
      </c>
      <c r="B378" s="63">
        <f>IF(C378&lt;&gt;"",MONTH(C378),"")</f>
        <v>6</v>
      </c>
      <c r="C378" s="64">
        <f>E378</f>
        <v>42542</v>
      </c>
      <c r="D378" s="64" t="s">
        <v>8</v>
      </c>
      <c r="E378" s="64">
        <v>42542</v>
      </c>
      <c r="F378" s="67" t="s">
        <v>414</v>
      </c>
      <c r="G378" s="375" t="s">
        <v>810</v>
      </c>
      <c r="H378" s="405" t="s">
        <v>175</v>
      </c>
      <c r="I378" s="515"/>
      <c r="J378" s="515"/>
      <c r="K378" s="507"/>
      <c r="L378" s="515"/>
      <c r="M378" s="65">
        <v>12280547</v>
      </c>
      <c r="N378" s="66" t="s">
        <v>134</v>
      </c>
      <c r="O378" s="66" t="s">
        <v>31</v>
      </c>
      <c r="P378" s="66" t="str">
        <f>IF(AND('331-CT'!$E$7=TH!H389,OR(N378="331",O378="331")),"x","")</f>
        <v/>
      </c>
      <c r="Q378" s="66" t="str">
        <f>IF(AND($B378&gt;='111'!$N$11,$B378&lt;='111'!$O$11,OR($N378=$Q$7,$O378=$Q$7)),"x","")</f>
        <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IF(AND('131-CT'!$H$9=TH!H389,OR(N378="131",O378="131")),"x","")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IF(OR(TH!N389=TH!$AB$7,O378=TH!$AB$7),"x","")</f>
        <v/>
      </c>
      <c r="AC378" s="66" t="str">
        <f>IF(AND(1&lt;=$B378,$B378&lt;=3),"1",IF(AND(4&lt;=$B378,$B378&lt;=6),"2",IF(AND(7&lt;=$B378,$B378&lt;=9),"3",IF(AND(10&lt;=$B378,$B378&lt;=12),"4",""))))</f>
        <v>2</v>
      </c>
      <c r="AD378" s="66" t="str">
        <f>IF(AND(MONTH(E378)&lt;='IN-NX'!$P$3,'IN-NX'!$D$7=D378,OR(LEFT(TH!N389,2)="15",LEFT(TH!O389,2)="15")),"x","")</f>
        <v/>
      </c>
      <c r="AE378" s="66" t="str">
        <f>IF(AND(OR(LEFT(TH!N389,2)="15",LEFT(TH!O389,2)="15"),'152-CT'!$J$8=TH!F389),"x","")</f>
        <v/>
      </c>
      <c r="AF378" s="66" t="str">
        <f>IF(AND(OR(LEFT(TH!N389,2)="15",LEFT(TH!O389,2)="15"),'THE KHO'!$E$7=TH!F389),"x","")</f>
        <v/>
      </c>
      <c r="AG378" s="66" t="str">
        <f>IF(AND(N378="1521",MONTH(C378)='BK NL'!$M$11),"x","")</f>
        <v/>
      </c>
    </row>
    <row r="379" spans="1:34" ht="15.75" customHeight="1">
      <c r="A379" s="398" t="str">
        <f>IF(B379&lt;&gt;"",IF(AND(B379&gt;=_TM1,B379&lt;=_TM2,OR(TH!N379="1111",TH!O379="1111")),TH!D379,""),"")</f>
        <v/>
      </c>
      <c r="B379" s="63">
        <f>IF(C379&lt;&gt;"",MONTH(C379),"")</f>
        <v>6</v>
      </c>
      <c r="C379" s="64">
        <f>E379</f>
        <v>42542</v>
      </c>
      <c r="D379" s="64" t="s">
        <v>8</v>
      </c>
      <c r="E379" s="64">
        <v>42542</v>
      </c>
      <c r="F379" s="67" t="s">
        <v>414</v>
      </c>
      <c r="G379" s="375" t="s">
        <v>810</v>
      </c>
      <c r="H379" s="74" t="s">
        <v>177</v>
      </c>
      <c r="I379" s="515"/>
      <c r="J379" s="515"/>
      <c r="K379" s="507"/>
      <c r="L379" s="515"/>
      <c r="M379" s="65">
        <v>12280547</v>
      </c>
      <c r="N379" s="66" t="s">
        <v>134</v>
      </c>
      <c r="O379" s="66" t="s">
        <v>31</v>
      </c>
      <c r="P379" s="66" t="str">
        <f>IF(AND('331-CT'!$E$7=TH!H390,OR(N379="331",O379="331")),"x","")</f>
        <v/>
      </c>
      <c r="Q379" s="66" t="str">
        <f>IF(AND($B379&gt;='111'!$N$11,$B379&lt;='111'!$O$11,OR($N379=$Q$7,$O379=$Q$7)),"x","")</f>
        <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IF(AND('131-CT'!$H$9=TH!H390,OR(N379="131",O379="131")),"x","")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IF(OR(TH!N390=TH!$AB$7,O379=TH!$AB$7),"x","")</f>
        <v>x</v>
      </c>
      <c r="AC379" s="66" t="str">
        <f>IF(AND(1&lt;=$B379,$B379&lt;=3),"1",IF(AND(4&lt;=$B379,$B379&lt;=6),"2",IF(AND(7&lt;=$B379,$B379&lt;=9),"3",IF(AND(10&lt;=$B379,$B379&lt;=12),"4",""))))</f>
        <v>2</v>
      </c>
      <c r="AD379" s="66" t="str">
        <f>IF(AND(MONTH(E379)&lt;='IN-NX'!$P$3,'IN-NX'!$D$7=D379,OR(LEFT(TH!N390,2)="15",LEFT(TH!O390,2)="15")),"x","")</f>
        <v/>
      </c>
      <c r="AE379" s="66" t="str">
        <f>IF(AND(OR(LEFT(TH!N390,2)="15",LEFT(TH!O390,2)="15"),'152-CT'!$J$8=TH!F390),"x","")</f>
        <v/>
      </c>
      <c r="AF379" s="66" t="str">
        <f>IF(AND(OR(LEFT(TH!N390,2)="15",LEFT(TH!O390,2)="15"),'THE KHO'!$E$7=TH!F390),"x","")</f>
        <v/>
      </c>
      <c r="AG379" s="66" t="str">
        <f>IF(AND(N379="1521",MONTH(C379)='BK NL'!$M$11),"x","")</f>
        <v/>
      </c>
    </row>
    <row r="380" spans="1:34" ht="15.75" customHeight="1">
      <c r="A380" s="398" t="str">
        <f>IF(B380&lt;&gt;"",IF(AND(B380&gt;=_TM1,B380&lt;=_TM2,OR(TH!N380="1111",TH!O380="1111")),TH!D380,""),"")</f>
        <v/>
      </c>
      <c r="B380" s="154">
        <f>IF(C380&lt;&gt;"",MONTH(C380),"")</f>
        <v>6</v>
      </c>
      <c r="C380" s="64">
        <f>E380</f>
        <v>42542</v>
      </c>
      <c r="D380" s="64" t="s">
        <v>8</v>
      </c>
      <c r="E380" s="64">
        <v>42542</v>
      </c>
      <c r="F380" s="67" t="s">
        <v>414</v>
      </c>
      <c r="G380" s="375" t="s">
        <v>810</v>
      </c>
      <c r="H380" s="405" t="s">
        <v>180</v>
      </c>
      <c r="I380" s="519"/>
      <c r="J380" s="519"/>
      <c r="K380" s="511"/>
      <c r="L380" s="519"/>
      <c r="M380" s="65">
        <v>12280547</v>
      </c>
      <c r="N380" s="66" t="s">
        <v>134</v>
      </c>
      <c r="O380" s="66" t="s">
        <v>31</v>
      </c>
      <c r="P380" s="66" t="str">
        <f>IF(AND('331-CT'!$E$7=TH!H391,OR(N380="331",O380="331")),"x","")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IF(AND('131-CT'!$H$9=TH!H391,OR(N380="131",O380="131")),"x","")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IF(OR(TH!N391=TH!$AB$7,O380=TH!$AB$7),"x","")</f>
        <v/>
      </c>
      <c r="AC380" s="66" t="str">
        <f>IF(AND(1&lt;=$B380,$B380&lt;=3),"1",IF(AND(4&lt;=$B380,$B380&lt;=6),"2",IF(AND(7&lt;=$B380,$B380&lt;=9),"3",IF(AND(10&lt;=$B380,$B380&lt;=12),"4",""))))</f>
        <v>2</v>
      </c>
      <c r="AD380" s="66" t="str">
        <f>IF(AND(MONTH(E380)&lt;='IN-NX'!$P$3,'IN-NX'!$D$7=D380,OR(LEFT(TH!N391,2)="15",LEFT(TH!O391,2)="15")),"x","")</f>
        <v/>
      </c>
      <c r="AE380" s="66" t="str">
        <f>IF(AND(OR(LEFT(TH!N391,2)="15",LEFT(TH!O391,2)="15"),'152-CT'!$J$8=TH!F391),"x","")</f>
        <v/>
      </c>
      <c r="AF380" s="66" t="str">
        <f>IF(AND(OR(LEFT(TH!N391,2)="15",LEFT(TH!O391,2)="15"),'THE KHO'!$E$7=TH!F391),"x","")</f>
        <v/>
      </c>
      <c r="AG380" s="66" t="str">
        <f>IF(AND(N380="1521",MONTH(C380)='BK NL'!$M$11),"x","")</f>
        <v/>
      </c>
      <c r="AH380" s="408"/>
    </row>
    <row r="381" spans="1:34" ht="15.75" customHeight="1">
      <c r="A381" s="398" t="str">
        <f>IF(B381&lt;&gt;"",IF(AND(B381&gt;=_TM1,B381&lt;=_TM2,OR(TH!N381="1111",TH!O381="1111")),TH!D381,""),"")</f>
        <v/>
      </c>
      <c r="B381" s="63">
        <f>IF(C381&lt;&gt;"",MONTH(C381),"")</f>
        <v>6</v>
      </c>
      <c r="C381" s="64">
        <f>E381</f>
        <v>42542</v>
      </c>
      <c r="D381" s="64" t="s">
        <v>8</v>
      </c>
      <c r="E381" s="64">
        <v>42542</v>
      </c>
      <c r="F381" s="67" t="s">
        <v>414</v>
      </c>
      <c r="G381" s="375" t="s">
        <v>810</v>
      </c>
      <c r="H381" s="74" t="s">
        <v>181</v>
      </c>
      <c r="I381" s="515"/>
      <c r="J381" s="515"/>
      <c r="K381" s="507"/>
      <c r="L381" s="515"/>
      <c r="M381" s="65">
        <v>8187032</v>
      </c>
      <c r="N381" s="66" t="s">
        <v>134</v>
      </c>
      <c r="O381" s="66" t="s">
        <v>31</v>
      </c>
      <c r="P381" s="66" t="str">
        <f>IF(AND('331-CT'!$E$7=TH!H392,OR(N381="331",O381="331")),"x","")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IF(AND('131-CT'!$H$9=TH!H392,OR(N381="131",O381="131")),"x","")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IF(OR(TH!N392=TH!$AB$7,O381=TH!$AB$7),"x","")</f>
        <v/>
      </c>
      <c r="AC381" s="66" t="str">
        <f>IF(AND(1&lt;=$B381,$B381&lt;=3),"1",IF(AND(4&lt;=$B381,$B381&lt;=6),"2",IF(AND(7&lt;=$B381,$B381&lt;=9),"3",IF(AND(10&lt;=$B381,$B381&lt;=12),"4",""))))</f>
        <v>2</v>
      </c>
      <c r="AD381" s="66" t="str">
        <f>IF(AND(MONTH(E381)&lt;='IN-NX'!$P$3,'IN-NX'!$D$7=D381,OR(LEFT(TH!N392,2)="15",LEFT(TH!O392,2)="15")),"x","")</f>
        <v/>
      </c>
      <c r="AE381" s="66" t="str">
        <f>IF(AND(OR(LEFT(TH!N392,2)="15",LEFT(TH!O392,2)="15"),'152-CT'!$J$8=TH!F392),"x","")</f>
        <v/>
      </c>
      <c r="AF381" s="66" t="str">
        <f>IF(AND(OR(LEFT(TH!N392,2)="15",LEFT(TH!O392,2)="15"),'THE KHO'!$E$7=TH!F392),"x","")</f>
        <v/>
      </c>
      <c r="AG381" s="66" t="str">
        <f>IF(AND(N381="1521",MONTH(C381)='BK NL'!$M$11),"x","")</f>
        <v/>
      </c>
    </row>
    <row r="382" spans="1:34" ht="15.75" customHeight="1">
      <c r="A382" s="398" t="str">
        <f>IF(B382&lt;&gt;"",IF(AND(B382&gt;=_TM1,B382&lt;=_TM2,OR(TH!N382="1111",TH!O382="1111")),TH!D382,""),"")</f>
        <v/>
      </c>
      <c r="B382" s="63">
        <f>IF(C382&lt;&gt;"",MONTH(C382),"")</f>
        <v>6</v>
      </c>
      <c r="C382" s="64">
        <f>E382</f>
        <v>42542</v>
      </c>
      <c r="D382" s="64" t="s">
        <v>8</v>
      </c>
      <c r="E382" s="64">
        <v>42542</v>
      </c>
      <c r="F382" s="67" t="s">
        <v>414</v>
      </c>
      <c r="G382" s="375" t="s">
        <v>810</v>
      </c>
      <c r="H382" s="74" t="s">
        <v>185</v>
      </c>
      <c r="I382" s="515"/>
      <c r="J382" s="515"/>
      <c r="K382" s="507"/>
      <c r="L382" s="515"/>
      <c r="M382" s="65">
        <v>8187032</v>
      </c>
      <c r="N382" s="66" t="s">
        <v>134</v>
      </c>
      <c r="O382" s="66" t="s">
        <v>31</v>
      </c>
      <c r="P382" s="66" t="str">
        <f>IF(AND('331-CT'!$E$7=TH!H393,OR(N382="331",O382="331")),"x","")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IF(AND('131-CT'!$H$9=TH!H393,OR(N382="131",O382="131")),"x","")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IF(OR(TH!N393=TH!$AB$7,O382=TH!$AB$7),"x","")</f>
        <v/>
      </c>
      <c r="AC382" s="66" t="str">
        <f>IF(AND(1&lt;=$B382,$B382&lt;=3),"1",IF(AND(4&lt;=$B382,$B382&lt;=6),"2",IF(AND(7&lt;=$B382,$B382&lt;=9),"3",IF(AND(10&lt;=$B382,$B382&lt;=12),"4",""))))</f>
        <v>2</v>
      </c>
      <c r="AD382" s="66" t="str">
        <f>IF(AND(MONTH(E382)&lt;='IN-NX'!$P$3,'IN-NX'!$D$7=D382,OR(LEFT(TH!N393,2)="15",LEFT(TH!O393,2)="15")),"x","")</f>
        <v/>
      </c>
      <c r="AE382" s="66" t="str">
        <f>IF(AND(OR(LEFT(TH!N393,2)="15",LEFT(TH!O393,2)="15"),'152-CT'!$J$8=TH!F393),"x","")</f>
        <v/>
      </c>
      <c r="AF382" s="66" t="str">
        <f>IF(AND(OR(LEFT(TH!N393,2)="15",LEFT(TH!O393,2)="15"),'THE KHO'!$E$7=TH!F393),"x","")</f>
        <v/>
      </c>
      <c r="AG382" s="66" t="str">
        <f>IF(AND(N382="1521",MONTH(C382)='BK NL'!$M$11),"x","")</f>
        <v/>
      </c>
    </row>
    <row r="383" spans="1:34" ht="15.75" customHeight="1">
      <c r="A383" s="398" t="str">
        <f>IF(B383&lt;&gt;"",IF(AND(B383&gt;=_TM1,B383&lt;=_TM2,OR(TH!N383="1111",TH!O383="1111")),TH!D383,""),"")</f>
        <v/>
      </c>
      <c r="B383" s="63">
        <f>IF(C383&lt;&gt;"",MONTH(C383),"")</f>
        <v>6</v>
      </c>
      <c r="C383" s="64">
        <f>E383</f>
        <v>42543</v>
      </c>
      <c r="D383" s="64" t="s">
        <v>12</v>
      </c>
      <c r="E383" s="64">
        <v>42543</v>
      </c>
      <c r="F383" s="67" t="s">
        <v>977</v>
      </c>
      <c r="G383" s="375" t="s">
        <v>810</v>
      </c>
      <c r="H383" s="406" t="s">
        <v>978</v>
      </c>
      <c r="I383" s="518"/>
      <c r="J383" s="518"/>
      <c r="K383" s="510">
        <v>88000</v>
      </c>
      <c r="L383" s="518">
        <v>22290</v>
      </c>
      <c r="M383" s="65">
        <f>ROUND(K383*L383,0)</f>
        <v>1961520000</v>
      </c>
      <c r="N383" s="66" t="s">
        <v>31</v>
      </c>
      <c r="O383" s="66" t="s">
        <v>122</v>
      </c>
      <c r="P383" s="66" t="str">
        <f>IF(AND('331-CT'!$E$7=TH!H379,OR(N383="331",O383="331")),"x","")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IF(AND('131-CT'!$H$9=TH!H379,OR(N383="131",O383="131")),"x","")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IF(OR(TH!N379=TH!$AB$7,O383=TH!$AB$7),"x","")</f>
        <v/>
      </c>
      <c r="AC383" s="66" t="str">
        <f>IF(AND(1&lt;=$B383,$B383&lt;=3),"1",IF(AND(4&lt;=$B383,$B383&lt;=6),"2",IF(AND(7&lt;=$B383,$B383&lt;=9),"3",IF(AND(10&lt;=$B383,$B383&lt;=12),"4",""))))</f>
        <v>2</v>
      </c>
      <c r="AD383" s="66" t="str">
        <f>IF(AND(MONTH(E383)&lt;='IN-NX'!$P$3,'IN-NX'!$D$7=D383,OR(LEFT(TH!N379,2)="15",LEFT(TH!O379,2)="15")),"x","")</f>
        <v/>
      </c>
      <c r="AE383" s="66" t="str">
        <f>IF(AND(OR(LEFT(TH!N379,2)="15",LEFT(TH!O379,2)="15"),'152-CT'!$J$8=TH!F379),"x","")</f>
        <v/>
      </c>
      <c r="AF383" s="66" t="str">
        <f>IF(AND(OR(LEFT(TH!N379,2)="15",LEFT(TH!O379,2)="15"),'THE KHO'!$E$7=TH!F379),"x","")</f>
        <v/>
      </c>
      <c r="AG383" s="66" t="str">
        <f>IF(AND(N383="1521",MONTH(C383)='BK NL'!$M$11),"x","")</f>
        <v/>
      </c>
    </row>
    <row r="384" spans="1:34" ht="15.75" customHeight="1">
      <c r="A384" s="398" t="str">
        <f>IF(B384&lt;&gt;"",IF(AND(B384&gt;=_TM1,B384&lt;=_TM2,OR(TH!N384="1111",TH!O384="1111")),TH!D384,""),"")</f>
        <v/>
      </c>
      <c r="B384" s="81">
        <f>IF(C384&lt;&gt;"",MONTH(C384),"")</f>
        <v>6</v>
      </c>
      <c r="C384" s="64">
        <f>E384</f>
        <v>42543</v>
      </c>
      <c r="D384" s="64" t="s">
        <v>8</v>
      </c>
      <c r="E384" s="64">
        <v>42543</v>
      </c>
      <c r="F384" s="67" t="s">
        <v>414</v>
      </c>
      <c r="G384" s="375" t="s">
        <v>810</v>
      </c>
      <c r="H384" s="74" t="s">
        <v>176</v>
      </c>
      <c r="I384" s="513"/>
      <c r="J384" s="513"/>
      <c r="K384" s="505"/>
      <c r="L384" s="513"/>
      <c r="M384" s="65">
        <v>12280547</v>
      </c>
      <c r="N384" s="66" t="s">
        <v>134</v>
      </c>
      <c r="O384" s="66" t="s">
        <v>31</v>
      </c>
      <c r="P384" s="66" t="str">
        <f>IF(AND('331-CT'!$E$7=TH!H394,OR(N384="331",O384="331")),"x","")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IF(AND('131-CT'!$H$9=TH!H394,OR(N384="131",O384="131")),"x","")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IF(OR(TH!N394=TH!$AB$7,O384=TH!$AB$7),"x","")</f>
        <v/>
      </c>
      <c r="AC384" s="66" t="str">
        <f>IF(AND(1&lt;=$B384,$B384&lt;=3),"1",IF(AND(4&lt;=$B384,$B384&lt;=6),"2",IF(AND(7&lt;=$B384,$B384&lt;=9),"3",IF(AND(10&lt;=$B384,$B384&lt;=12),"4",""))))</f>
        <v>2</v>
      </c>
      <c r="AD384" s="66" t="str">
        <f>IF(AND(MONTH(E384)&lt;='IN-NX'!$P$3,'IN-NX'!$D$7=D384,OR(LEFT(TH!N394,2)="15",LEFT(TH!O394,2)="15")),"x","")</f>
        <v/>
      </c>
      <c r="AE384" s="66" t="str">
        <f>IF(AND(OR(LEFT(TH!N394,2)="15",LEFT(TH!O394,2)="15"),'152-CT'!$J$8=TH!F394),"x","")</f>
        <v/>
      </c>
      <c r="AF384" s="66" t="str">
        <f>IF(AND(OR(LEFT(TH!N394,2)="15",LEFT(TH!O394,2)="15"),'THE KHO'!$E$7=TH!F394),"x","")</f>
        <v/>
      </c>
      <c r="AG384" s="66" t="str">
        <f>IF(AND(N384="1521",MONTH(C384)='BK NL'!$M$11),"x","")</f>
        <v/>
      </c>
      <c r="AH384" s="407"/>
    </row>
    <row r="385" spans="1:34" ht="15.75" customHeight="1">
      <c r="A385" s="398" t="str">
        <f>IF(B385&lt;&gt;"",IF(AND(B385&gt;=_TM1,B385&lt;=_TM2,OR(TH!N385="1111",TH!O385="1111")),TH!D385,""),"")</f>
        <v/>
      </c>
      <c r="B385" s="63">
        <f>IF(C385&lt;&gt;"",MONTH(C385),"")</f>
        <v>6</v>
      </c>
      <c r="C385" s="64">
        <f>E385</f>
        <v>42543</v>
      </c>
      <c r="D385" s="64" t="s">
        <v>8</v>
      </c>
      <c r="E385" s="64">
        <v>42543</v>
      </c>
      <c r="F385" s="67" t="s">
        <v>980</v>
      </c>
      <c r="G385" s="375" t="s">
        <v>810</v>
      </c>
      <c r="H385" s="74" t="s">
        <v>439</v>
      </c>
      <c r="I385" s="515"/>
      <c r="J385" s="515"/>
      <c r="K385" s="507"/>
      <c r="L385" s="515"/>
      <c r="M385" s="65">
        <v>8000000</v>
      </c>
      <c r="N385" s="66" t="s">
        <v>107</v>
      </c>
      <c r="O385" s="66" t="s">
        <v>31</v>
      </c>
      <c r="P385" s="66" t="str">
        <f>IF(AND('331-CT'!$E$7=TH!H395,OR(N385="331",O385="331")),"x","")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IF(AND('131-CT'!$H$9=TH!H395,OR(N385="131",O385="131")),"x","")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IF(OR(TH!N395=TH!$AB$7,O385=TH!$AB$7),"x","")</f>
        <v/>
      </c>
      <c r="AC385" s="66" t="str">
        <f>IF(AND(1&lt;=$B385,$B385&lt;=3),"1",IF(AND(4&lt;=$B385,$B385&lt;=6),"2",IF(AND(7&lt;=$B385,$B385&lt;=9),"3",IF(AND(10&lt;=$B385,$B385&lt;=12),"4",""))))</f>
        <v>2</v>
      </c>
      <c r="AD385" s="66" t="str">
        <f>IF(AND(MONTH(E385)&lt;='IN-NX'!$P$3,'IN-NX'!$D$7=D385,OR(LEFT(TH!N395,2)="15",LEFT(TH!O395,2)="15")),"x","")</f>
        <v/>
      </c>
      <c r="AE385" s="66" t="str">
        <f>IF(AND(OR(LEFT(TH!N395,2)="15",LEFT(TH!O395,2)="15"),'152-CT'!$J$8=TH!F395),"x","")</f>
        <v/>
      </c>
      <c r="AF385" s="66" t="str">
        <f>IF(AND(OR(LEFT(TH!N395,2)="15",LEFT(TH!O395,2)="15"),'THE KHO'!$E$7=TH!F395),"x","")</f>
        <v/>
      </c>
      <c r="AG385" s="66" t="str">
        <f>IF(AND(N385="1521",MONTH(C385)='BK NL'!$M$11),"x","")</f>
        <v/>
      </c>
    </row>
    <row r="386" spans="1:34" ht="15.75" customHeight="1">
      <c r="A386" s="398" t="str">
        <f>IF(B386&lt;&gt;"",IF(AND(B386&gt;=_TM1,B386&lt;=_TM2,OR(TH!N386="1111",TH!O386="1111")),TH!D386,""),"")</f>
        <v/>
      </c>
      <c r="B386" s="63">
        <f>IF(C386&lt;&gt;"",MONTH(C386),"")</f>
        <v>6</v>
      </c>
      <c r="C386" s="64">
        <f>E386</f>
        <v>42543</v>
      </c>
      <c r="D386" s="64" t="s">
        <v>8</v>
      </c>
      <c r="E386" s="64">
        <v>42543</v>
      </c>
      <c r="F386" s="67" t="s">
        <v>981</v>
      </c>
      <c r="G386" s="375" t="s">
        <v>810</v>
      </c>
      <c r="H386" s="74" t="s">
        <v>439</v>
      </c>
      <c r="I386" s="515"/>
      <c r="J386" s="515"/>
      <c r="K386" s="507"/>
      <c r="L386" s="515"/>
      <c r="M386" s="65">
        <v>7000000</v>
      </c>
      <c r="N386" s="66" t="s">
        <v>107</v>
      </c>
      <c r="O386" s="66" t="s">
        <v>31</v>
      </c>
      <c r="P386" s="66" t="str">
        <f>IF(AND('331-CT'!$E$7=TH!H396,OR(N386="331",O386="331")),"x","")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IF(AND('131-CT'!$H$9=TH!H396,OR(N386="131",O386="131")),"x","")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IF(OR(TH!N396=TH!$AB$7,O386=TH!$AB$7),"x","")</f>
        <v/>
      </c>
      <c r="AC386" s="66" t="str">
        <f>IF(AND(1&lt;=$B386,$B386&lt;=3),"1",IF(AND(4&lt;=$B386,$B386&lt;=6),"2",IF(AND(7&lt;=$B386,$B386&lt;=9),"3",IF(AND(10&lt;=$B386,$B386&lt;=12),"4",""))))</f>
        <v>2</v>
      </c>
      <c r="AD386" s="66" t="str">
        <f>IF(AND(MONTH(E386)&lt;='IN-NX'!$P$3,'IN-NX'!$D$7=D386,OR(LEFT(TH!N396,2)="15",LEFT(TH!O396,2)="15")),"x","")</f>
        <v/>
      </c>
      <c r="AE386" s="66" t="str">
        <f>IF(AND(OR(LEFT(TH!N396,2)="15",LEFT(TH!O396,2)="15"),'152-CT'!$J$8=TH!F396),"x","")</f>
        <v/>
      </c>
      <c r="AF386" s="66" t="str">
        <f>IF(AND(OR(LEFT(TH!N396,2)="15",LEFT(TH!O396,2)="15"),'THE KHO'!$E$7=TH!F396),"x","")</f>
        <v/>
      </c>
      <c r="AG386" s="66" t="str">
        <f>IF(AND(N386="1521",MONTH(C386)='BK NL'!$M$11),"x","")</f>
        <v/>
      </c>
    </row>
    <row r="387" spans="1:34" ht="15.75" customHeight="1">
      <c r="A387" s="398" t="str">
        <f>IF(B387&lt;&gt;"",IF(AND(B387&gt;=_TM1,B387&lt;=_TM2,OR(TH!N387="1111",TH!O387="1111")),TH!D387,""),"")</f>
        <v/>
      </c>
      <c r="B387" s="63">
        <f>IF(C387&lt;&gt;"",MONTH(C387),"")</f>
        <v>6</v>
      </c>
      <c r="C387" s="64">
        <f>E387</f>
        <v>42543</v>
      </c>
      <c r="D387" s="64" t="s">
        <v>8</v>
      </c>
      <c r="E387" s="64">
        <v>42543</v>
      </c>
      <c r="F387" s="67" t="s">
        <v>802</v>
      </c>
      <c r="G387" s="375" t="s">
        <v>810</v>
      </c>
      <c r="H387" s="74"/>
      <c r="I387" s="515"/>
      <c r="J387" s="515"/>
      <c r="K387" s="507"/>
      <c r="L387" s="515"/>
      <c r="M387" s="65">
        <v>20000</v>
      </c>
      <c r="N387" s="66" t="s">
        <v>136</v>
      </c>
      <c r="O387" s="66" t="s">
        <v>31</v>
      </c>
      <c r="P387" s="66" t="str">
        <f>IF(AND('331-CT'!$E$7=TH!H397,OR(N387="331",O387="331")),"x","")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IF(AND('131-CT'!$H$9=TH!H397,OR(N387="131",O387="131")),"x","")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IF(OR(TH!N397=TH!$AB$7,O387=TH!$AB$7),"x","")</f>
        <v/>
      </c>
      <c r="AC387" s="66" t="str">
        <f>IF(AND(1&lt;=$B387,$B387&lt;=3),"1",IF(AND(4&lt;=$B387,$B387&lt;=6),"2",IF(AND(7&lt;=$B387,$B387&lt;=9),"3",IF(AND(10&lt;=$B387,$B387&lt;=12),"4",""))))</f>
        <v>2</v>
      </c>
      <c r="AD387" s="66" t="str">
        <f>IF(AND(MONTH(E387)&lt;='IN-NX'!$P$3,'IN-NX'!$D$7=D387,OR(LEFT(TH!N397,2)="15",LEFT(TH!O397,2)="15")),"x","")</f>
        <v/>
      </c>
      <c r="AE387" s="66" t="str">
        <f>IF(AND(OR(LEFT(TH!N397,2)="15",LEFT(TH!O397,2)="15"),'152-CT'!$J$8=TH!F397),"x","")</f>
        <v/>
      </c>
      <c r="AF387" s="66" t="str">
        <f>IF(AND(OR(LEFT(TH!N397,2)="15",LEFT(TH!O397,2)="15"),'THE KHO'!$E$7=TH!F397),"x","")</f>
        <v/>
      </c>
      <c r="AG387" s="66" t="str">
        <f>IF(AND(N387="1521",MONTH(C387)='BK NL'!$M$11),"x","")</f>
        <v/>
      </c>
    </row>
    <row r="388" spans="1:34" ht="15.75" customHeight="1">
      <c r="A388" s="398" t="str">
        <f>IF(B388&lt;&gt;"",IF(AND(B388&gt;=_TM1,B388&lt;=_TM2,OR(TH!N388="1111",TH!O388="1111")),TH!D388,""),"")</f>
        <v/>
      </c>
      <c r="B388" s="63">
        <f>IF(C388&lt;&gt;"",MONTH(C388),"")</f>
        <v>6</v>
      </c>
      <c r="C388" s="64">
        <f>E388</f>
        <v>42543</v>
      </c>
      <c r="D388" s="64" t="s">
        <v>8</v>
      </c>
      <c r="E388" s="64">
        <v>42543</v>
      </c>
      <c r="F388" s="67" t="s">
        <v>803</v>
      </c>
      <c r="G388" s="375" t="s">
        <v>810</v>
      </c>
      <c r="H388" s="74"/>
      <c r="I388" s="515"/>
      <c r="J388" s="515"/>
      <c r="K388" s="507"/>
      <c r="L388" s="515"/>
      <c r="M388" s="65">
        <v>2000</v>
      </c>
      <c r="N388" s="66" t="s">
        <v>10</v>
      </c>
      <c r="O388" s="66" t="s">
        <v>31</v>
      </c>
      <c r="P388" s="66" t="str">
        <f>IF(AND('331-CT'!$E$7=TH!H398,OR(N388="331",O388="331")),"x","")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IF(AND('131-CT'!$H$9=TH!H398,OR(N388="131",O388="131")),"x","")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IF(OR(TH!N398=TH!$AB$7,O388=TH!$AB$7),"x","")</f>
        <v/>
      </c>
      <c r="AC388" s="66" t="str">
        <f>IF(AND(1&lt;=$B388,$B388&lt;=3),"1",IF(AND(4&lt;=$B388,$B388&lt;=6),"2",IF(AND(7&lt;=$B388,$B388&lt;=9),"3",IF(AND(10&lt;=$B388,$B388&lt;=12),"4",""))))</f>
        <v>2</v>
      </c>
      <c r="AD388" s="66" t="str">
        <f>IF(AND(MONTH(E388)&lt;='IN-NX'!$P$3,'IN-NX'!$D$7=D388,OR(LEFT(TH!N398,2)="15",LEFT(TH!O398,2)="15")),"x","")</f>
        <v/>
      </c>
      <c r="AE388" s="66" t="str">
        <f>IF(AND(OR(LEFT(TH!N398,2)="15",LEFT(TH!O398,2)="15"),'152-CT'!$J$8=TH!F398),"x","")</f>
        <v/>
      </c>
      <c r="AF388" s="66" t="str">
        <f>IF(AND(OR(LEFT(TH!N398,2)="15",LEFT(TH!O398,2)="15"),'THE KHO'!$E$7=TH!F398),"x","")</f>
        <v/>
      </c>
      <c r="AG388" s="66" t="str">
        <f>IF(AND(N388="1521",MONTH(C388)='BK NL'!$M$11),"x","")</f>
        <v/>
      </c>
    </row>
    <row r="389" spans="1:34" ht="15.75" customHeight="1">
      <c r="A389" s="398" t="str">
        <f>IF(B389&lt;&gt;"",IF(AND(B389&gt;=_TM1,B389&lt;=_TM2,OR(TH!N389="1111",TH!O389="1111")),TH!D389,""),"")</f>
        <v>T02</v>
      </c>
      <c r="B389" s="63">
        <f>IF(C389&lt;&gt;"",MONTH(C389),"")</f>
        <v>6</v>
      </c>
      <c r="C389" s="64">
        <f>E389</f>
        <v>42544</v>
      </c>
      <c r="D389" s="64" t="s">
        <v>322</v>
      </c>
      <c r="E389" s="64">
        <v>42544</v>
      </c>
      <c r="F389" s="67" t="s">
        <v>397</v>
      </c>
      <c r="G389" s="375" t="s">
        <v>810</v>
      </c>
      <c r="H389" s="74" t="s">
        <v>161</v>
      </c>
      <c r="I389" s="515"/>
      <c r="J389" s="515"/>
      <c r="K389" s="507"/>
      <c r="L389" s="515"/>
      <c r="M389" s="65">
        <v>1960000000</v>
      </c>
      <c r="N389" s="66" t="s">
        <v>98</v>
      </c>
      <c r="O389" s="66" t="s">
        <v>31</v>
      </c>
      <c r="P389" s="66" t="str">
        <f>IF(AND('331-CT'!$E$7=TH!H399,OR(N389="331",O389="331")),"x","")</f>
        <v/>
      </c>
      <c r="Q389" s="66" t="str">
        <f>IF(AND($B389&gt;='111'!$N$11,$B389&lt;='111'!$O$11,OR($N389=$Q$7,$O389=$Q$7)),"x","")</f>
        <v>x</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IF(AND('131-CT'!$H$9=TH!H399,OR(N389="131",O389="131")),"x","")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IF(OR(TH!N399=TH!$AB$7,O389=TH!$AB$7),"x","")</f>
        <v/>
      </c>
      <c r="AC389" s="66" t="str">
        <f>IF(AND(1&lt;=$B389,$B389&lt;=3),"1",IF(AND(4&lt;=$B389,$B389&lt;=6),"2",IF(AND(7&lt;=$B389,$B389&lt;=9),"3",IF(AND(10&lt;=$B389,$B389&lt;=12),"4",""))))</f>
        <v>2</v>
      </c>
      <c r="AD389" s="66" t="str">
        <f>IF(AND(MONTH(E389)&lt;='IN-NX'!$P$3,'IN-NX'!$D$7=D389,OR(LEFT(TH!N399,2)="15",LEFT(TH!O399,2)="15")),"x","")</f>
        <v/>
      </c>
      <c r="AE389" s="66" t="str">
        <f>IF(AND(OR(LEFT(TH!N399,2)="15",LEFT(TH!O399,2)="15"),'152-CT'!$J$8=TH!F399),"x","")</f>
        <v/>
      </c>
      <c r="AF389" s="66" t="str">
        <f>IF(AND(OR(LEFT(TH!N399,2)="15",LEFT(TH!O399,2)="15"),'THE KHO'!$E$7=TH!F399),"x","")</f>
        <v/>
      </c>
      <c r="AG389" s="66" t="str">
        <f>IF(AND(N389="1521",MONTH(C389)='BK NL'!$M$11),"x","")</f>
        <v/>
      </c>
    </row>
    <row r="390" spans="1:34" ht="15.75" customHeight="1">
      <c r="A390" s="398" t="str">
        <f>IF(B390&lt;&gt;"",IF(AND(B390&gt;=_TM1,B390&lt;=_TM2,OR(TH!N390="1111",TH!O390="1111")),TH!D390,""),"")</f>
        <v>C47</v>
      </c>
      <c r="B390" s="63">
        <f>IF(C390&lt;&gt;"",MONTH(C390),"")</f>
        <v>6</v>
      </c>
      <c r="C390" s="64">
        <f>E390</f>
        <v>42544</v>
      </c>
      <c r="D390" s="64" t="s">
        <v>855</v>
      </c>
      <c r="E390" s="64">
        <v>42544</v>
      </c>
      <c r="F390" s="67" t="s">
        <v>982</v>
      </c>
      <c r="G390" s="375" t="s">
        <v>810</v>
      </c>
      <c r="H390" s="74" t="s">
        <v>439</v>
      </c>
      <c r="I390" s="515"/>
      <c r="J390" s="515"/>
      <c r="K390" s="507"/>
      <c r="L390" s="515"/>
      <c r="M390" s="65">
        <v>1960000000</v>
      </c>
      <c r="N390" s="66" t="s">
        <v>107</v>
      </c>
      <c r="O390" s="66" t="s">
        <v>98</v>
      </c>
      <c r="P390" s="66" t="str">
        <f>IF(AND('331-CT'!$E$7=TH!H400,OR(N390="331",O390="331")),"x","")</f>
        <v/>
      </c>
      <c r="Q390" s="66" t="str">
        <f>IF(AND($B390&gt;='111'!$N$11,$B390&lt;='111'!$O$11,OR($N390=$Q$7,$O390=$Q$7)),"x","")</f>
        <v>x</v>
      </c>
      <c r="R390" s="66" t="str">
        <f>IF(AND($N390=$Q$7,$B390&lt;'111'!$N$11),"x","")</f>
        <v/>
      </c>
      <c r="S390" s="66" t="str">
        <f>IF(AND($O390=$Q$7,$B390&lt;'111'!$N$11),"x","")</f>
        <v/>
      </c>
      <c r="T390" s="66" t="str">
        <f>IF(AND($B390&gt;='112'!$M$9,$B390&lt;='112'!$N$9,OR($N390='112'!$I$6,$O390='112'!$I$6)),"x","")</f>
        <v/>
      </c>
      <c r="U390" s="66" t="str">
        <f>IF(AND($N390='112'!$I$6,$B390&lt;'112'!$M$9),"x","")</f>
        <v/>
      </c>
      <c r="V390" s="66" t="str">
        <f>IF(AND($O390='112'!$I$6,$B390&lt;'112'!$M$9),"x","")</f>
        <v/>
      </c>
      <c r="W390" s="66" t="str">
        <f>IF(AND('131-CT'!$H$9=TH!H400,OR(N390="131",O390="131")),"x","")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IF(OR(TH!N400=TH!$AB$7,O390=TH!$AB$7),"x","")</f>
        <v/>
      </c>
      <c r="AC390" s="66" t="str">
        <f>IF(AND(1&lt;=$B390,$B390&lt;=3),"1",IF(AND(4&lt;=$B390,$B390&lt;=6),"2",IF(AND(7&lt;=$B390,$B390&lt;=9),"3",IF(AND(10&lt;=$B390,$B390&lt;=12),"4",""))))</f>
        <v>2</v>
      </c>
      <c r="AD390" s="66" t="str">
        <f>IF(AND(MONTH(E390)&lt;='IN-NX'!$P$3,'IN-NX'!$D$7=D390,OR(LEFT(TH!N400,2)="15",LEFT(TH!O400,2)="15")),"x","")</f>
        <v/>
      </c>
      <c r="AE390" s="66" t="str">
        <f>IF(AND(OR(LEFT(TH!N400,2)="15",LEFT(TH!O400,2)="15"),'152-CT'!$J$8=TH!F400),"x","")</f>
        <v/>
      </c>
      <c r="AF390" s="66" t="str">
        <f>IF(AND(OR(LEFT(TH!N400,2)="15",LEFT(TH!O400,2)="15"),'THE KHO'!$E$7=TH!F400),"x","")</f>
        <v/>
      </c>
      <c r="AG390" s="66" t="str">
        <f>IF(AND(N390="1521",MONTH(C390)='BK NL'!$M$11),"x","")</f>
        <v/>
      </c>
    </row>
    <row r="391" spans="1:34" s="408" customFormat="1" ht="15.75" customHeight="1">
      <c r="A391" s="398" t="str">
        <f>IF(B391&lt;&gt;"",IF(AND(B391&gt;=_TM1,B391&lt;=_TM2,OR(TH!N391="1111",TH!O391="1111")),TH!D391,""),"")</f>
        <v/>
      </c>
      <c r="B391" s="63">
        <f>IF(C391&lt;&gt;"",MONTH(C391),"")</f>
        <v>6</v>
      </c>
      <c r="C391" s="64">
        <v>42551</v>
      </c>
      <c r="D391" s="64" t="s">
        <v>45</v>
      </c>
      <c r="E391" s="64">
        <v>42515</v>
      </c>
      <c r="F391" s="67" t="s">
        <v>316</v>
      </c>
      <c r="G391" s="375" t="s">
        <v>942</v>
      </c>
      <c r="H391" s="7" t="s">
        <v>317</v>
      </c>
      <c r="I391" s="515"/>
      <c r="J391" s="515"/>
      <c r="K391" s="507"/>
      <c r="L391" s="515"/>
      <c r="M391" s="65">
        <v>7403520</v>
      </c>
      <c r="N391" s="66" t="s">
        <v>136</v>
      </c>
      <c r="O391" s="66" t="s">
        <v>9</v>
      </c>
      <c r="P391" s="66" t="str">
        <f>IF(AND('331-CT'!$E$7=TH!H299,OR(N391="331",O391="331")),"x","")</f>
        <v/>
      </c>
      <c r="Q391" s="66" t="str">
        <f>IF(AND($B391&gt;='111'!$N$11,$B391&lt;='111'!$O$11,OR($N391=$Q$7,$O391=$Q$7)),"x","")</f>
        <v/>
      </c>
      <c r="R391" s="66" t="str">
        <f>IF(AND($N391=$Q$7,$B391&lt;'111'!$N$11),"x","")</f>
        <v/>
      </c>
      <c r="S391" s="66" t="str">
        <f>IF(AND($O391=$Q$7,$B391&lt;'111'!$N$11),"x","")</f>
        <v/>
      </c>
      <c r="T391" s="66" t="str">
        <f>IF(AND($B391&gt;='112'!$M$9,$B391&lt;='112'!$N$9,OR($N391='112'!$I$6,$O391='112'!$I$6)),"x","")</f>
        <v/>
      </c>
      <c r="U391" s="66" t="str">
        <f>IF(AND($N391='112'!$I$6,$B391&lt;'112'!$M$9),"x","")</f>
        <v/>
      </c>
      <c r="V391" s="66" t="str">
        <f>IF(AND($O391='112'!$I$6,$B391&lt;'112'!$M$9),"x","")</f>
        <v/>
      </c>
      <c r="W391" s="66" t="str">
        <f>IF(AND('131-CT'!$H$9=TH!H299,OR(N391="131",O391="131")),"x","")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IF(OR(TH!N299=TH!$AB$7,O391=TH!$AB$7),"x","")</f>
        <v/>
      </c>
      <c r="AC391" s="66" t="str">
        <f>IF(AND(1&lt;=$B391,$B391&lt;=3),"1",IF(AND(4&lt;=$B391,$B391&lt;=6),"2",IF(AND(7&lt;=$B391,$B391&lt;=9),"3",IF(AND(10&lt;=$B391,$B391&lt;=12),"4",""))))</f>
        <v>2</v>
      </c>
      <c r="AD391" s="66" t="str">
        <f>IF(AND(MONTH(E391)&lt;='IN-NX'!$P$3,'IN-NX'!$D$7=D391,OR(LEFT(TH!N299,2)="15",LEFT(TH!O299,2)="15")),"x","")</f>
        <v/>
      </c>
      <c r="AE391" s="66" t="str">
        <f>IF(AND(OR(LEFT(TH!N299,2)="15",LEFT(TH!O299,2)="15"),'152-CT'!$J$8=TH!F299),"x","")</f>
        <v/>
      </c>
      <c r="AF391" s="66" t="str">
        <f>IF(AND(OR(LEFT(TH!N299,2)="15",LEFT(TH!O299,2)="15"),'THE KHO'!$E$7=TH!F299),"x","")</f>
        <v/>
      </c>
      <c r="AG391" s="66" t="str">
        <f>IF(AND(N391="1521",MONTH(C391)='BK NL'!$M$11),"x","")</f>
        <v/>
      </c>
      <c r="AH391" s="387"/>
    </row>
    <row r="392" spans="1:34" ht="15.75" customHeight="1">
      <c r="A392" s="398" t="str">
        <f>IF(B392&lt;&gt;"",IF(AND(B392&gt;=_TM1,B392&lt;=_TM2,OR(TH!N392="1111",TH!O392="1111")),TH!D392,""),"")</f>
        <v/>
      </c>
      <c r="B392" s="63">
        <f>IF(C392&lt;&gt;"",MONTH(C392),"")</f>
        <v>6</v>
      </c>
      <c r="C392" s="64">
        <v>42551</v>
      </c>
      <c r="D392" s="64" t="s">
        <v>45</v>
      </c>
      <c r="E392" s="64">
        <v>42515</v>
      </c>
      <c r="F392" s="67" t="s">
        <v>318</v>
      </c>
      <c r="G392" s="375" t="s">
        <v>942</v>
      </c>
      <c r="H392" s="7" t="s">
        <v>317</v>
      </c>
      <c r="I392" s="515"/>
      <c r="J392" s="515"/>
      <c r="K392" s="507"/>
      <c r="L392" s="515"/>
      <c r="M392" s="65">
        <v>740352</v>
      </c>
      <c r="N392" s="66" t="s">
        <v>10</v>
      </c>
      <c r="O392" s="66" t="s">
        <v>9</v>
      </c>
      <c r="P392" s="66" t="str">
        <f>IF(AND('331-CT'!$E$7=TH!H300,OR(N392="331",O392="331")),"x","")</f>
        <v/>
      </c>
      <c r="Q392" s="66" t="str">
        <f>IF(AND($B392&gt;='111'!$N$11,$B392&lt;='111'!$O$11,OR($N392=$Q$7,$O392=$Q$7)),"x","")</f>
        <v/>
      </c>
      <c r="R392" s="66" t="str">
        <f>IF(AND($N392=$Q$7,$B392&lt;'111'!$N$11),"x","")</f>
        <v/>
      </c>
      <c r="S392" s="66" t="str">
        <f>IF(AND($O392=$Q$7,$B392&lt;'111'!$N$11),"x","")</f>
        <v/>
      </c>
      <c r="T392" s="66" t="str">
        <f>IF(AND($B392&gt;='112'!$M$9,$B392&lt;='112'!$N$9,OR($N392='112'!$I$6,$O392='112'!$I$6)),"x","")</f>
        <v/>
      </c>
      <c r="U392" s="66" t="str">
        <f>IF(AND($N392='112'!$I$6,$B392&lt;'112'!$M$9),"x","")</f>
        <v/>
      </c>
      <c r="V392" s="66" t="str">
        <f>IF(AND($O392='112'!$I$6,$B392&lt;'112'!$M$9),"x","")</f>
        <v/>
      </c>
      <c r="W392" s="66" t="str">
        <f>IF(AND('131-CT'!$H$9=TH!H300,OR(N392="131",O392="131")),"x","")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IF(OR(TH!N300=TH!$AB$7,O392=TH!$AB$7),"x","")</f>
        <v/>
      </c>
      <c r="AC392" s="66" t="str">
        <f>IF(AND(1&lt;=$B392,$B392&lt;=3),"1",IF(AND(4&lt;=$B392,$B392&lt;=6),"2",IF(AND(7&lt;=$B392,$B392&lt;=9),"3",IF(AND(10&lt;=$B392,$B392&lt;=12),"4",""))))</f>
        <v>2</v>
      </c>
      <c r="AD392" s="66" t="str">
        <f>IF(AND(MONTH(E392)&lt;='IN-NX'!$P$3,'IN-NX'!$D$7=D392,OR(LEFT(TH!N300,2)="15",LEFT(TH!O300,2)="15")),"x","")</f>
        <v/>
      </c>
      <c r="AE392" s="66" t="str">
        <f>IF(AND(OR(LEFT(TH!N300,2)="15",LEFT(TH!O300,2)="15"),'152-CT'!$J$8=TH!F300),"x","")</f>
        <v/>
      </c>
      <c r="AF392" s="66" t="str">
        <f>IF(AND(OR(LEFT(TH!N300,2)="15",LEFT(TH!O300,2)="15"),'THE KHO'!$E$7=TH!F300),"x","")</f>
        <v/>
      </c>
      <c r="AG392" s="66" t="str">
        <f>IF(AND(N392="1521",MONTH(C392)='BK NL'!$M$11),"x","")</f>
        <v/>
      </c>
    </row>
    <row r="393" spans="1:34" ht="15.75" customHeight="1">
      <c r="A393" s="398" t="str">
        <f>IF(B393&lt;&gt;"",IF(AND(B393&gt;=_TM1,B393&lt;=_TM2,OR(TH!N393="1111",TH!O393="1111")),TH!D393,""),"")</f>
        <v/>
      </c>
      <c r="B393" s="63">
        <f>IF(C393&lt;&gt;"",MONTH(C393),"")</f>
        <v>6</v>
      </c>
      <c r="C393" s="64">
        <v>42551</v>
      </c>
      <c r="D393" s="64" t="s">
        <v>45</v>
      </c>
      <c r="E393" s="64">
        <v>42528</v>
      </c>
      <c r="F393" s="67" t="s">
        <v>944</v>
      </c>
      <c r="G393" s="375" t="s">
        <v>943</v>
      </c>
      <c r="H393" s="74" t="s">
        <v>160</v>
      </c>
      <c r="I393" s="515"/>
      <c r="J393" s="515"/>
      <c r="K393" s="507"/>
      <c r="L393" s="515"/>
      <c r="M393" s="65">
        <v>2172148100</v>
      </c>
      <c r="N393" s="66" t="s">
        <v>243</v>
      </c>
      <c r="O393" s="66" t="s">
        <v>9</v>
      </c>
      <c r="P393" s="66" t="str">
        <f>IF(AND('331-CT'!$E$7=TH!H301,OR(N393="331",O393="331")),"x","")</f>
        <v/>
      </c>
      <c r="Q393" s="66" t="str">
        <f>IF(AND($B393&gt;='111'!$N$11,$B393&lt;='111'!$O$11,OR($N393=$Q$7,$O393=$Q$7)),"x","")</f>
        <v/>
      </c>
      <c r="R393" s="66" t="str">
        <f>IF(AND($N393=$Q$7,$B393&lt;'111'!$N$11),"x","")</f>
        <v/>
      </c>
      <c r="S393" s="66" t="str">
        <f>IF(AND($O393=$Q$7,$B393&lt;'111'!$N$11),"x","")</f>
        <v/>
      </c>
      <c r="T393" s="66" t="str">
        <f>IF(AND($B393&gt;='112'!$M$9,$B393&lt;='112'!$N$9,OR($N393='112'!$I$6,$O393='112'!$I$6)),"x","")</f>
        <v/>
      </c>
      <c r="U393" s="66" t="str">
        <f>IF(AND($N393='112'!$I$6,$B393&lt;'112'!$M$9),"x","")</f>
        <v/>
      </c>
      <c r="V393" s="66" t="str">
        <f>IF(AND($O393='112'!$I$6,$B393&lt;'112'!$M$9),"x","")</f>
        <v/>
      </c>
      <c r="W393" s="66" t="str">
        <f>IF(AND('131-CT'!$H$9=TH!H301,OR(N393="131",O393="131")),"x","")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IF(OR(TH!N301=TH!$AB$7,O393=TH!$AB$7),"x","")</f>
        <v/>
      </c>
      <c r="AC393" s="66" t="str">
        <f>IF(AND(1&lt;=$B393,$B393&lt;=3),"1",IF(AND(4&lt;=$B393,$B393&lt;=6),"2",IF(AND(7&lt;=$B393,$B393&lt;=9),"3",IF(AND(10&lt;=$B393,$B393&lt;=12),"4",""))))</f>
        <v>2</v>
      </c>
      <c r="AD393" s="66" t="str">
        <f>IF(AND(MONTH(E393)&lt;='IN-NX'!$P$3,'IN-NX'!$D$7=D393,OR(LEFT(TH!N301,2)="15",LEFT(TH!O301,2)="15")),"x","")</f>
        <v/>
      </c>
      <c r="AE393" s="66" t="str">
        <f>IF(AND(OR(LEFT(TH!N301,2)="15",LEFT(TH!O301,2)="15"),'152-CT'!$J$8=TH!F301),"x","")</f>
        <v/>
      </c>
      <c r="AF393" s="66" t="str">
        <f>IF(AND(OR(LEFT(TH!N301,2)="15",LEFT(TH!O301,2)="15"),'THE KHO'!$E$7=TH!F301),"x","")</f>
        <v/>
      </c>
      <c r="AG393" s="66" t="str">
        <f>IF(AND(N393="1521",MONTH(C393)='BK NL'!$M$11),"x","")</f>
        <v/>
      </c>
    </row>
    <row r="394" spans="1:34" s="407" customFormat="1" ht="15.75" customHeight="1">
      <c r="A394" s="398" t="str">
        <f>IF(B394&lt;&gt;"",IF(AND(B394&gt;=_TM1,B394&lt;=_TM2,OR(TH!N394="1111",TH!O394="1111")),TH!D394,""),"")</f>
        <v/>
      </c>
      <c r="B394" s="63">
        <f>IF(C394&lt;&gt;"",MONTH(C394),"")</f>
        <v>6</v>
      </c>
      <c r="C394" s="64">
        <v>42551</v>
      </c>
      <c r="D394" s="64" t="s">
        <v>45</v>
      </c>
      <c r="E394" s="64">
        <v>42528</v>
      </c>
      <c r="F394" s="67" t="s">
        <v>945</v>
      </c>
      <c r="G394" s="375" t="s">
        <v>943</v>
      </c>
      <c r="H394" s="74" t="s">
        <v>160</v>
      </c>
      <c r="I394" s="515"/>
      <c r="J394" s="515"/>
      <c r="K394" s="507"/>
      <c r="L394" s="515"/>
      <c r="M394" s="65">
        <v>217214810</v>
      </c>
      <c r="N394" s="66" t="s">
        <v>10</v>
      </c>
      <c r="O394" s="66" t="s">
        <v>9</v>
      </c>
      <c r="P394" s="66" t="str">
        <f>IF(AND('331-CT'!$E$7=TH!H302,OR(N394="331",O394="331")),"x","")</f>
        <v/>
      </c>
      <c r="Q394" s="66" t="str">
        <f>IF(AND($B394&gt;='111'!$N$11,$B394&lt;='111'!$O$11,OR($N394=$Q$7,$O394=$Q$7)),"x","")</f>
        <v/>
      </c>
      <c r="R394" s="66" t="str">
        <f>IF(AND($N394=$Q$7,$B394&lt;'111'!$N$11),"x","")</f>
        <v/>
      </c>
      <c r="S394" s="66" t="str">
        <f>IF(AND($O394=$Q$7,$B394&lt;'111'!$N$11),"x","")</f>
        <v/>
      </c>
      <c r="T394" s="66" t="str">
        <f>IF(AND($B394&gt;='112'!$M$9,$B394&lt;='112'!$N$9,OR($N394='112'!$I$6,$O394='112'!$I$6)),"x","")</f>
        <v/>
      </c>
      <c r="U394" s="66" t="str">
        <f>IF(AND($N394='112'!$I$6,$B394&lt;'112'!$M$9),"x","")</f>
        <v/>
      </c>
      <c r="V394" s="66" t="str">
        <f>IF(AND($O394='112'!$I$6,$B394&lt;'112'!$M$9),"x","")</f>
        <v/>
      </c>
      <c r="W394" s="66" t="str">
        <f>IF(AND('131-CT'!$H$9=TH!H302,OR(N394="131",O394="131")),"x","")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IF(OR(TH!N302=TH!$AB$7,O394=TH!$AB$7),"x","")</f>
        <v/>
      </c>
      <c r="AC394" s="66" t="str">
        <f>IF(AND(1&lt;=$B394,$B394&lt;=3),"1",IF(AND(4&lt;=$B394,$B394&lt;=6),"2",IF(AND(7&lt;=$B394,$B394&lt;=9),"3",IF(AND(10&lt;=$B394,$B394&lt;=12),"4",""))))</f>
        <v>2</v>
      </c>
      <c r="AD394" s="66" t="str">
        <f>IF(AND(MONTH(E394)&lt;='IN-NX'!$P$3,'IN-NX'!$D$7=D394,OR(LEFT(TH!N302,2)="15",LEFT(TH!O302,2)="15")),"x","")</f>
        <v/>
      </c>
      <c r="AE394" s="66" t="str">
        <f>IF(AND(OR(LEFT(TH!N302,2)="15",LEFT(TH!O302,2)="15"),'152-CT'!$J$8=TH!F302),"x","")</f>
        <v/>
      </c>
      <c r="AF394" s="66" t="str">
        <f>IF(AND(OR(LEFT(TH!N302,2)="15",LEFT(TH!O302,2)="15"),'THE KHO'!$E$7=TH!F302),"x","")</f>
        <v/>
      </c>
      <c r="AG394" s="66" t="str">
        <f>IF(AND(N394="1521",MONTH(C394)='BK NL'!$M$11),"x","")</f>
        <v/>
      </c>
      <c r="AH394" s="387"/>
    </row>
    <row r="395" spans="1:34" ht="15.75" customHeight="1">
      <c r="A395" s="398" t="str">
        <f>IF(B395&lt;&gt;"",IF(AND(B395&gt;=_TM1,B395&lt;=_TM2,OR(TH!N395="1111",TH!O395="1111")),TH!D395,""),"")</f>
        <v/>
      </c>
      <c r="B395" s="63">
        <f>IF(C395&lt;&gt;"",MONTH(C395),"")</f>
        <v>6</v>
      </c>
      <c r="C395" s="64">
        <v>42551</v>
      </c>
      <c r="D395" s="64" t="s">
        <v>45</v>
      </c>
      <c r="E395" s="64">
        <v>42531</v>
      </c>
      <c r="F395" s="67" t="s">
        <v>958</v>
      </c>
      <c r="G395" s="375" t="s">
        <v>960</v>
      </c>
      <c r="H395" s="7" t="s">
        <v>67</v>
      </c>
      <c r="I395" s="515"/>
      <c r="J395" s="515"/>
      <c r="K395" s="507"/>
      <c r="L395" s="515"/>
      <c r="M395" s="65">
        <v>1515073526</v>
      </c>
      <c r="N395" s="66" t="s">
        <v>243</v>
      </c>
      <c r="O395" s="66" t="s">
        <v>9</v>
      </c>
      <c r="P395" s="66" t="str">
        <f>IF(AND('331-CT'!$E$7=TH!H303,OR(N395="331",O395="331")),"x","")</f>
        <v/>
      </c>
      <c r="Q395" s="66" t="str">
        <f>IF(AND($B395&gt;='111'!$N$11,$B395&lt;='111'!$O$11,OR($N395=$Q$7,$O395=$Q$7)),"x","")</f>
        <v/>
      </c>
      <c r="R395" s="66" t="str">
        <f>IF(AND($N395=$Q$7,$B395&lt;'111'!$N$11),"x","")</f>
        <v/>
      </c>
      <c r="S395" s="66" t="str">
        <f>IF(AND($O395=$Q$7,$B395&lt;'111'!$N$11),"x","")</f>
        <v/>
      </c>
      <c r="T395" s="66" t="str">
        <f>IF(AND($B395&gt;='112'!$M$9,$B395&lt;='112'!$N$9,OR($N395='112'!$I$6,$O395='112'!$I$6)),"x","")</f>
        <v/>
      </c>
      <c r="U395" s="66" t="str">
        <f>IF(AND($N395='112'!$I$6,$B395&lt;'112'!$M$9),"x","")</f>
        <v/>
      </c>
      <c r="V395" s="66" t="str">
        <f>IF(AND($O395='112'!$I$6,$B395&lt;'112'!$M$9),"x","")</f>
        <v/>
      </c>
      <c r="W395" s="66" t="str">
        <f>IF(AND('131-CT'!$H$9=TH!H303,OR(N395="131",O395="131")),"x","")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IF(OR(TH!N303=TH!$AB$7,O395=TH!$AB$7),"x","")</f>
        <v/>
      </c>
      <c r="AC395" s="66" t="str">
        <f>IF(AND(1&lt;=$B395,$B395&lt;=3),"1",IF(AND(4&lt;=$B395,$B395&lt;=6),"2",IF(AND(7&lt;=$B395,$B395&lt;=9),"3",IF(AND(10&lt;=$B395,$B395&lt;=12),"4",""))))</f>
        <v>2</v>
      </c>
      <c r="AD395" s="66" t="str">
        <f>IF(AND(MONTH(E395)&lt;='IN-NX'!$P$3,'IN-NX'!$D$7=D395,OR(LEFT(TH!N303,2)="15",LEFT(TH!O303,2)="15")),"x","")</f>
        <v/>
      </c>
      <c r="AE395" s="66" t="str">
        <f>IF(AND(OR(LEFT(TH!N303,2)="15",LEFT(TH!O303,2)="15"),'152-CT'!$J$8=TH!F303),"x","")</f>
        <v/>
      </c>
      <c r="AF395" s="66" t="str">
        <f>IF(AND(OR(LEFT(TH!N303,2)="15",LEFT(TH!O303,2)="15"),'THE KHO'!$E$7=TH!F303),"x","")</f>
        <v/>
      </c>
      <c r="AG395" s="66" t="str">
        <f>IF(AND(N395="1521",MONTH(C395)='BK NL'!$M$11),"x","")</f>
        <v/>
      </c>
    </row>
    <row r="396" spans="1:34" ht="15.75" customHeight="1">
      <c r="A396" s="398" t="str">
        <f>IF(B396&lt;&gt;"",IF(AND(B396&gt;=_TM1,B396&lt;=_TM2,OR(TH!N396="1111",TH!O396="1111")),TH!D396,""),"")</f>
        <v/>
      </c>
      <c r="B396" s="63">
        <f>IF(C396&lt;&gt;"",MONTH(C396),"")</f>
        <v>6</v>
      </c>
      <c r="C396" s="64">
        <v>42551</v>
      </c>
      <c r="D396" s="64" t="s">
        <v>45</v>
      </c>
      <c r="E396" s="64">
        <v>42531</v>
      </c>
      <c r="F396" s="67" t="s">
        <v>959</v>
      </c>
      <c r="G396" s="375" t="s">
        <v>960</v>
      </c>
      <c r="H396" s="7" t="s">
        <v>67</v>
      </c>
      <c r="I396" s="515"/>
      <c r="J396" s="515"/>
      <c r="K396" s="507"/>
      <c r="L396" s="515"/>
      <c r="M396" s="65">
        <v>151507353</v>
      </c>
      <c r="N396" s="66" t="s">
        <v>10</v>
      </c>
      <c r="O396" s="66" t="s">
        <v>9</v>
      </c>
      <c r="P396" s="66" t="str">
        <f>IF(AND('331-CT'!$E$7=TH!H304,OR(N396="331",O396="331")),"x","")</f>
        <v/>
      </c>
      <c r="Q396" s="66" t="str">
        <f>IF(AND($B396&gt;='111'!$N$11,$B396&lt;='111'!$O$11,OR($N396=$Q$7,$O396=$Q$7)),"x","")</f>
        <v/>
      </c>
      <c r="R396" s="66" t="str">
        <f>IF(AND($N396=$Q$7,$B396&lt;'111'!$N$11),"x","")</f>
        <v/>
      </c>
      <c r="S396" s="66" t="str">
        <f>IF(AND($O396=$Q$7,$B396&lt;'111'!$N$11),"x","")</f>
        <v/>
      </c>
      <c r="T396" s="66" t="str">
        <f>IF(AND($B396&gt;='112'!$M$9,$B396&lt;='112'!$N$9,OR($N396='112'!$I$6,$O396='112'!$I$6)),"x","")</f>
        <v/>
      </c>
      <c r="U396" s="66" t="str">
        <f>IF(AND($N396='112'!$I$6,$B396&lt;'112'!$M$9),"x","")</f>
        <v/>
      </c>
      <c r="V396" s="66" t="str">
        <f>IF(AND($O396='112'!$I$6,$B396&lt;'112'!$M$9),"x","")</f>
        <v/>
      </c>
      <c r="W396" s="66" t="str">
        <f>IF(AND('131-CT'!$H$9=TH!H304,OR(N396="131",O396="131")),"x","")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IF(OR(TH!N304=TH!$AB$7,O396=TH!$AB$7),"x","")</f>
        <v/>
      </c>
      <c r="AC396" s="66" t="str">
        <f>IF(AND(1&lt;=$B396,$B396&lt;=3),"1",IF(AND(4&lt;=$B396,$B396&lt;=6),"2",IF(AND(7&lt;=$B396,$B396&lt;=9),"3",IF(AND(10&lt;=$B396,$B396&lt;=12),"4",""))))</f>
        <v>2</v>
      </c>
      <c r="AD396" s="66" t="str">
        <f>IF(AND(MONTH(E396)&lt;='IN-NX'!$P$3,'IN-NX'!$D$7=D396,OR(LEFT(TH!N304,2)="15",LEFT(TH!O304,2)="15")),"x","")</f>
        <v/>
      </c>
      <c r="AE396" s="66" t="str">
        <f>IF(AND(OR(LEFT(TH!N304,2)="15",LEFT(TH!O304,2)="15"),'152-CT'!$J$8=TH!F304),"x","")</f>
        <v/>
      </c>
      <c r="AF396" s="66" t="str">
        <f>IF(AND(OR(LEFT(TH!N304,2)="15",LEFT(TH!O304,2)="15"),'THE KHO'!$E$7=TH!F304),"x","")</f>
        <v/>
      </c>
      <c r="AG396" s="66" t="str">
        <f>IF(AND(N396="1521",MONTH(C396)='BK NL'!$M$11),"x","")</f>
        <v/>
      </c>
    </row>
    <row r="397" spans="1:34" ht="15.75" customHeight="1">
      <c r="A397" s="398" t="str">
        <f>IF(B397&lt;&gt;"",IF(AND(B397&gt;=_TM1,B397&lt;=_TM2,OR(TH!N397="1111",TH!O397="1111")),TH!D397,""),"")</f>
        <v/>
      </c>
      <c r="B397" s="63">
        <f>IF(C397&lt;&gt;"",MONTH(C397),"")</f>
        <v>6</v>
      </c>
      <c r="C397" s="64">
        <v>42551</v>
      </c>
      <c r="D397" s="64" t="s">
        <v>45</v>
      </c>
      <c r="E397" s="64">
        <v>42471</v>
      </c>
      <c r="F397" s="67" t="s">
        <v>946</v>
      </c>
      <c r="G397" s="501" t="s">
        <v>955</v>
      </c>
      <c r="H397" s="74" t="s">
        <v>222</v>
      </c>
      <c r="I397" s="515"/>
      <c r="J397" s="515"/>
      <c r="K397" s="507"/>
      <c r="L397" s="515"/>
      <c r="M397" s="65">
        <v>46496600</v>
      </c>
      <c r="N397" s="66" t="s">
        <v>136</v>
      </c>
      <c r="O397" s="66" t="s">
        <v>9</v>
      </c>
      <c r="P397" s="66" t="str">
        <f>IF(AND('331-CT'!$E$7=TH!H305,OR(N397="331",O397="331")),"x","")</f>
        <v/>
      </c>
      <c r="Q397" s="66" t="str">
        <f>IF(AND($B397&gt;='111'!$N$11,$B397&lt;='111'!$O$11,OR($N397=$Q$7,$O397=$Q$7)),"x","")</f>
        <v/>
      </c>
      <c r="R397" s="66" t="str">
        <f>IF(AND($N397=$Q$7,$B397&lt;'111'!$N$11),"x","")</f>
        <v/>
      </c>
      <c r="S397" s="66" t="str">
        <f>IF(AND($O397=$Q$7,$B397&lt;'111'!$N$11),"x","")</f>
        <v/>
      </c>
      <c r="T397" s="66" t="str">
        <f>IF(AND($B397&gt;='112'!$M$9,$B397&lt;='112'!$N$9,OR($N397='112'!$I$6,$O397='112'!$I$6)),"x","")</f>
        <v/>
      </c>
      <c r="U397" s="66" t="str">
        <f>IF(AND($N397='112'!$I$6,$B397&lt;'112'!$M$9),"x","")</f>
        <v/>
      </c>
      <c r="V397" s="66" t="str">
        <f>IF(AND($O397='112'!$I$6,$B397&lt;'112'!$M$9),"x","")</f>
        <v/>
      </c>
      <c r="W397" s="66" t="str">
        <f>IF(AND('131-CT'!$H$9=TH!H305,OR(N397="131",O397="131")),"x","")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IF(OR(TH!N305=TH!$AB$7,O397=TH!$AB$7),"x","")</f>
        <v/>
      </c>
      <c r="AC397" s="66" t="str">
        <f>IF(AND(1&lt;=$B397,$B397&lt;=3),"1",IF(AND(4&lt;=$B397,$B397&lt;=6),"2",IF(AND(7&lt;=$B397,$B397&lt;=9),"3",IF(AND(10&lt;=$B397,$B397&lt;=12),"4",""))))</f>
        <v>2</v>
      </c>
      <c r="AD397" s="66" t="str">
        <f>IF(AND(MONTH(E397)&lt;='IN-NX'!$P$3,'IN-NX'!$D$7=D397,OR(LEFT(TH!N305,2)="15",LEFT(TH!O305,2)="15")),"x","")</f>
        <v/>
      </c>
      <c r="AE397" s="66" t="str">
        <f>IF(AND(OR(LEFT(TH!N305,2)="15",LEFT(TH!O305,2)="15"),'152-CT'!$J$8=TH!F305),"x","")</f>
        <v/>
      </c>
      <c r="AF397" s="66" t="str">
        <f>IF(AND(OR(LEFT(TH!N305,2)="15",LEFT(TH!O305,2)="15"),'THE KHO'!$E$7=TH!F305),"x","")</f>
        <v/>
      </c>
      <c r="AG397" s="66" t="str">
        <f>IF(AND(N397="1521",MONTH(C397)='BK NL'!$M$11),"x","")</f>
        <v/>
      </c>
    </row>
    <row r="398" spans="1:34" ht="15.75" customHeight="1">
      <c r="A398" s="398" t="str">
        <f>IF(B398&lt;&gt;"",IF(AND(B398&gt;=_TM1,B398&lt;=_TM2,OR(TH!N398="1111",TH!O398="1111")),TH!D398,""),"")</f>
        <v/>
      </c>
      <c r="B398" s="63">
        <f>IF(C398&lt;&gt;"",MONTH(C398),"")</f>
        <v>6</v>
      </c>
      <c r="C398" s="64">
        <v>42551</v>
      </c>
      <c r="D398" s="64" t="s">
        <v>45</v>
      </c>
      <c r="E398" s="64">
        <v>42471</v>
      </c>
      <c r="F398" s="67" t="s">
        <v>947</v>
      </c>
      <c r="G398" s="501" t="s">
        <v>955</v>
      </c>
      <c r="H398" s="74" t="s">
        <v>222</v>
      </c>
      <c r="I398" s="515"/>
      <c r="J398" s="515"/>
      <c r="K398" s="507"/>
      <c r="L398" s="515"/>
      <c r="M398" s="65">
        <v>4649660</v>
      </c>
      <c r="N398" s="66" t="s">
        <v>10</v>
      </c>
      <c r="O398" s="66" t="s">
        <v>9</v>
      </c>
      <c r="P398" s="66" t="str">
        <f>IF(AND('331-CT'!$E$7=TH!H306,OR(N398="331",O398="331")),"x","")</f>
        <v/>
      </c>
      <c r="Q398" s="66" t="str">
        <f>IF(AND($B398&gt;='111'!$N$11,$B398&lt;='111'!$O$11,OR($N398=$Q$7,$O398=$Q$7)),"x","")</f>
        <v/>
      </c>
      <c r="R398" s="66" t="str">
        <f>IF(AND($N398=$Q$7,$B398&lt;'111'!$N$11),"x","")</f>
        <v/>
      </c>
      <c r="S398" s="66" t="str">
        <f>IF(AND($O398=$Q$7,$B398&lt;'111'!$N$11),"x","")</f>
        <v/>
      </c>
      <c r="T398" s="66" t="str">
        <f>IF(AND($B398&gt;='112'!$M$9,$B398&lt;='112'!$N$9,OR($N398='112'!$I$6,$O398='112'!$I$6)),"x","")</f>
        <v/>
      </c>
      <c r="U398" s="66" t="str">
        <f>IF(AND($N398='112'!$I$6,$B398&lt;'112'!$M$9),"x","")</f>
        <v/>
      </c>
      <c r="V398" s="66" t="str">
        <f>IF(AND($O398='112'!$I$6,$B398&lt;'112'!$M$9),"x","")</f>
        <v/>
      </c>
      <c r="W398" s="66" t="str">
        <f>IF(AND('131-CT'!$H$9=TH!H306,OR(N398="131",O398="131")),"x","")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IF(OR(TH!N306=TH!$AB$7,O398=TH!$AB$7),"x","")</f>
        <v/>
      </c>
      <c r="AC398" s="66" t="str">
        <f>IF(AND(1&lt;=$B398,$B398&lt;=3),"1",IF(AND(4&lt;=$B398,$B398&lt;=6),"2",IF(AND(7&lt;=$B398,$B398&lt;=9),"3",IF(AND(10&lt;=$B398,$B398&lt;=12),"4",""))))</f>
        <v>2</v>
      </c>
      <c r="AD398" s="66" t="str">
        <f>IF(AND(MONTH(E398)&lt;='IN-NX'!$P$3,'IN-NX'!$D$7=D398,OR(LEFT(TH!N306,2)="15",LEFT(TH!O306,2)="15")),"x","")</f>
        <v/>
      </c>
      <c r="AE398" s="66" t="str">
        <f>IF(AND(OR(LEFT(TH!N306,2)="15",LEFT(TH!O306,2)="15"),'152-CT'!$J$8=TH!F306),"x","")</f>
        <v/>
      </c>
      <c r="AF398" s="66" t="str">
        <f>IF(AND(OR(LEFT(TH!N306,2)="15",LEFT(TH!O306,2)="15"),'THE KHO'!$E$7=TH!F306),"x","")</f>
        <v/>
      </c>
      <c r="AG398" s="66" t="str">
        <f>IF(AND(N398="1521",MONTH(C398)='BK NL'!$M$11),"x","")</f>
        <v/>
      </c>
    </row>
    <row r="399" spans="1:34" ht="15.75" customHeight="1">
      <c r="A399" s="398" t="str">
        <f>IF(B399&lt;&gt;"",IF(AND(B399&gt;=_TM1,B399&lt;=_TM2,OR(TH!N399="1111",TH!O399="1111")),TH!D399,""),"")</f>
        <v/>
      </c>
      <c r="B399" s="63">
        <f>IF(C399&lt;&gt;"",MONTH(C399),"")</f>
        <v>6</v>
      </c>
      <c r="C399" s="64">
        <v>42551</v>
      </c>
      <c r="D399" s="64" t="s">
        <v>45</v>
      </c>
      <c r="E399" s="64">
        <v>42486</v>
      </c>
      <c r="F399" s="67" t="s">
        <v>948</v>
      </c>
      <c r="G399" s="375" t="s">
        <v>954</v>
      </c>
      <c r="H399" s="74" t="s">
        <v>222</v>
      </c>
      <c r="I399" s="515"/>
      <c r="J399" s="515"/>
      <c r="K399" s="507"/>
      <c r="L399" s="515"/>
      <c r="M399" s="65">
        <v>37564400</v>
      </c>
      <c r="N399" s="66" t="s">
        <v>136</v>
      </c>
      <c r="O399" s="66" t="s">
        <v>9</v>
      </c>
      <c r="P399" s="66" t="str">
        <f>IF(AND('331-CT'!$E$7=TH!H307,OR(N399="331",O399="331")),"x","")</f>
        <v/>
      </c>
      <c r="Q399" s="66" t="str">
        <f>IF(AND($B399&gt;='111'!$N$11,$B399&lt;='111'!$O$11,OR($N399=$Q$7,$O399=$Q$7)),"x","")</f>
        <v/>
      </c>
      <c r="R399" s="66" t="str">
        <f>IF(AND($N399=$Q$7,$B399&lt;'111'!$N$11),"x","")</f>
        <v/>
      </c>
      <c r="S399" s="66" t="str">
        <f>IF(AND($O399=$Q$7,$B399&lt;'111'!$N$11),"x","")</f>
        <v/>
      </c>
      <c r="T399" s="66" t="str">
        <f>IF(AND($B399&gt;='112'!$M$9,$B399&lt;='112'!$N$9,OR($N399='112'!$I$6,$O399='112'!$I$6)),"x","")</f>
        <v/>
      </c>
      <c r="U399" s="66" t="str">
        <f>IF(AND($N399='112'!$I$6,$B399&lt;'112'!$M$9),"x","")</f>
        <v/>
      </c>
      <c r="V399" s="66" t="str">
        <f>IF(AND($O399='112'!$I$6,$B399&lt;'112'!$M$9),"x","")</f>
        <v/>
      </c>
      <c r="W399" s="66" t="str">
        <f>IF(AND('131-CT'!$H$9=TH!H307,OR(N399="131",O399="131")),"x","")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IF(OR(TH!N307=TH!$AB$7,O399=TH!$AB$7),"x","")</f>
        <v/>
      </c>
      <c r="AC399" s="66" t="str">
        <f>IF(AND(1&lt;=$B399,$B399&lt;=3),"1",IF(AND(4&lt;=$B399,$B399&lt;=6),"2",IF(AND(7&lt;=$B399,$B399&lt;=9),"3",IF(AND(10&lt;=$B399,$B399&lt;=12),"4",""))))</f>
        <v>2</v>
      </c>
      <c r="AD399" s="66" t="str">
        <f>IF(AND(MONTH(E399)&lt;='IN-NX'!$P$3,'IN-NX'!$D$7=D399,OR(LEFT(TH!N307,2)="15",LEFT(TH!O307,2)="15")),"x","")</f>
        <v/>
      </c>
      <c r="AE399" s="66" t="str">
        <f>IF(AND(OR(LEFT(TH!N307,2)="15",LEFT(TH!O307,2)="15"),'152-CT'!$J$8=TH!F307),"x","")</f>
        <v/>
      </c>
      <c r="AF399" s="66" t="str">
        <f>IF(AND(OR(LEFT(TH!N307,2)="15",LEFT(TH!O307,2)="15"),'THE KHO'!$E$7=TH!F307),"x","")</f>
        <v/>
      </c>
      <c r="AG399" s="66" t="str">
        <f>IF(AND(N399="1521",MONTH(C399)='BK NL'!$M$11),"x","")</f>
        <v/>
      </c>
    </row>
    <row r="400" spans="1:34" ht="15.75" customHeight="1">
      <c r="A400" s="398" t="str">
        <f>IF(B400&lt;&gt;"",IF(AND(B400&gt;=_TM1,B400&lt;=_TM2,OR(TH!N400="1111",TH!O400="1111")),TH!D400,""),"")</f>
        <v/>
      </c>
      <c r="B400" s="63">
        <f>IF(C400&lt;&gt;"",MONTH(C400),"")</f>
        <v>6</v>
      </c>
      <c r="C400" s="64">
        <v>42551</v>
      </c>
      <c r="D400" s="64" t="s">
        <v>45</v>
      </c>
      <c r="E400" s="64">
        <v>42486</v>
      </c>
      <c r="F400" s="67" t="s">
        <v>949</v>
      </c>
      <c r="G400" s="375" t="s">
        <v>954</v>
      </c>
      <c r="H400" s="74" t="s">
        <v>222</v>
      </c>
      <c r="I400" s="515"/>
      <c r="J400" s="515"/>
      <c r="K400" s="507"/>
      <c r="L400" s="515"/>
      <c r="M400" s="65">
        <v>3756440</v>
      </c>
      <c r="N400" s="66" t="s">
        <v>10</v>
      </c>
      <c r="O400" s="66" t="s">
        <v>9</v>
      </c>
      <c r="P400" s="66" t="str">
        <f>IF(AND('331-CT'!$E$7=TH!H308,OR(N400="331",O400="331")),"x","")</f>
        <v/>
      </c>
      <c r="Q400" s="66" t="str">
        <f>IF(AND($B400&gt;='111'!$N$11,$B400&lt;='111'!$O$11,OR($N400=$Q$7,$O400=$Q$7)),"x","")</f>
        <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IF(AND('131-CT'!$H$9=TH!H308,OR(N400="131",O400="131")),"x","")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IF(OR(TH!N308=TH!$AB$7,O400=TH!$AB$7),"x","")</f>
        <v/>
      </c>
      <c r="AC400" s="66" t="str">
        <f>IF(AND(1&lt;=$B400,$B400&lt;=3),"1",IF(AND(4&lt;=$B400,$B400&lt;=6),"2",IF(AND(7&lt;=$B400,$B400&lt;=9),"3",IF(AND(10&lt;=$B400,$B400&lt;=12),"4",""))))</f>
        <v>2</v>
      </c>
      <c r="AD400" s="66" t="str">
        <f>IF(AND(MONTH(E400)&lt;='IN-NX'!$P$3,'IN-NX'!$D$7=D400,OR(LEFT(TH!N308,2)="15",LEFT(TH!O308,2)="15")),"x","")</f>
        <v/>
      </c>
      <c r="AE400" s="66" t="str">
        <f>IF(AND(OR(LEFT(TH!N308,2)="15",LEFT(TH!O308,2)="15"),'152-CT'!$J$8=TH!F308),"x","")</f>
        <v/>
      </c>
      <c r="AF400" s="66" t="str">
        <f>IF(AND(OR(LEFT(TH!N308,2)="15",LEFT(TH!O308,2)="15"),'THE KHO'!$E$7=TH!F308),"x","")</f>
        <v/>
      </c>
      <c r="AG400" s="66" t="str">
        <f>IF(AND(N400="1521",MONTH(C400)='BK NL'!$M$11),"x","")</f>
        <v/>
      </c>
    </row>
    <row r="401" spans="1:34" ht="15.75" customHeight="1">
      <c r="A401" s="398" t="str">
        <f>IF(B401&lt;&gt;"",IF(AND(B401&gt;=_TM1,B401&lt;=_TM2,OR(TH!N401="1111",TH!O401="1111")),TH!D401,""),"")</f>
        <v/>
      </c>
      <c r="B401" s="63">
        <f>IF(C401&lt;&gt;"",MONTH(C401),"")</f>
        <v>6</v>
      </c>
      <c r="C401" s="64">
        <v>42551</v>
      </c>
      <c r="D401" s="64" t="s">
        <v>45</v>
      </c>
      <c r="E401" s="64">
        <v>42501</v>
      </c>
      <c r="F401" s="67" t="s">
        <v>950</v>
      </c>
      <c r="G401" s="375" t="s">
        <v>956</v>
      </c>
      <c r="H401" s="74" t="s">
        <v>222</v>
      </c>
      <c r="I401" s="518"/>
      <c r="J401" s="518"/>
      <c r="K401" s="510"/>
      <c r="L401" s="518"/>
      <c r="M401" s="65">
        <v>27604000</v>
      </c>
      <c r="N401" s="66" t="s">
        <v>136</v>
      </c>
      <c r="O401" s="66" t="s">
        <v>9</v>
      </c>
      <c r="P401" s="66" t="str">
        <f>IF(AND('331-CT'!$E$7=TH!H309,OR(N401="331",O401="331")),"x","")</f>
        <v/>
      </c>
      <c r="Q401" s="66" t="str">
        <f>IF(AND($B401&gt;='111'!$N$11,$B401&lt;='111'!$O$11,OR($N401=$Q$7,$O401=$Q$7)),"x","")</f>
        <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IF(AND('131-CT'!$H$9=TH!H309,OR(N401="131",O401="131")),"x","")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IF(OR(TH!N309=TH!$AB$7,O401=TH!$AB$7),"x","")</f>
        <v>x</v>
      </c>
      <c r="AC401" s="66" t="str">
        <f>IF(AND(1&lt;=$B401,$B401&lt;=3),"1",IF(AND(4&lt;=$B401,$B401&lt;=6),"2",IF(AND(7&lt;=$B401,$B401&lt;=9),"3",IF(AND(10&lt;=$B401,$B401&lt;=12),"4",""))))</f>
        <v>2</v>
      </c>
      <c r="AD401" s="66" t="str">
        <f>IF(AND(MONTH(E401)&lt;='IN-NX'!$P$3,'IN-NX'!$D$7=D401,OR(LEFT(TH!N309,2)="15",LEFT(TH!O309,2)="15")),"x","")</f>
        <v/>
      </c>
      <c r="AE401" s="66" t="str">
        <f>IF(AND(OR(LEFT(TH!N309,2)="15",LEFT(TH!O309,2)="15"),'152-CT'!$J$8=TH!F309),"x","")</f>
        <v/>
      </c>
      <c r="AF401" s="66" t="str">
        <f>IF(AND(OR(LEFT(TH!N309,2)="15",LEFT(TH!O309,2)="15"),'THE KHO'!$E$7=TH!F309),"x","")</f>
        <v/>
      </c>
      <c r="AG401" s="66" t="str">
        <f>IF(AND(N401="1521",MONTH(C401)='BK NL'!$M$11),"x","")</f>
        <v/>
      </c>
    </row>
    <row r="402" spans="1:34" ht="15.75" customHeight="1">
      <c r="A402" s="398" t="str">
        <f>IF(B402&lt;&gt;"",IF(AND(B402&gt;=_TM1,B402&lt;=_TM2,OR(TH!N402="1111",TH!O402="1111")),TH!D402,""),"")</f>
        <v/>
      </c>
      <c r="B402" s="63">
        <f>IF(C402&lt;&gt;"",MONTH(C402),"")</f>
        <v>6</v>
      </c>
      <c r="C402" s="64">
        <v>42551</v>
      </c>
      <c r="D402" s="64" t="s">
        <v>45</v>
      </c>
      <c r="E402" s="64">
        <v>42501</v>
      </c>
      <c r="F402" s="67" t="s">
        <v>951</v>
      </c>
      <c r="G402" s="375" t="s">
        <v>956</v>
      </c>
      <c r="H402" s="74" t="s">
        <v>222</v>
      </c>
      <c r="I402" s="515"/>
      <c r="J402" s="515"/>
      <c r="K402" s="507"/>
      <c r="L402" s="515"/>
      <c r="M402" s="65">
        <v>2760400</v>
      </c>
      <c r="N402" s="66" t="s">
        <v>10</v>
      </c>
      <c r="O402" s="66" t="s">
        <v>9</v>
      </c>
      <c r="P402" s="66" t="str">
        <f>IF(AND('331-CT'!$E$7=TH!H310,OR(N402="331",O402="331")),"x","")</f>
        <v/>
      </c>
      <c r="Q402" s="66" t="str">
        <f>IF(AND($B402&gt;='111'!$N$11,$B402&lt;='111'!$O$11,OR($N402=$Q$7,$O402=$Q$7)),"x","")</f>
        <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IF(AND('131-CT'!$H$9=TH!H310,OR(N402="131",O402="131")),"x","")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IF(OR(TH!N310=TH!$AB$7,O402=TH!$AB$7),"x","")</f>
        <v/>
      </c>
      <c r="AC402" s="66" t="str">
        <f>IF(AND(1&lt;=$B402,$B402&lt;=3),"1",IF(AND(4&lt;=$B402,$B402&lt;=6),"2",IF(AND(7&lt;=$B402,$B402&lt;=9),"3",IF(AND(10&lt;=$B402,$B402&lt;=12),"4",""))))</f>
        <v>2</v>
      </c>
      <c r="AD402" s="66" t="str">
        <f>IF(AND(MONTH(E402)&lt;='IN-NX'!$P$3,'IN-NX'!$D$7=D402,OR(LEFT(TH!N310,2)="15",LEFT(TH!O310,2)="15")),"x","")</f>
        <v/>
      </c>
      <c r="AE402" s="66" t="str">
        <f>IF(AND(OR(LEFT(TH!N310,2)="15",LEFT(TH!O310,2)="15"),'152-CT'!$J$8=TH!F310),"x","")</f>
        <v/>
      </c>
      <c r="AF402" s="66" t="str">
        <f>IF(AND(OR(LEFT(TH!N310,2)="15",LEFT(TH!O310,2)="15"),'THE KHO'!$E$7=TH!F310),"x","")</f>
        <v/>
      </c>
      <c r="AG402" s="66" t="str">
        <f>IF(AND(N402="1521",MONTH(C402)='BK NL'!$M$11),"x","")</f>
        <v/>
      </c>
    </row>
    <row r="403" spans="1:34" ht="15.75" customHeight="1">
      <c r="A403" s="398" t="str">
        <f>IF(B403&lt;&gt;"",IF(AND(B403&gt;=_TM1,B403&lt;=_TM2,OR(TH!N403="1111",TH!O403="1111")),TH!D403,""),"")</f>
        <v/>
      </c>
      <c r="B403" s="63">
        <f>IF(C403&lt;&gt;"",MONTH(C403),"")</f>
        <v>6</v>
      </c>
      <c r="C403" s="64">
        <v>42551</v>
      </c>
      <c r="D403" s="64" t="s">
        <v>45</v>
      </c>
      <c r="E403" s="64">
        <v>42516</v>
      </c>
      <c r="F403" s="67" t="s">
        <v>952</v>
      </c>
      <c r="G403" s="375" t="s">
        <v>957</v>
      </c>
      <c r="H403" s="74" t="s">
        <v>222</v>
      </c>
      <c r="I403" s="515"/>
      <c r="J403" s="515"/>
      <c r="K403" s="507"/>
      <c r="L403" s="515"/>
      <c r="M403" s="65">
        <v>28089300</v>
      </c>
      <c r="N403" s="66" t="s">
        <v>136</v>
      </c>
      <c r="O403" s="66" t="s">
        <v>9</v>
      </c>
      <c r="P403" s="66" t="str">
        <f>IF(AND('331-CT'!$E$7=TH!H311,OR(N403="331",O403="331")),"x","")</f>
        <v/>
      </c>
      <c r="Q403" s="66" t="str">
        <f>IF(AND($B403&gt;='111'!$N$11,$B403&lt;='111'!$O$11,OR($N403=$Q$7,$O403=$Q$7)),"x","")</f>
        <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IF(AND('131-CT'!$H$9=TH!H311,OR(N403="131",O403="131")),"x","")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IF(OR(TH!N311=TH!$AB$7,O403=TH!$AB$7),"x","")</f>
        <v/>
      </c>
      <c r="AC403" s="66" t="str">
        <f>IF(AND(1&lt;=$B403,$B403&lt;=3),"1",IF(AND(4&lt;=$B403,$B403&lt;=6),"2",IF(AND(7&lt;=$B403,$B403&lt;=9),"3",IF(AND(10&lt;=$B403,$B403&lt;=12),"4",""))))</f>
        <v>2</v>
      </c>
      <c r="AD403" s="66" t="str">
        <f>IF(AND(MONTH(E403)&lt;='IN-NX'!$P$3,'IN-NX'!$D$7=D403,OR(LEFT(TH!N311,2)="15",LEFT(TH!O311,2)="15")),"x","")</f>
        <v/>
      </c>
      <c r="AE403" s="66" t="str">
        <f>IF(AND(OR(LEFT(TH!N311,2)="15",LEFT(TH!O311,2)="15"),'152-CT'!$J$8=TH!F311),"x","")</f>
        <v/>
      </c>
      <c r="AF403" s="66" t="str">
        <f>IF(AND(OR(LEFT(TH!N311,2)="15",LEFT(TH!O311,2)="15"),'THE KHO'!$E$7=TH!F311),"x","")</f>
        <v/>
      </c>
      <c r="AG403" s="66" t="str">
        <f>IF(AND(N403="1521",MONTH(C403)='BK NL'!$M$11),"x","")</f>
        <v/>
      </c>
    </row>
    <row r="404" spans="1:34" s="408" customFormat="1" ht="15.75" customHeight="1">
      <c r="A404" s="398" t="str">
        <f>IF(B404&lt;&gt;"",IF(AND(B404&gt;=_TM1,B404&lt;=_TM2,OR(TH!N404="1111",TH!O404="1111")),TH!D404,""),"")</f>
        <v/>
      </c>
      <c r="B404" s="63">
        <f>IF(C404&lt;&gt;"",MONTH(C404),"")</f>
        <v>6</v>
      </c>
      <c r="C404" s="64">
        <v>42551</v>
      </c>
      <c r="D404" s="64" t="s">
        <v>45</v>
      </c>
      <c r="E404" s="64">
        <v>42516</v>
      </c>
      <c r="F404" s="67" t="s">
        <v>953</v>
      </c>
      <c r="G404" s="375" t="s">
        <v>957</v>
      </c>
      <c r="H404" s="74" t="s">
        <v>222</v>
      </c>
      <c r="I404" s="515"/>
      <c r="J404" s="515"/>
      <c r="K404" s="507"/>
      <c r="L404" s="515"/>
      <c r="M404" s="65">
        <v>2808930</v>
      </c>
      <c r="N404" s="66" t="s">
        <v>10</v>
      </c>
      <c r="O404" s="66" t="s">
        <v>9</v>
      </c>
      <c r="P404" s="66" t="str">
        <f>IF(AND('331-CT'!$E$7=TH!H312,OR(N404="331",O404="331")),"x","")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IF(AND('131-CT'!$H$9=TH!H312,OR(N404="131",O404="131")),"x","")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IF(OR(TH!N312=TH!$AB$7,O404=TH!$AB$7),"x","")</f>
        <v/>
      </c>
      <c r="AC404" s="66" t="str">
        <f>IF(AND(1&lt;=$B404,$B404&lt;=3),"1",IF(AND(4&lt;=$B404,$B404&lt;=6),"2",IF(AND(7&lt;=$B404,$B404&lt;=9),"3",IF(AND(10&lt;=$B404,$B404&lt;=12),"4",""))))</f>
        <v>2</v>
      </c>
      <c r="AD404" s="66" t="str">
        <f>IF(AND(MONTH(E404)&lt;='IN-NX'!$P$3,'IN-NX'!$D$7=D404,OR(LEFT(TH!N312,2)="15",LEFT(TH!O312,2)="15")),"x","")</f>
        <v/>
      </c>
      <c r="AE404" s="66" t="str">
        <f>IF(AND(OR(LEFT(TH!N312,2)="15",LEFT(TH!O312,2)="15"),'152-CT'!$J$8=TH!F312),"x","")</f>
        <v/>
      </c>
      <c r="AF404" s="66" t="str">
        <f>IF(AND(OR(LEFT(TH!N312,2)="15",LEFT(TH!O312,2)="15"),'THE KHO'!$E$7=TH!F312),"x","")</f>
        <v/>
      </c>
      <c r="AG404" s="66" t="str">
        <f>IF(AND(N404="1521",MONTH(C404)='BK NL'!$M$11),"x","")</f>
        <v/>
      </c>
      <c r="AH404" s="387"/>
    </row>
    <row r="405" spans="1:34" s="408" customFormat="1" ht="15.75" customHeight="1">
      <c r="A405" s="398" t="str">
        <f>IF(B405&lt;&gt;"",IF(AND(B405&gt;=_TM1,B405&lt;=_TM2,OR(TH!N405="1111",TH!O405="1111")),TH!D405,""),"")</f>
        <v/>
      </c>
      <c r="B405" s="81">
        <f>IF(C405&lt;&gt;"",MONTH(C405),"")</f>
        <v>6</v>
      </c>
      <c r="C405" s="64">
        <v>42551</v>
      </c>
      <c r="D405" s="1047" t="s">
        <v>45</v>
      </c>
      <c r="E405" s="82">
        <f>C405</f>
        <v>42551</v>
      </c>
      <c r="F405" s="83" t="s">
        <v>885</v>
      </c>
      <c r="G405" s="1047"/>
      <c r="H405" s="1048" t="s">
        <v>886</v>
      </c>
      <c r="I405" s="513"/>
      <c r="J405" s="513"/>
      <c r="K405" s="505"/>
      <c r="L405" s="513"/>
      <c r="M405" s="85"/>
      <c r="N405" s="86" t="s">
        <v>107</v>
      </c>
      <c r="O405" s="86" t="s">
        <v>10</v>
      </c>
      <c r="P405" s="66" t="str">
        <f>IF(AND('331-CT'!$E$7=TH!H313,OR(N405="331",O405="331")),"x","")</f>
        <v/>
      </c>
      <c r="Q405" s="66" t="str">
        <f>IF(AND($B405&gt;='111'!$N$11,$B405&lt;='111'!$O$11,OR($N405=$Q$7,$O405=$Q$7)),"x","")</f>
        <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IF(AND('131-CT'!$H$9=TH!H313,OR(N405="131",O405="131")),"x","")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IF(OR(TH!N313=TH!$AB$7,O405=TH!$AB$7),"x","")</f>
        <v/>
      </c>
      <c r="AC405" s="66" t="str">
        <f>IF(AND(1&lt;=$B405,$B405&lt;=3),"1",IF(AND(4&lt;=$B405,$B405&lt;=6),"2",IF(AND(7&lt;=$B405,$B405&lt;=9),"3",IF(AND(10&lt;=$B405,$B405&lt;=12),"4",""))))</f>
        <v>2</v>
      </c>
      <c r="AD405" s="66" t="str">
        <f>IF(AND(MONTH(E405)&lt;='IN-NX'!$P$3,'IN-NX'!$D$7=D405,OR(LEFT(TH!N313,2)="15",LEFT(TH!O313,2)="15")),"x","")</f>
        <v/>
      </c>
      <c r="AE405" s="66" t="str">
        <f>IF(AND(OR(LEFT(TH!N313,2)="15",LEFT(TH!O313,2)="15"),'152-CT'!$J$8=TH!F313),"x","")</f>
        <v/>
      </c>
      <c r="AF405" s="66" t="str">
        <f>IF(AND(OR(LEFT(TH!N313,2)="15",LEFT(TH!O313,2)="15"),'THE KHO'!$E$7=TH!F313),"x","")</f>
        <v/>
      </c>
      <c r="AG405" s="66" t="str">
        <f>IF(AND(N405="1521",MONTH(C405)='BK NL'!$M$11),"x","")</f>
        <v/>
      </c>
      <c r="AH405" s="407"/>
    </row>
    <row r="406" spans="1:34" s="409" customFormat="1" ht="15.75" customHeight="1">
      <c r="A406" s="398" t="str">
        <f>IF(B406&lt;&gt;"",IF(AND(B406&gt;=_TM1,B406&lt;=_TM2,OR(TH!N406="1111",TH!O406="1111")),TH!D406,""),"")</f>
        <v>C48</v>
      </c>
      <c r="B406" s="63">
        <f>IF(C406&lt;&gt;"",MONTH(C406),"")</f>
        <v>6</v>
      </c>
      <c r="C406" s="64">
        <f>E406</f>
        <v>42551</v>
      </c>
      <c r="D406" s="64" t="s">
        <v>902</v>
      </c>
      <c r="E406" s="64">
        <v>42551</v>
      </c>
      <c r="F406" s="67" t="s">
        <v>866</v>
      </c>
      <c r="G406" s="375"/>
      <c r="H406" s="74" t="s">
        <v>183</v>
      </c>
      <c r="I406" s="515"/>
      <c r="J406" s="515"/>
      <c r="K406" s="507"/>
      <c r="L406" s="515"/>
      <c r="M406" s="65">
        <f>ROUND((30000*36+40000*26)/1.1,0)</f>
        <v>1927273</v>
      </c>
      <c r="N406" s="66" t="s">
        <v>136</v>
      </c>
      <c r="O406" s="66" t="s">
        <v>98</v>
      </c>
      <c r="P406" s="66" t="str">
        <f>IF(AND('331-CT'!$E$7=TH!H314,OR(N406="331",O406="331")),"x","")</f>
        <v/>
      </c>
      <c r="Q406" s="66" t="str">
        <f>IF(AND($B406&gt;='111'!$N$11,$B406&lt;='111'!$O$11,OR($N406=$Q$7,$O406=$Q$7)),"x","")</f>
        <v>x</v>
      </c>
      <c r="R406" s="66" t="str">
        <f>IF(AND($N406=$Q$7,$B406&lt;'111'!$N$11),"x","")</f>
        <v/>
      </c>
      <c r="S406" s="66" t="str">
        <f>IF(AND($O406=$Q$7,$B406&lt;'111'!$N$11),"x","")</f>
        <v/>
      </c>
      <c r="T406" s="66" t="str">
        <f>IF(AND($B406&gt;='112'!$M$9,$B406&lt;='112'!$N$9,OR($N406='112'!$I$6,$O406='112'!$I$6)),"x","")</f>
        <v/>
      </c>
      <c r="U406" s="66" t="str">
        <f>IF(AND($N406='112'!$I$6,$B406&lt;'112'!$M$9),"x","")</f>
        <v/>
      </c>
      <c r="V406" s="66" t="str">
        <f>IF(AND($O406='112'!$I$6,$B406&lt;'112'!$M$9),"x","")</f>
        <v/>
      </c>
      <c r="W406" s="66" t="str">
        <f>IF(AND('131-CT'!$H$9=TH!H314,OR(N406="131",O406="131")),"x","")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IF(OR(TH!N314=TH!$AB$7,O406=TH!$AB$7),"x","")</f>
        <v/>
      </c>
      <c r="AC406" s="66" t="str">
        <f>IF(AND(1&lt;=$B406,$B406&lt;=3),"1",IF(AND(4&lt;=$B406,$B406&lt;=6),"2",IF(AND(7&lt;=$B406,$B406&lt;=9),"3",IF(AND(10&lt;=$B406,$B406&lt;=12),"4",""))))</f>
        <v>2</v>
      </c>
      <c r="AD406" s="66" t="str">
        <f>IF(AND(MONTH(E406)&lt;='IN-NX'!$P$3,'IN-NX'!$D$7=D406,OR(LEFT(TH!N314,2)="15",LEFT(TH!O314,2)="15")),"x","")</f>
        <v/>
      </c>
      <c r="AE406" s="66" t="str">
        <f>IF(AND(OR(LEFT(TH!N314,2)="15",LEFT(TH!O314,2)="15"),'152-CT'!$J$8=TH!F314),"x","")</f>
        <v/>
      </c>
      <c r="AF406" s="66" t="str">
        <f>IF(AND(OR(LEFT(TH!N314,2)="15",LEFT(TH!O314,2)="15"),'THE KHO'!$E$7=TH!F314),"x","")</f>
        <v/>
      </c>
      <c r="AG406" s="66" t="str">
        <f>IF(AND(N406="1521",MONTH(C406)='BK NL'!$M$11),"x","")</f>
        <v/>
      </c>
      <c r="AH406" s="387"/>
    </row>
    <row r="407" spans="1:34" ht="15.75" customHeight="1">
      <c r="A407" s="398" t="str">
        <f>IF(B407&lt;&gt;"",IF(AND(B407&gt;=_TM1,B407&lt;=_TM2,OR(TH!N407="1111",TH!O407="1111")),TH!D407,""),"")</f>
        <v>C48</v>
      </c>
      <c r="B407" s="63">
        <f>IF(C407&lt;&gt;"",MONTH(C407),"")</f>
        <v>6</v>
      </c>
      <c r="C407" s="64">
        <f>E407</f>
        <v>42551</v>
      </c>
      <c r="D407" s="64" t="s">
        <v>902</v>
      </c>
      <c r="E407" s="64">
        <v>42551</v>
      </c>
      <c r="F407" s="67" t="s">
        <v>867</v>
      </c>
      <c r="G407" s="375"/>
      <c r="H407" s="74" t="s">
        <v>183</v>
      </c>
      <c r="I407" s="515"/>
      <c r="J407" s="515"/>
      <c r="K407" s="507"/>
      <c r="L407" s="515"/>
      <c r="M407" s="65">
        <f>ROUND(M406*0.1,0)</f>
        <v>192727</v>
      </c>
      <c r="N407" s="66" t="s">
        <v>10</v>
      </c>
      <c r="O407" s="66" t="s">
        <v>98</v>
      </c>
      <c r="P407" s="66" t="str">
        <f>IF(AND('331-CT'!$E$7=TH!H315,OR(N407="331",O407="331")),"x","")</f>
        <v/>
      </c>
      <c r="Q407" s="66" t="str">
        <f>IF(AND($B407&gt;='111'!$N$11,$B407&lt;='111'!$O$11,OR($N407=$Q$7,$O407=$Q$7)),"x","")</f>
        <v>x</v>
      </c>
      <c r="R407" s="66" t="str">
        <f>IF(AND($N407=$Q$7,$B407&lt;'111'!$N$11),"x","")</f>
        <v/>
      </c>
      <c r="S407" s="66" t="str">
        <f>IF(AND($O407=$Q$7,$B407&lt;'111'!$N$11),"x","")</f>
        <v/>
      </c>
      <c r="T407" s="66" t="str">
        <f>IF(AND($B407&gt;='112'!$M$9,$B407&lt;='112'!$N$9,OR($N407='112'!$I$6,$O407='112'!$I$6)),"x","")</f>
        <v/>
      </c>
      <c r="U407" s="66" t="str">
        <f>IF(AND($N407='112'!$I$6,$B407&lt;'112'!$M$9),"x","")</f>
        <v/>
      </c>
      <c r="V407" s="66" t="str">
        <f>IF(AND($O407='112'!$I$6,$B407&lt;'112'!$M$9),"x","")</f>
        <v/>
      </c>
      <c r="W407" s="66" t="str">
        <f>IF(AND('131-CT'!$H$9=TH!H315,OR(N407="131",O407="131")),"x","")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IF(OR(TH!N315=TH!$AB$7,O407=TH!$AB$7),"x","")</f>
        <v/>
      </c>
      <c r="AC407" s="66" t="str">
        <f>IF(AND(1&lt;=$B407,$B407&lt;=3),"1",IF(AND(4&lt;=$B407,$B407&lt;=6),"2",IF(AND(7&lt;=$B407,$B407&lt;=9),"3",IF(AND(10&lt;=$B407,$B407&lt;=12),"4",""))))</f>
        <v>2</v>
      </c>
      <c r="AD407" s="66" t="str">
        <f>IF(AND(MONTH(E407)&lt;='IN-NX'!$P$3,'IN-NX'!$D$7=D407,OR(LEFT(TH!N315,2)="15",LEFT(TH!O315,2)="15")),"x","")</f>
        <v/>
      </c>
      <c r="AE407" s="66" t="str">
        <f>IF(AND(OR(LEFT(TH!N315,2)="15",LEFT(TH!O315,2)="15"),'152-CT'!$J$8=TH!F315),"x","")</f>
        <v/>
      </c>
      <c r="AF407" s="66" t="str">
        <f>IF(AND(OR(LEFT(TH!N315,2)="15",LEFT(TH!O315,2)="15"),'THE KHO'!$E$7=TH!F315),"x","")</f>
        <v/>
      </c>
      <c r="AG407" s="66" t="str">
        <f>IF(AND(N407="1521",MONTH(C407)='BK NL'!$M$11),"x","")</f>
        <v/>
      </c>
    </row>
    <row r="408" spans="1:34" ht="15.75" customHeight="1">
      <c r="A408" s="398" t="str">
        <f>IF(B408&lt;&gt;"",IF(AND(B408&gt;=_TM1,B408&lt;=_TM2,OR(TH!N408="1111",TH!O408="1111")),TH!D408,""),"")</f>
        <v/>
      </c>
      <c r="B408" s="63">
        <f t="shared" ref="B400:B450" si="35">IF(C408&lt;&gt;"",MONTH(C408),"")</f>
        <v>1</v>
      </c>
      <c r="C408" s="64">
        <f t="shared" ref="C401:C413" si="36">E408</f>
        <v>0</v>
      </c>
      <c r="D408" s="64"/>
      <c r="E408" s="64"/>
      <c r="F408" s="67"/>
      <c r="G408" s="378"/>
      <c r="H408" s="406"/>
      <c r="I408" s="518"/>
      <c r="J408" s="518"/>
      <c r="K408" s="510"/>
      <c r="L408" s="518"/>
      <c r="M408" s="65"/>
      <c r="N408" s="66"/>
      <c r="O408" s="66"/>
      <c r="P408" s="66" t="str">
        <f>IF(AND('331-CT'!$E$7=TH!H408,OR(N408="331",O408="331")),"x","")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ref="AC407:AC470" si="37">IF(AND(1&lt;=$B408,$B408&lt;=3),"1",IF(AND(4&lt;=$B408,$B408&lt;=6),"2",IF(AND(7&lt;=$B408,$B408&lt;=9),"3",IF(AND(10&lt;=$B408,$B408&lt;=12),"4",""))))</f>
        <v>1</v>
      </c>
      <c r="AD408" s="66" t="str">
        <f>IF(AND(MONTH(E408)&lt;='IN-NX'!$P$3,'IN-NX'!$D$7=D408,OR(LEFT(TH!N408,2)="15",LEFT(TH!O408,2)="15")),"x","")</f>
        <v/>
      </c>
      <c r="AE408" s="66" t="str">
        <f>IF(AND(OR(LEFT(TH!N408,2)="15",LEFT(TH!O408,2)="15"),'152-CT'!$J$8=TH!F408),"x","")</f>
        <v/>
      </c>
      <c r="AF408" s="66" t="str">
        <f>IF(AND(OR(LEFT(TH!N408,2)="15",LEFT(TH!O408,2)="15"),'THE KHO'!$E$7=TH!F408),"x","")</f>
        <v/>
      </c>
      <c r="AG408" s="66" t="str">
        <f>IF(AND(N408="1521",MONTH(C408)='BK NL'!$M$11),"x","")</f>
        <v/>
      </c>
    </row>
    <row r="409" spans="1:34" s="410" customFormat="1" ht="15.75" customHeight="1">
      <c r="A409" s="398" t="str">
        <f>IF(B409&lt;&gt;"",IF(AND(B409&gt;=_TM1,B409&lt;=_TM2,OR(TH!N409="1111",TH!O409="1111")),TH!D409,""),"")</f>
        <v/>
      </c>
      <c r="B409" s="63">
        <f t="shared" si="35"/>
        <v>1</v>
      </c>
      <c r="C409" s="64">
        <f t="shared" si="36"/>
        <v>0</v>
      </c>
      <c r="D409" s="64"/>
      <c r="E409" s="64"/>
      <c r="F409" s="67"/>
      <c r="G409" s="361"/>
      <c r="H409" s="74"/>
      <c r="I409" s="515"/>
      <c r="J409" s="515"/>
      <c r="K409" s="507"/>
      <c r="L409" s="515"/>
      <c r="M409" s="65"/>
      <c r="N409" s="66"/>
      <c r="O409" s="66"/>
      <c r="P409" s="66" t="str">
        <f>IF(AND('331-CT'!$E$7=TH!H409,OR(N409="331",O409="331")),"x","")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37"/>
        <v>1</v>
      </c>
      <c r="AD409" s="66" t="str">
        <f>IF(AND(MONTH(E409)&lt;='IN-NX'!$P$3,'IN-NX'!$D$7=D409,OR(LEFT(TH!N409,2)="15",LEFT(TH!O409,2)="15")),"x","")</f>
        <v/>
      </c>
      <c r="AE409" s="66" t="str">
        <f>IF(AND(OR(LEFT(TH!N409,2)="15",LEFT(TH!O409,2)="15"),'152-CT'!$J$8=TH!F409),"x","")</f>
        <v/>
      </c>
      <c r="AF409" s="66" t="str">
        <f>IF(AND(OR(LEFT(TH!N409,2)="15",LEFT(TH!O409,2)="15"),'THE KHO'!$E$7=TH!F409),"x","")</f>
        <v/>
      </c>
      <c r="AG409" s="66" t="str">
        <f>IF(AND(N409="1521",MONTH(C409)='BK NL'!$M$11),"x","")</f>
        <v/>
      </c>
    </row>
    <row r="410" spans="1:34" s="410" customFormat="1" ht="15.75" customHeight="1">
      <c r="A410" s="398" t="str">
        <f>IF(B410&lt;&gt;"",IF(AND(B410&gt;=_TM1,B410&lt;=_TM2,OR(TH!N410="1111",TH!O410="1111")),TH!D410,""),"")</f>
        <v/>
      </c>
      <c r="B410" s="63">
        <f t="shared" si="35"/>
        <v>1</v>
      </c>
      <c r="C410" s="64">
        <f t="shared" si="36"/>
        <v>0</v>
      </c>
      <c r="D410" s="64"/>
      <c r="E410" s="64"/>
      <c r="F410" s="67"/>
      <c r="G410" s="361"/>
      <c r="H410" s="406"/>
      <c r="I410" s="518"/>
      <c r="J410" s="518"/>
      <c r="K410" s="510"/>
      <c r="L410" s="518"/>
      <c r="M410" s="65"/>
      <c r="N410" s="66"/>
      <c r="O410" s="66"/>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37"/>
        <v>1</v>
      </c>
      <c r="AD410" s="66" t="str">
        <f>IF(AND(MONTH(E410)&lt;='IN-NX'!$P$3,'IN-NX'!$D$7=D410,OR(LEFT(TH!N410,2)="15",LEFT(TH!O410,2)="15")),"x","")</f>
        <v/>
      </c>
      <c r="AE410" s="66" t="str">
        <f>IF(AND(OR(LEFT(TH!N410,2)="15",LEFT(TH!O410,2)="15"),'152-CT'!$J$8=TH!F410),"x","")</f>
        <v/>
      </c>
      <c r="AF410" s="66" t="str">
        <f>IF(AND(OR(LEFT(TH!N410,2)="15",LEFT(TH!O410,2)="15"),'THE KHO'!$E$7=TH!F410),"x","")</f>
        <v/>
      </c>
      <c r="AG410" s="66" t="str">
        <f>IF(AND(N410="1521",MONTH(C410)='BK NL'!$M$11),"x","")</f>
        <v/>
      </c>
    </row>
    <row r="411" spans="1:34" ht="15.75" customHeight="1">
      <c r="A411" s="398" t="str">
        <f>IF(B411&lt;&gt;"",IF(AND(B411&gt;=_TM1,B411&lt;=_TM2,OR(TH!N411="1111",TH!O411="1111")),TH!D411,""),"")</f>
        <v/>
      </c>
      <c r="B411" s="63">
        <f t="shared" si="35"/>
        <v>1</v>
      </c>
      <c r="C411" s="64">
        <f t="shared" si="36"/>
        <v>0</v>
      </c>
      <c r="D411" s="64"/>
      <c r="E411" s="64"/>
      <c r="F411" s="67"/>
      <c r="G411" s="361"/>
      <c r="H411" s="74"/>
      <c r="I411" s="515"/>
      <c r="J411" s="515"/>
      <c r="K411" s="507"/>
      <c r="L411" s="515"/>
      <c r="M411" s="65"/>
      <c r="N411" s="66"/>
      <c r="O411" s="66"/>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37"/>
        <v>1</v>
      </c>
      <c r="AD411" s="66" t="str">
        <f>IF(AND(MONTH(E411)&lt;='IN-NX'!$P$3,'IN-NX'!$D$7=D411,OR(LEFT(TH!N411,2)="15",LEFT(TH!O411,2)="15")),"x","")</f>
        <v/>
      </c>
      <c r="AE411" s="66" t="str">
        <f>IF(AND(OR(LEFT(TH!N411,2)="15",LEFT(TH!O411,2)="15"),'152-CT'!$J$8=TH!F411),"x","")</f>
        <v/>
      </c>
      <c r="AF411" s="66" t="str">
        <f>IF(AND(OR(LEFT(TH!N411,2)="15",LEFT(TH!O411,2)="15"),'THE KHO'!$E$7=TH!F411),"x","")</f>
        <v/>
      </c>
      <c r="AG411" s="66" t="str">
        <f>IF(AND(N411="1521",MONTH(C411)='BK NL'!$M$11),"x","")</f>
        <v/>
      </c>
    </row>
    <row r="412" spans="1:34" ht="15.75" customHeight="1">
      <c r="A412" s="398" t="str">
        <f>IF(B412&lt;&gt;"",IF(AND(B412&gt;=_TM1,B412&lt;=_TM2,OR(TH!N412="1111",TH!O412="1111")),TH!D412,""),"")</f>
        <v/>
      </c>
      <c r="B412" s="63">
        <f t="shared" si="35"/>
        <v>1</v>
      </c>
      <c r="C412" s="64">
        <f t="shared" si="36"/>
        <v>0</v>
      </c>
      <c r="D412" s="64"/>
      <c r="E412" s="64"/>
      <c r="F412" s="67"/>
      <c r="G412" s="361"/>
      <c r="H412" s="74"/>
      <c r="I412" s="515"/>
      <c r="J412" s="515"/>
      <c r="K412" s="507"/>
      <c r="L412" s="515"/>
      <c r="M412" s="65"/>
      <c r="N412" s="66"/>
      <c r="O412" s="66"/>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
      </c>
      <c r="U412" s="66" t="str">
        <f>IF(AND($N412='112'!$I$6,$B412&lt;'112'!$M$9),"x","")</f>
        <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37"/>
        <v>1</v>
      </c>
      <c r="AD412" s="66" t="str">
        <f>IF(AND(MONTH(E412)&lt;='IN-NX'!$P$3,'IN-NX'!$D$7=D412,OR(LEFT(TH!N412,2)="15",LEFT(TH!O412,2)="15")),"x","")</f>
        <v/>
      </c>
      <c r="AE412" s="66" t="str">
        <f>IF(AND(OR(LEFT(TH!N412,2)="15",LEFT(TH!O412,2)="15"),'152-CT'!$J$8=TH!F412),"x","")</f>
        <v/>
      </c>
      <c r="AF412" s="66" t="str">
        <f>IF(AND(OR(LEFT(TH!N412,2)="15",LEFT(TH!O412,2)="15"),'THE KHO'!$E$7=TH!F412),"x","")</f>
        <v/>
      </c>
      <c r="AG412" s="66" t="str">
        <f>IF(AND(N412="1521",MONTH(C412)='BK NL'!$M$11),"x","")</f>
        <v/>
      </c>
    </row>
    <row r="413" spans="1:34" ht="15.75" customHeight="1">
      <c r="A413" s="398" t="str">
        <f>IF(B413&lt;&gt;"",IF(AND(B413&gt;=_TM1,B413&lt;=_TM2,OR(TH!N413="1111",TH!O413="1111")),TH!D413,""),"")</f>
        <v/>
      </c>
      <c r="B413" s="63">
        <f t="shared" si="35"/>
        <v>1</v>
      </c>
      <c r="C413" s="64">
        <f t="shared" si="36"/>
        <v>0</v>
      </c>
      <c r="D413" s="64"/>
      <c r="E413" s="64"/>
      <c r="F413" s="67"/>
      <c r="G413" s="361"/>
      <c r="H413" s="74"/>
      <c r="I413" s="515"/>
      <c r="J413" s="515"/>
      <c r="K413" s="507"/>
      <c r="L413" s="515"/>
      <c r="M413" s="65"/>
      <c r="N413" s="66"/>
      <c r="O413" s="66"/>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37"/>
        <v>1</v>
      </c>
      <c r="AD413" s="66" t="str">
        <f>IF(AND(MONTH(E413)&lt;='IN-NX'!$P$3,'IN-NX'!$D$7=D413,OR(LEFT(TH!N413,2)="15",LEFT(TH!O413,2)="15")),"x","")</f>
        <v/>
      </c>
      <c r="AE413" s="66" t="str">
        <f>IF(AND(OR(LEFT(TH!N413,2)="15",LEFT(TH!O413,2)="15"),'152-CT'!$J$8=TH!F413),"x","")</f>
        <v/>
      </c>
      <c r="AF413" s="66" t="str">
        <f>IF(AND(OR(LEFT(TH!N413,2)="15",LEFT(TH!O413,2)="15"),'THE KHO'!$E$7=TH!F413),"x","")</f>
        <v/>
      </c>
      <c r="AG413" s="66" t="str">
        <f>IF(AND(N413="1521",MONTH(C413)='BK NL'!$M$11),"x","")</f>
        <v/>
      </c>
    </row>
    <row r="414" spans="1:34" ht="15.75" customHeight="1">
      <c r="A414" s="398" t="str">
        <f>IF(B414&lt;&gt;"",IF(AND(B414&gt;=_TM1,B414&lt;=_TM2,OR(TH!N414="1111",TH!O414="1111")),TH!D414,""),"")</f>
        <v/>
      </c>
      <c r="B414" s="63" t="str">
        <f t="shared" si="35"/>
        <v/>
      </c>
      <c r="C414" s="64"/>
      <c r="D414" s="64"/>
      <c r="E414" s="64"/>
      <c r="F414" s="67"/>
      <c r="G414" s="361"/>
      <c r="H414" s="74"/>
      <c r="I414" s="515"/>
      <c r="J414" s="515"/>
      <c r="K414" s="507"/>
      <c r="L414" s="515"/>
      <c r="M414" s="65"/>
      <c r="N414" s="66"/>
      <c r="O414" s="66"/>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
      </c>
      <c r="AC414" s="66" t="str">
        <f t="shared" si="37"/>
        <v/>
      </c>
      <c r="AD414" s="66" t="str">
        <f>IF(AND(MONTH(E414)&lt;='IN-NX'!$P$3,'IN-NX'!$D$7=D414,OR(LEFT(TH!N414,2)="15",LEFT(TH!O414,2)="15")),"x","")</f>
        <v/>
      </c>
      <c r="AE414" s="66" t="str">
        <f>IF(AND(OR(LEFT(TH!N414,2)="15",LEFT(TH!O414,2)="15"),'152-CT'!$J$8=TH!F414),"x","")</f>
        <v/>
      </c>
      <c r="AF414" s="66" t="str">
        <f>IF(AND(OR(LEFT(TH!N414,2)="15",LEFT(TH!O414,2)="15"),'THE KHO'!$E$7=TH!F414),"x","")</f>
        <v/>
      </c>
      <c r="AG414" s="66" t="str">
        <f>IF(AND(N414="1521",MONTH(C414)='BK NL'!$M$11),"x","")</f>
        <v/>
      </c>
    </row>
    <row r="415" spans="1:34" ht="15.75" customHeight="1">
      <c r="A415" s="398" t="str">
        <f>IF(B415&lt;&gt;"",IF(AND(B415&gt;=_TM1,B415&lt;=_TM2,OR(TH!N415="1111",TH!O415="1111")),TH!D415,""),"")</f>
        <v/>
      </c>
      <c r="B415" s="63" t="str">
        <f t="shared" si="35"/>
        <v/>
      </c>
      <c r="C415" s="64"/>
      <c r="D415" s="64"/>
      <c r="E415" s="64"/>
      <c r="F415" s="67"/>
      <c r="G415" s="361"/>
      <c r="H415" s="74"/>
      <c r="I415" s="515"/>
      <c r="J415" s="515"/>
      <c r="K415" s="507"/>
      <c r="L415" s="515"/>
      <c r="M415" s="65"/>
      <c r="N415" s="66"/>
      <c r="O415" s="66"/>
      <c r="P415" s="66" t="str">
        <f>IF(AND('331-CT'!$E$7=TH!H415,OR(N415="331",O415="331")),"x","")</f>
        <v/>
      </c>
      <c r="Q415" s="66" t="str">
        <f>IF(AND($B415&gt;='111'!$N$11,$B415&lt;='111'!$O$11,OR($N415=$Q$7,$O415=$Q$7)),"x","")</f>
        <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
      </c>
      <c r="AC415" s="66" t="str">
        <f t="shared" si="37"/>
        <v/>
      </c>
      <c r="AD415" s="66" t="str">
        <f>IF(AND(MONTH(E415)&lt;='IN-NX'!$P$3,'IN-NX'!$D$7=D415,OR(LEFT(TH!N415,2)="15",LEFT(TH!O415,2)="15")),"x","")</f>
        <v/>
      </c>
      <c r="AE415" s="66" t="str">
        <f>IF(AND(OR(LEFT(TH!N415,2)="15",LEFT(TH!O415,2)="15"),'152-CT'!$J$8=TH!F415),"x","")</f>
        <v/>
      </c>
      <c r="AF415" s="66" t="str">
        <f>IF(AND(OR(LEFT(TH!N415,2)="15",LEFT(TH!O415,2)="15"),'THE KHO'!$E$7=TH!F415),"x","")</f>
        <v/>
      </c>
      <c r="AG415" s="66" t="str">
        <f>IF(AND(N415="1521",MONTH(C415)='BK NL'!$M$11),"x","")</f>
        <v/>
      </c>
    </row>
    <row r="416" spans="1:34" ht="15.75" customHeight="1">
      <c r="A416" s="398" t="str">
        <f>IF(B416&lt;&gt;"",IF(AND(B416&gt;=_TM1,B416&lt;=_TM2,OR(TH!N416="1111",TH!O416="1111")),TH!D416,""),"")</f>
        <v/>
      </c>
      <c r="B416" s="63" t="str">
        <f t="shared" si="35"/>
        <v/>
      </c>
      <c r="C416" s="64"/>
      <c r="D416" s="64"/>
      <c r="E416" s="64"/>
      <c r="F416" s="67"/>
      <c r="G416" s="361"/>
      <c r="H416" s="74"/>
      <c r="I416" s="515"/>
      <c r="J416" s="515"/>
      <c r="K416" s="507"/>
      <c r="L416" s="515"/>
      <c r="M416" s="65"/>
      <c r="N416" s="66"/>
      <c r="O416" s="66"/>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
      </c>
      <c r="AC416" s="66" t="str">
        <f t="shared" si="37"/>
        <v/>
      </c>
      <c r="AD416" s="66" t="str">
        <f>IF(AND(MONTH(E416)&lt;='IN-NX'!$P$3,'IN-NX'!$D$7=D416,OR(LEFT(TH!N416,2)="15",LEFT(TH!O416,2)="15")),"x","")</f>
        <v/>
      </c>
      <c r="AE416" s="66" t="str">
        <f>IF(AND(OR(LEFT(TH!N416,2)="15",LEFT(TH!O416,2)="15"),'152-CT'!$J$8=TH!F416),"x","")</f>
        <v/>
      </c>
      <c r="AF416" s="66" t="str">
        <f>IF(AND(OR(LEFT(TH!N416,2)="15",LEFT(TH!O416,2)="15"),'THE KHO'!$E$7=TH!F416),"x","")</f>
        <v/>
      </c>
      <c r="AG416" s="66" t="str">
        <f>IF(AND(N416="1521",MONTH(C416)='BK NL'!$M$11),"x","")</f>
        <v/>
      </c>
    </row>
    <row r="417" spans="1:33" ht="15.75" customHeight="1">
      <c r="A417" s="398" t="str">
        <f>IF(B417&lt;&gt;"",IF(AND(B417&gt;=_TM1,B417&lt;=_TM2,OR(TH!N417="1111",TH!O417="1111")),TH!D417,""),"")</f>
        <v/>
      </c>
      <c r="B417" s="63" t="str">
        <f t="shared" si="35"/>
        <v/>
      </c>
      <c r="C417" s="64"/>
      <c r="D417" s="64"/>
      <c r="E417" s="64"/>
      <c r="F417" s="67"/>
      <c r="G417" s="361"/>
      <c r="H417" s="74"/>
      <c r="I417" s="515"/>
      <c r="J417" s="515"/>
      <c r="K417" s="507"/>
      <c r="L417" s="515"/>
      <c r="M417" s="65"/>
      <c r="N417" s="66"/>
      <c r="O417" s="66"/>
      <c r="P417" s="66" t="str">
        <f>IF(AND('331-CT'!$E$7=TH!H417,OR(N417="331",O417="331")),"x","")</f>
        <v/>
      </c>
      <c r="Q417" s="66" t="str">
        <f>IF(AND($B417&gt;='111'!$N$11,$B417&lt;='111'!$O$11,OR($N417=$Q$7,$O417=$Q$7)),"x","")</f>
        <v/>
      </c>
      <c r="R417" s="66" t="str">
        <f>IF(AND($N417=$Q$7,$B417&lt;'111'!$N$11),"x","")</f>
        <v/>
      </c>
      <c r="S417" s="66" t="str">
        <f>IF(AND($O417=$Q$7,$B417&lt;'111'!$N$11),"x","")</f>
        <v/>
      </c>
      <c r="T417" s="66" t="str">
        <f>IF(AND($B417&gt;='112'!$M$9,$B417&lt;='112'!$N$9,OR($N417='112'!$I$6,$O417='112'!$I$6)),"x","")</f>
        <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
      </c>
      <c r="AC417" s="66" t="str">
        <f t="shared" si="37"/>
        <v/>
      </c>
      <c r="AD417" s="66" t="str">
        <f>IF(AND(MONTH(E417)&lt;='IN-NX'!$P$3,'IN-NX'!$D$7=D417,OR(LEFT(TH!N417,2)="15",LEFT(TH!O417,2)="15")),"x","")</f>
        <v/>
      </c>
      <c r="AE417" s="66" t="str">
        <f>IF(AND(OR(LEFT(TH!N417,2)="15",LEFT(TH!O417,2)="15"),'152-CT'!$J$8=TH!F417),"x","")</f>
        <v/>
      </c>
      <c r="AF417" s="66" t="str">
        <f>IF(AND(OR(LEFT(TH!N417,2)="15",LEFT(TH!O417,2)="15"),'THE KHO'!$E$7=TH!F417),"x","")</f>
        <v/>
      </c>
      <c r="AG417" s="66" t="str">
        <f>IF(AND(N417="1521",MONTH(C417)='BK NL'!$M$11),"x","")</f>
        <v/>
      </c>
    </row>
    <row r="418" spans="1:33" ht="15.75" customHeight="1">
      <c r="A418" s="398" t="str">
        <f>IF(B418&lt;&gt;"",IF(AND(B418&gt;=_TM1,B418&lt;=_TM2,OR(TH!N418="1111",TH!O418="1111")),TH!D418,""),"")</f>
        <v/>
      </c>
      <c r="B418" s="63" t="str">
        <f t="shared" si="35"/>
        <v/>
      </c>
      <c r="C418" s="64"/>
      <c r="D418" s="64"/>
      <c r="E418" s="64"/>
      <c r="F418" s="67"/>
      <c r="G418" s="361"/>
      <c r="H418" s="74"/>
      <c r="I418" s="515"/>
      <c r="J418" s="515"/>
      <c r="K418" s="507"/>
      <c r="L418" s="515"/>
      <c r="M418" s="65"/>
      <c r="N418" s="66"/>
      <c r="O418" s="66"/>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37"/>
        <v/>
      </c>
      <c r="AD418" s="66" t="str">
        <f>IF(AND(MONTH(E418)&lt;='IN-NX'!$P$3,'IN-NX'!$D$7=D418,OR(LEFT(TH!N418,2)="15",LEFT(TH!O418,2)="15")),"x","")</f>
        <v/>
      </c>
      <c r="AE418" s="66" t="str">
        <f>IF(AND(OR(LEFT(TH!N418,2)="15",LEFT(TH!O418,2)="15"),'152-CT'!$J$8=TH!F418),"x","")</f>
        <v/>
      </c>
      <c r="AF418" s="66" t="str">
        <f>IF(AND(OR(LEFT(TH!N418,2)="15",LEFT(TH!O418,2)="15"),'THE KHO'!$E$7=TH!F418),"x","")</f>
        <v/>
      </c>
      <c r="AG418" s="66" t="str">
        <f>IF(AND(N418="1521",MONTH(C418)='BK NL'!$M$11),"x","")</f>
        <v/>
      </c>
    </row>
    <row r="419" spans="1:33" ht="15.75" customHeight="1">
      <c r="A419" s="398" t="str">
        <f>IF(B419&lt;&gt;"",IF(AND(B419&gt;=_TM1,B419&lt;=_TM2,OR(TH!N419="1111",TH!O419="1111")),TH!D419,""),"")</f>
        <v/>
      </c>
      <c r="B419" s="96" t="str">
        <f t="shared" si="35"/>
        <v/>
      </c>
      <c r="C419" s="97"/>
      <c r="D419" s="64"/>
      <c r="E419" s="97"/>
      <c r="F419" s="98"/>
      <c r="G419" s="379"/>
      <c r="H419" s="99"/>
      <c r="I419" s="520"/>
      <c r="J419" s="520"/>
      <c r="K419" s="512"/>
      <c r="L419" s="520"/>
      <c r="M419" s="100"/>
      <c r="N419" s="87"/>
      <c r="O419" s="87"/>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37"/>
        <v/>
      </c>
      <c r="AD419" s="66" t="str">
        <f>IF(AND(MONTH(E419)&lt;='IN-NX'!$P$3,'IN-NX'!$D$7=D419,OR(LEFT(TH!N419,2)="15",LEFT(TH!O419,2)="15")),"x","")</f>
        <v/>
      </c>
      <c r="AE419" s="66" t="str">
        <f>IF(AND(OR(LEFT(TH!N419,2)="15",LEFT(TH!O419,2)="15"),'152-CT'!$J$8=TH!F419),"x","")</f>
        <v/>
      </c>
      <c r="AF419" s="66" t="str">
        <f>IF(AND(OR(LEFT(TH!N419,2)="15",LEFT(TH!O419,2)="15"),'THE KHO'!$E$7=TH!F419),"x","")</f>
        <v/>
      </c>
      <c r="AG419" s="66" t="str">
        <f>IF(AND(N419="1521",MONTH(C419)='BK NL'!$M$11),"x","")</f>
        <v/>
      </c>
    </row>
    <row r="420" spans="1:33" ht="15.75" customHeight="1">
      <c r="A420" s="398" t="str">
        <f>IF(B420&lt;&gt;"",IF(AND(B420&gt;=_TM1,B420&lt;=_TM2,OR(TH!N420="1111",TH!O420="1111")),TH!D420,""),"")</f>
        <v/>
      </c>
      <c r="B420" s="96" t="str">
        <f t="shared" si="35"/>
        <v/>
      </c>
      <c r="C420" s="97"/>
      <c r="D420" s="64"/>
      <c r="E420" s="97"/>
      <c r="F420" s="98"/>
      <c r="G420" s="379"/>
      <c r="H420" s="99"/>
      <c r="I420" s="520"/>
      <c r="J420" s="520"/>
      <c r="K420" s="512"/>
      <c r="L420" s="520"/>
      <c r="M420" s="100"/>
      <c r="N420" s="87"/>
      <c r="O420" s="87"/>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37"/>
        <v/>
      </c>
      <c r="AD420" s="66" t="str">
        <f>IF(AND(MONTH(E420)&lt;='IN-NX'!$P$3,'IN-NX'!$D$7=D420,OR(LEFT(TH!N420,2)="15",LEFT(TH!O420,2)="15")),"x","")</f>
        <v/>
      </c>
      <c r="AE420" s="66" t="str">
        <f>IF(AND(OR(LEFT(TH!N420,2)="15",LEFT(TH!O420,2)="15"),'152-CT'!$J$8=TH!F420),"x","")</f>
        <v/>
      </c>
      <c r="AF420" s="66" t="str">
        <f>IF(AND(OR(LEFT(TH!N420,2)="15",LEFT(TH!O420,2)="15"),'THE KHO'!$E$7=TH!F420),"x","")</f>
        <v/>
      </c>
      <c r="AG420" s="66" t="str">
        <f>IF(AND(N420="1521",MONTH(C420)='BK NL'!$M$11),"x","")</f>
        <v/>
      </c>
    </row>
    <row r="421" spans="1:33" ht="15.75" customHeight="1">
      <c r="A421" s="398" t="str">
        <f>IF(B421&lt;&gt;"",IF(AND(B421&gt;=_TM1,B421&lt;=_TM2,OR(TH!N421="1111",TH!O421="1111")),TH!D421,""),"")</f>
        <v/>
      </c>
      <c r="B421" s="63" t="str">
        <f t="shared" si="35"/>
        <v/>
      </c>
      <c r="C421" s="64"/>
      <c r="D421" s="64"/>
      <c r="E421" s="64"/>
      <c r="F421" s="67"/>
      <c r="G421" s="378"/>
      <c r="H421" s="74"/>
      <c r="I421" s="515"/>
      <c r="J421" s="515"/>
      <c r="K421" s="507"/>
      <c r="L421" s="515"/>
      <c r="M421" s="65"/>
      <c r="N421" s="66"/>
      <c r="O421" s="66"/>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37"/>
        <v/>
      </c>
      <c r="AD421" s="66" t="str">
        <f>IF(AND(MONTH(E421)&lt;='IN-NX'!$P$3,'IN-NX'!$D$7=D421,OR(LEFT(TH!N421,2)="15",LEFT(TH!O421,2)="15")),"x","")</f>
        <v/>
      </c>
      <c r="AE421" s="66" t="str">
        <f>IF(AND(OR(LEFT(TH!N421,2)="15",LEFT(TH!O421,2)="15"),'152-CT'!$J$8=TH!F421),"x","")</f>
        <v/>
      </c>
      <c r="AF421" s="66" t="str">
        <f>IF(AND(OR(LEFT(TH!N421,2)="15",LEFT(TH!O421,2)="15"),'THE KHO'!$E$7=TH!F421),"x","")</f>
        <v/>
      </c>
      <c r="AG421" s="66" t="str">
        <f>IF(AND(N421="1521",MONTH(C421)='BK NL'!$M$11),"x","")</f>
        <v/>
      </c>
    </row>
    <row r="422" spans="1:33" ht="15.75" customHeight="1">
      <c r="A422" s="398" t="str">
        <f>IF(B422&lt;&gt;"",IF(AND(B422&gt;=_TM1,B422&lt;=_TM2,OR(TH!N422="1111",TH!O422="1111")),TH!D422,""),"")</f>
        <v/>
      </c>
      <c r="B422" s="63" t="str">
        <f t="shared" si="35"/>
        <v/>
      </c>
      <c r="C422" s="64"/>
      <c r="D422" s="64"/>
      <c r="E422" s="64"/>
      <c r="F422" s="67"/>
      <c r="G422" s="378"/>
      <c r="H422" s="74"/>
      <c r="I422" s="515"/>
      <c r="J422" s="515"/>
      <c r="K422" s="507"/>
      <c r="L422" s="515"/>
      <c r="M422" s="65"/>
      <c r="N422" s="66"/>
      <c r="O422" s="66"/>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37"/>
        <v/>
      </c>
      <c r="AD422" s="66" t="str">
        <f>IF(AND(MONTH(E422)&lt;='IN-NX'!$P$3,'IN-NX'!$D$7=D422,OR(LEFT(TH!N422,2)="15",LEFT(TH!O422,2)="15")),"x","")</f>
        <v/>
      </c>
      <c r="AE422" s="66" t="str">
        <f>IF(AND(OR(LEFT(TH!N422,2)="15",LEFT(TH!O422,2)="15"),'152-CT'!$J$8=TH!F422),"x","")</f>
        <v/>
      </c>
      <c r="AF422" s="66" t="str">
        <f>IF(AND(OR(LEFT(TH!N422,2)="15",LEFT(TH!O422,2)="15"),'THE KHO'!$E$7=TH!F422),"x","")</f>
        <v/>
      </c>
      <c r="AG422" s="66" t="str">
        <f>IF(AND(N422="1521",MONTH(C422)='BK NL'!$M$11),"x","")</f>
        <v/>
      </c>
    </row>
    <row r="423" spans="1:33" ht="15.75" customHeight="1">
      <c r="A423" s="398" t="str">
        <f>IF(B423&lt;&gt;"",IF(AND(B423&gt;=_TM1,B423&lt;=_TM2,OR(TH!N423="1111",TH!O423="1111")),TH!D423,""),"")</f>
        <v/>
      </c>
      <c r="B423" s="63" t="str">
        <f t="shared" si="35"/>
        <v/>
      </c>
      <c r="C423" s="64"/>
      <c r="D423" s="64"/>
      <c r="E423" s="64"/>
      <c r="F423" s="67"/>
      <c r="G423" s="375"/>
      <c r="H423" s="74"/>
      <c r="I423" s="515"/>
      <c r="J423" s="515"/>
      <c r="K423" s="507"/>
      <c r="L423" s="515"/>
      <c r="M423" s="65"/>
      <c r="N423" s="66"/>
      <c r="O423" s="66"/>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37"/>
        <v/>
      </c>
      <c r="AD423" s="66" t="str">
        <f>IF(AND(MONTH(E423)&lt;='IN-NX'!$P$3,'IN-NX'!$D$7=D423,OR(LEFT(TH!N423,2)="15",LEFT(TH!O423,2)="15")),"x","")</f>
        <v/>
      </c>
      <c r="AE423" s="66" t="str">
        <f>IF(AND(OR(LEFT(TH!N423,2)="15",LEFT(TH!O423,2)="15"),'152-CT'!$J$8=TH!F423),"x","")</f>
        <v/>
      </c>
      <c r="AF423" s="66" t="str">
        <f>IF(AND(OR(LEFT(TH!N423,2)="15",LEFT(TH!O423,2)="15"),'THE KHO'!$E$7=TH!F423),"x","")</f>
        <v/>
      </c>
      <c r="AG423" s="66" t="str">
        <f>IF(AND(N423="1521",MONTH(C423)='BK NL'!$M$11),"x","")</f>
        <v/>
      </c>
    </row>
    <row r="424" spans="1:33" ht="15.75" customHeight="1">
      <c r="A424" s="398" t="str">
        <f>IF(B424&lt;&gt;"",IF(AND(B424&gt;=_TM1,B424&lt;=_TM2,OR(TH!N424="1111",TH!O424="1111")),TH!D424,""),"")</f>
        <v/>
      </c>
      <c r="B424" s="63" t="str">
        <f t="shared" si="35"/>
        <v/>
      </c>
      <c r="C424" s="64"/>
      <c r="D424" s="64"/>
      <c r="E424" s="64"/>
      <c r="F424" s="67"/>
      <c r="G424" s="375"/>
      <c r="H424" s="74"/>
      <c r="I424" s="515"/>
      <c r="J424" s="515"/>
      <c r="K424" s="507"/>
      <c r="L424" s="515"/>
      <c r="M424" s="65"/>
      <c r="N424" s="66"/>
      <c r="O424" s="66"/>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37"/>
        <v/>
      </c>
      <c r="AD424" s="66" t="str">
        <f>IF(AND(MONTH(E424)&lt;='IN-NX'!$P$3,'IN-NX'!$D$7=D424,OR(LEFT(TH!N424,2)="15",LEFT(TH!O424,2)="15")),"x","")</f>
        <v/>
      </c>
      <c r="AE424" s="66" t="str">
        <f>IF(AND(OR(LEFT(TH!N424,2)="15",LEFT(TH!O424,2)="15"),'152-CT'!$J$8=TH!F424),"x","")</f>
        <v/>
      </c>
      <c r="AF424" s="66" t="str">
        <f>IF(AND(OR(LEFT(TH!N424,2)="15",LEFT(TH!O424,2)="15"),'THE KHO'!$E$7=TH!F424),"x","")</f>
        <v/>
      </c>
      <c r="AG424" s="66" t="str">
        <f>IF(AND(N424="1521",MONTH(C424)='BK NL'!$M$11),"x","")</f>
        <v/>
      </c>
    </row>
    <row r="425" spans="1:33" ht="15.75" customHeight="1">
      <c r="A425" s="398" t="str">
        <f>IF(B425&lt;&gt;"",IF(AND(B425&gt;=_TM1,B425&lt;=_TM2,OR(TH!N425="1111",TH!O425="1111")),TH!D425,""),"")</f>
        <v/>
      </c>
      <c r="B425" s="63" t="str">
        <f t="shared" si="35"/>
        <v/>
      </c>
      <c r="C425" s="64"/>
      <c r="D425" s="64"/>
      <c r="E425" s="64"/>
      <c r="F425" s="67"/>
      <c r="G425" s="375"/>
      <c r="H425" s="74"/>
      <c r="I425" s="515"/>
      <c r="J425" s="515"/>
      <c r="K425" s="507"/>
      <c r="L425" s="515"/>
      <c r="M425" s="65"/>
      <c r="N425" s="66"/>
      <c r="O425" s="66"/>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37"/>
        <v/>
      </c>
      <c r="AD425" s="66" t="str">
        <f>IF(AND(MONTH(E425)&lt;='IN-NX'!$P$3,'IN-NX'!$D$7=D425,OR(LEFT(TH!N425,2)="15",LEFT(TH!O425,2)="15")),"x","")</f>
        <v/>
      </c>
      <c r="AE425" s="66" t="str">
        <f>IF(AND(OR(LEFT(TH!N425,2)="15",LEFT(TH!O425,2)="15"),'152-CT'!$J$8=TH!F425),"x","")</f>
        <v/>
      </c>
      <c r="AF425" s="66" t="str">
        <f>IF(AND(OR(LEFT(TH!N425,2)="15",LEFT(TH!O425,2)="15"),'THE KHO'!$E$7=TH!F425),"x","")</f>
        <v/>
      </c>
      <c r="AG425" s="66" t="str">
        <f>IF(AND(N425="1521",MONTH(C425)='BK NL'!$M$11),"x","")</f>
        <v/>
      </c>
    </row>
    <row r="426" spans="1:33" ht="15.75" customHeight="1">
      <c r="A426" s="398" t="str">
        <f>IF(B426&lt;&gt;"",IF(AND(B426&gt;=_TM1,B426&lt;=_TM2,OR(TH!N426="1111",TH!O426="1111")),TH!D426,""),"")</f>
        <v/>
      </c>
      <c r="B426" s="63" t="str">
        <f t="shared" si="35"/>
        <v/>
      </c>
      <c r="C426" s="64"/>
      <c r="D426" s="64"/>
      <c r="E426" s="64"/>
      <c r="F426" s="67"/>
      <c r="G426" s="375"/>
      <c r="H426" s="74"/>
      <c r="I426" s="515"/>
      <c r="J426" s="515"/>
      <c r="K426" s="507"/>
      <c r="L426" s="515"/>
      <c r="M426" s="65"/>
      <c r="N426" s="66"/>
      <c r="O426" s="66"/>
      <c r="P426" s="66" t="str">
        <f>IF(AND('331-CT'!$E$7=TH!H426,OR(N426="331",O426="331")),"x","")</f>
        <v/>
      </c>
      <c r="Q426" s="66" t="str">
        <f>IF(AND($B426&gt;='111'!$N$11,$B426&lt;='111'!$O$11,OR($N426=$Q$7,$O426=$Q$7)),"x","")</f>
        <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37"/>
        <v/>
      </c>
      <c r="AD426" s="66" t="str">
        <f>IF(AND(MONTH(E426)&lt;='IN-NX'!$P$3,'IN-NX'!$D$7=D426,OR(LEFT(TH!N426,2)="15",LEFT(TH!O426,2)="15")),"x","")</f>
        <v/>
      </c>
      <c r="AE426" s="66" t="str">
        <f>IF(AND(OR(LEFT(TH!N426,2)="15",LEFT(TH!O426,2)="15"),'152-CT'!$J$8=TH!F426),"x","")</f>
        <v/>
      </c>
      <c r="AF426" s="66" t="str">
        <f>IF(AND(OR(LEFT(TH!N426,2)="15",LEFT(TH!O426,2)="15"),'THE KHO'!$E$7=TH!F426),"x","")</f>
        <v/>
      </c>
      <c r="AG426" s="66" t="str">
        <f>IF(AND(N426="1521",MONTH(C426)='BK NL'!$M$11),"x","")</f>
        <v/>
      </c>
    </row>
    <row r="427" spans="1:33" ht="15.75" customHeight="1">
      <c r="A427" s="398" t="str">
        <f>IF(B427&lt;&gt;"",IF(AND(B427&gt;=_TM1,B427&lt;=_TM2,OR(TH!N427="1111",TH!O427="1111")),TH!D427,""),"")</f>
        <v/>
      </c>
      <c r="B427" s="63" t="str">
        <f t="shared" si="35"/>
        <v/>
      </c>
      <c r="C427" s="64"/>
      <c r="D427" s="64"/>
      <c r="E427" s="64"/>
      <c r="F427" s="67"/>
      <c r="G427" s="375"/>
      <c r="H427" s="74"/>
      <c r="I427" s="515"/>
      <c r="J427" s="515"/>
      <c r="K427" s="507"/>
      <c r="L427" s="515"/>
      <c r="M427" s="65"/>
      <c r="N427" s="66"/>
      <c r="O427" s="66"/>
      <c r="P427" s="66" t="str">
        <f>IF(AND('331-CT'!$E$7=TH!H427,OR(N427="331",O427="331")),"x","")</f>
        <v/>
      </c>
      <c r="Q427" s="66" t="str">
        <f>IF(AND($B427&gt;='111'!$N$11,$B427&lt;='111'!$O$11,OR($N427=$Q$7,$O427=$Q$7)),"x","")</f>
        <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37"/>
        <v/>
      </c>
      <c r="AD427" s="66" t="str">
        <f>IF(AND(MONTH(E427)&lt;='IN-NX'!$P$3,'IN-NX'!$D$7=D427,OR(LEFT(TH!N427,2)="15",LEFT(TH!O427,2)="15")),"x","")</f>
        <v/>
      </c>
      <c r="AE427" s="66" t="str">
        <f>IF(AND(OR(LEFT(TH!N427,2)="15",LEFT(TH!O427,2)="15"),'152-CT'!$J$8=TH!F427),"x","")</f>
        <v/>
      </c>
      <c r="AF427" s="66" t="str">
        <f>IF(AND(OR(LEFT(TH!N427,2)="15",LEFT(TH!O427,2)="15"),'THE KHO'!$E$7=TH!F427),"x","")</f>
        <v/>
      </c>
      <c r="AG427" s="66" t="str">
        <f>IF(AND(N427="1521",MONTH(C427)='BK NL'!$M$11),"x","")</f>
        <v/>
      </c>
    </row>
    <row r="428" spans="1:33" ht="15.75" customHeight="1">
      <c r="A428" s="398" t="str">
        <f>IF(B428&lt;&gt;"",IF(AND(B428&gt;=_TM1,B428&lt;=_TM2,OR(TH!N428="1111",TH!O428="1111")),TH!D428,""),"")</f>
        <v/>
      </c>
      <c r="B428" s="63" t="str">
        <f t="shared" si="35"/>
        <v/>
      </c>
      <c r="C428" s="64"/>
      <c r="D428" s="64"/>
      <c r="E428" s="64"/>
      <c r="F428" s="67"/>
      <c r="G428" s="375"/>
      <c r="H428" s="74"/>
      <c r="I428" s="515"/>
      <c r="J428" s="515"/>
      <c r="K428" s="507"/>
      <c r="L428" s="515"/>
      <c r="M428" s="65"/>
      <c r="N428" s="66"/>
      <c r="O428" s="66"/>
      <c r="P428" s="66" t="str">
        <f>IF(AND('331-CT'!$E$7=TH!H428,OR(N428="331",O428="331")),"x","")</f>
        <v/>
      </c>
      <c r="Q428" s="66" t="str">
        <f>IF(AND($B428&gt;='111'!$N$11,$B428&lt;='111'!$O$11,OR($N428=$Q$7,$O428=$Q$7)),"x","")</f>
        <v/>
      </c>
      <c r="R428" s="66" t="str">
        <f>IF(AND($N428=$Q$7,$B428&lt;'111'!$N$11),"x","")</f>
        <v/>
      </c>
      <c r="S428" s="66" t="str">
        <f>IF(AND($O428=$Q$7,$B428&lt;'111'!$N$11),"x","")</f>
        <v/>
      </c>
      <c r="T428" s="66" t="str">
        <f>IF(AND($B428&gt;='112'!$M$9,$B428&lt;='112'!$N$9,OR($N428='112'!$I$6,$O428='112'!$I$6)),"x","")</f>
        <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37"/>
        <v/>
      </c>
      <c r="AD428" s="66" t="str">
        <f>IF(AND(MONTH(E428)&lt;='IN-NX'!$P$3,'IN-NX'!$D$7=D428,OR(LEFT(TH!N428,2)="15",LEFT(TH!O428,2)="15")),"x","")</f>
        <v/>
      </c>
      <c r="AE428" s="66" t="str">
        <f>IF(AND(OR(LEFT(TH!N428,2)="15",LEFT(TH!O428,2)="15"),'152-CT'!$J$8=TH!F428),"x","")</f>
        <v/>
      </c>
      <c r="AF428" s="66" t="str">
        <f>IF(AND(OR(LEFT(TH!N428,2)="15",LEFT(TH!O428,2)="15"),'THE KHO'!$E$7=TH!F428),"x","")</f>
        <v/>
      </c>
      <c r="AG428" s="66" t="str">
        <f>IF(AND(N428="1521",MONTH(C428)='BK NL'!$M$11),"x","")</f>
        <v/>
      </c>
    </row>
    <row r="429" spans="1:33" ht="15.75" customHeight="1">
      <c r="A429" s="398" t="str">
        <f>IF(B429&lt;&gt;"",IF(AND(B429&gt;=_TM1,B429&lt;=_TM2,OR(TH!N429="1111",TH!O429="1111")),TH!D429,""),"")</f>
        <v/>
      </c>
      <c r="B429" s="63" t="str">
        <f t="shared" si="35"/>
        <v/>
      </c>
      <c r="C429" s="64"/>
      <c r="D429" s="64"/>
      <c r="E429" s="64"/>
      <c r="F429" s="67"/>
      <c r="G429" s="375"/>
      <c r="H429" s="74"/>
      <c r="I429" s="515"/>
      <c r="J429" s="515"/>
      <c r="K429" s="507"/>
      <c r="L429" s="515"/>
      <c r="M429" s="65"/>
      <c r="N429" s="66"/>
      <c r="O429" s="66"/>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37"/>
        <v/>
      </c>
      <c r="AD429" s="66" t="str">
        <f>IF(AND(MONTH(E429)&lt;='IN-NX'!$P$3,'IN-NX'!$D$7=D429,OR(LEFT(TH!N429,2)="15",LEFT(TH!O429,2)="15")),"x","")</f>
        <v/>
      </c>
      <c r="AE429" s="66" t="str">
        <f>IF(AND(OR(LEFT(TH!N429,2)="15",LEFT(TH!O429,2)="15"),'152-CT'!$J$8=TH!F429),"x","")</f>
        <v/>
      </c>
      <c r="AF429" s="66" t="str">
        <f>IF(AND(OR(LEFT(TH!N429,2)="15",LEFT(TH!O429,2)="15"),'THE KHO'!$E$7=TH!F429),"x","")</f>
        <v/>
      </c>
      <c r="AG429" s="66" t="str">
        <f>IF(AND(N429="1521",MONTH(C429)='BK NL'!$M$11),"x","")</f>
        <v/>
      </c>
    </row>
    <row r="430" spans="1:33" ht="15.75" customHeight="1">
      <c r="A430" s="398" t="str">
        <f>IF(B430&lt;&gt;"",IF(AND(B430&gt;=_TM1,B430&lt;=_TM2,OR(TH!N430="1111",TH!O430="1111")),TH!D430,""),"")</f>
        <v/>
      </c>
      <c r="B430" s="63" t="str">
        <f t="shared" si="35"/>
        <v/>
      </c>
      <c r="C430" s="64"/>
      <c r="D430" s="64"/>
      <c r="E430" s="64"/>
      <c r="F430" s="67"/>
      <c r="G430" s="375"/>
      <c r="H430" s="74"/>
      <c r="I430" s="515"/>
      <c r="J430" s="515"/>
      <c r="K430" s="507"/>
      <c r="L430" s="515"/>
      <c r="M430" s="65"/>
      <c r="N430" s="66"/>
      <c r="O430" s="66"/>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37"/>
        <v/>
      </c>
      <c r="AD430" s="66" t="str">
        <f>IF(AND(MONTH(E430)&lt;='IN-NX'!$P$3,'IN-NX'!$D$7=D430,OR(LEFT(TH!N430,2)="15",LEFT(TH!O430,2)="15")),"x","")</f>
        <v/>
      </c>
      <c r="AE430" s="66" t="str">
        <f>IF(AND(OR(LEFT(TH!N430,2)="15",LEFT(TH!O430,2)="15"),'152-CT'!$J$8=TH!F430),"x","")</f>
        <v/>
      </c>
      <c r="AF430" s="66" t="str">
        <f>IF(AND(OR(LEFT(TH!N430,2)="15",LEFT(TH!O430,2)="15"),'THE KHO'!$E$7=TH!F430),"x","")</f>
        <v/>
      </c>
      <c r="AG430" s="66" t="str">
        <f>IF(AND(N430="1521",MONTH(C430)='BK NL'!$M$11),"x","")</f>
        <v/>
      </c>
    </row>
    <row r="431" spans="1:33" ht="15.75" customHeight="1">
      <c r="A431" s="398" t="str">
        <f>IF(B431&lt;&gt;"",IF(AND(B431&gt;=_TM1,B431&lt;=_TM2,OR(TH!N431="1111",TH!O431="1111")),TH!D431,""),"")</f>
        <v/>
      </c>
      <c r="B431" s="63" t="str">
        <f t="shared" si="35"/>
        <v/>
      </c>
      <c r="C431" s="64"/>
      <c r="D431" s="64"/>
      <c r="E431" s="64"/>
      <c r="F431" s="67"/>
      <c r="G431" s="361"/>
      <c r="H431" s="74"/>
      <c r="I431" s="515"/>
      <c r="J431" s="515"/>
      <c r="K431" s="507"/>
      <c r="L431" s="515"/>
      <c r="M431" s="65"/>
      <c r="N431" s="66"/>
      <c r="O431" s="66"/>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37"/>
        <v/>
      </c>
      <c r="AD431" s="66" t="str">
        <f>IF(AND(MONTH(E431)&lt;='IN-NX'!$P$3,'IN-NX'!$D$7=D431,OR(LEFT(TH!N431,2)="15",LEFT(TH!O431,2)="15")),"x","")</f>
        <v/>
      </c>
      <c r="AE431" s="66" t="str">
        <f>IF(AND(OR(LEFT(TH!N431,2)="15",LEFT(TH!O431,2)="15"),'152-CT'!$J$8=TH!F431),"x","")</f>
        <v/>
      </c>
      <c r="AF431" s="66" t="str">
        <f>IF(AND(OR(LEFT(TH!N431,2)="15",LEFT(TH!O431,2)="15"),'THE KHO'!$E$7=TH!F431),"x","")</f>
        <v/>
      </c>
      <c r="AG431" s="66" t="str">
        <f>IF(AND(N431="1521",MONTH(C431)='BK NL'!$M$11),"x","")</f>
        <v/>
      </c>
    </row>
    <row r="432" spans="1:33" ht="15.75" customHeight="1">
      <c r="A432" s="398" t="str">
        <f>IF(B432&lt;&gt;"",IF(AND(B432&gt;=_TM1,B432&lt;=_TM2,OR(TH!N432="1111",TH!O432="1111")),TH!D432,""),"")</f>
        <v/>
      </c>
      <c r="B432" s="63" t="str">
        <f t="shared" si="35"/>
        <v/>
      </c>
      <c r="C432" s="64"/>
      <c r="D432" s="64"/>
      <c r="E432" s="64"/>
      <c r="F432" s="67"/>
      <c r="G432" s="361"/>
      <c r="H432" s="74"/>
      <c r="I432" s="515"/>
      <c r="J432" s="515"/>
      <c r="K432" s="507"/>
      <c r="L432" s="515"/>
      <c r="M432" s="65"/>
      <c r="N432" s="66"/>
      <c r="O432" s="66"/>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37"/>
        <v/>
      </c>
      <c r="AD432" s="66" t="str">
        <f>IF(AND(MONTH(E432)&lt;='IN-NX'!$P$3,'IN-NX'!$D$7=D432,OR(LEFT(TH!N432,2)="15",LEFT(TH!O432,2)="15")),"x","")</f>
        <v/>
      </c>
      <c r="AE432" s="66" t="str">
        <f>IF(AND(OR(LEFT(TH!N432,2)="15",LEFT(TH!O432,2)="15"),'152-CT'!$J$8=TH!F432),"x","")</f>
        <v/>
      </c>
      <c r="AF432" s="66" t="str">
        <f>IF(AND(OR(LEFT(TH!N432,2)="15",LEFT(TH!O432,2)="15"),'THE KHO'!$E$7=TH!F432),"x","")</f>
        <v/>
      </c>
      <c r="AG432" s="66" t="str">
        <f>IF(AND(N432="1521",MONTH(C432)='BK NL'!$M$11),"x","")</f>
        <v/>
      </c>
    </row>
    <row r="433" spans="1:33" ht="15.75" customHeight="1">
      <c r="A433" s="398" t="str">
        <f>IF(B433&lt;&gt;"",IF(AND(B433&gt;=_TM1,B433&lt;=_TM2,OR(TH!N433="1111",TH!O433="1111")),TH!D433,""),"")</f>
        <v/>
      </c>
      <c r="B433" s="63" t="str">
        <f t="shared" si="35"/>
        <v/>
      </c>
      <c r="C433" s="64"/>
      <c r="D433" s="64"/>
      <c r="E433" s="64"/>
      <c r="F433" s="67"/>
      <c r="G433" s="361"/>
      <c r="H433" s="74"/>
      <c r="I433" s="515"/>
      <c r="J433" s="515"/>
      <c r="K433" s="507"/>
      <c r="L433" s="515"/>
      <c r="M433" s="65"/>
      <c r="N433" s="66"/>
      <c r="O433" s="66"/>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37"/>
        <v/>
      </c>
      <c r="AD433" s="66" t="str">
        <f>IF(AND(MONTH(E433)&lt;='IN-NX'!$P$3,'IN-NX'!$D$7=D433,OR(LEFT(TH!N433,2)="15",LEFT(TH!O433,2)="15")),"x","")</f>
        <v/>
      </c>
      <c r="AE433" s="66" t="str">
        <f>IF(AND(OR(LEFT(TH!N433,2)="15",LEFT(TH!O433,2)="15"),'152-CT'!$J$8=TH!F433),"x","")</f>
        <v/>
      </c>
      <c r="AF433" s="66" t="str">
        <f>IF(AND(OR(LEFT(TH!N433,2)="15",LEFT(TH!O433,2)="15"),'THE KHO'!$E$7=TH!F433),"x","")</f>
        <v/>
      </c>
      <c r="AG433" s="66" t="str">
        <f>IF(AND(N433="1521",MONTH(C433)='BK NL'!$M$11),"x","")</f>
        <v/>
      </c>
    </row>
    <row r="434" spans="1:33" ht="15.75" customHeight="1">
      <c r="A434" s="398" t="str">
        <f>IF(B434&lt;&gt;"",IF(AND(B434&gt;=_TM1,B434&lt;=_TM2,OR(TH!N434="1111",TH!O434="1111")),TH!D434,""),"")</f>
        <v/>
      </c>
      <c r="B434" s="63" t="str">
        <f t="shared" si="35"/>
        <v/>
      </c>
      <c r="C434" s="64"/>
      <c r="D434" s="64"/>
      <c r="E434" s="64"/>
      <c r="F434" s="67"/>
      <c r="G434" s="361"/>
      <c r="H434" s="74"/>
      <c r="I434" s="515"/>
      <c r="J434" s="515"/>
      <c r="K434" s="507"/>
      <c r="L434" s="515"/>
      <c r="M434" s="65"/>
      <c r="N434" s="66"/>
      <c r="O434" s="66"/>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37"/>
        <v/>
      </c>
      <c r="AD434" s="66" t="str">
        <f>IF(AND(MONTH(E434)&lt;='IN-NX'!$P$3,'IN-NX'!$D$7=D434,OR(LEFT(TH!N434,2)="15",LEFT(TH!O434,2)="15")),"x","")</f>
        <v/>
      </c>
      <c r="AE434" s="66" t="str">
        <f>IF(AND(OR(LEFT(TH!N434,2)="15",LEFT(TH!O434,2)="15"),'152-CT'!$J$8=TH!F434),"x","")</f>
        <v/>
      </c>
      <c r="AF434" s="66" t="str">
        <f>IF(AND(OR(LEFT(TH!N434,2)="15",LEFT(TH!O434,2)="15"),'THE KHO'!$E$7=TH!F434),"x","")</f>
        <v/>
      </c>
      <c r="AG434" s="66" t="str">
        <f>IF(AND(N434="1521",MONTH(C434)='BK NL'!$M$11),"x","")</f>
        <v/>
      </c>
    </row>
    <row r="435" spans="1:33" ht="15.75" customHeight="1">
      <c r="A435" s="398" t="str">
        <f>IF(B435&lt;&gt;"",IF(AND(B435&gt;=_TM1,B435&lt;=_TM2,OR(TH!N435="1111",TH!O435="1111")),TH!D435,""),"")</f>
        <v/>
      </c>
      <c r="B435" s="63" t="str">
        <f t="shared" si="35"/>
        <v/>
      </c>
      <c r="C435" s="64"/>
      <c r="D435" s="64"/>
      <c r="E435" s="64"/>
      <c r="F435" s="67"/>
      <c r="G435" s="361"/>
      <c r="H435" s="74"/>
      <c r="I435" s="515"/>
      <c r="J435" s="515"/>
      <c r="K435" s="507"/>
      <c r="L435" s="515"/>
      <c r="M435" s="65"/>
      <c r="N435" s="66"/>
      <c r="O435" s="66"/>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37"/>
        <v/>
      </c>
      <c r="AD435" s="66" t="str">
        <f>IF(AND(MONTH(E435)&lt;='IN-NX'!$P$3,'IN-NX'!$D$7=D435,OR(LEFT(TH!N435,2)="15",LEFT(TH!O435,2)="15")),"x","")</f>
        <v/>
      </c>
      <c r="AE435" s="66" t="str">
        <f>IF(AND(OR(LEFT(TH!N435,2)="15",LEFT(TH!O435,2)="15"),'152-CT'!$J$8=TH!F435),"x","")</f>
        <v/>
      </c>
      <c r="AF435" s="66" t="str">
        <f>IF(AND(OR(LEFT(TH!N435,2)="15",LEFT(TH!O435,2)="15"),'THE KHO'!$E$7=TH!F435),"x","")</f>
        <v/>
      </c>
      <c r="AG435" s="66" t="str">
        <f>IF(AND(N435="1521",MONTH(C435)='BK NL'!$M$11),"x","")</f>
        <v/>
      </c>
    </row>
    <row r="436" spans="1:33" ht="15.75" customHeight="1">
      <c r="A436" s="398" t="str">
        <f>IF(B436&lt;&gt;"",IF(AND(B436&gt;=_TM1,B436&lt;=_TM2,OR(TH!N436="1111",TH!O436="1111")),TH!D436,""),"")</f>
        <v/>
      </c>
      <c r="B436" s="63" t="str">
        <f t="shared" si="35"/>
        <v/>
      </c>
      <c r="C436" s="64"/>
      <c r="D436" s="64"/>
      <c r="E436" s="64"/>
      <c r="F436" s="67"/>
      <c r="G436" s="361"/>
      <c r="H436" s="74"/>
      <c r="I436" s="515"/>
      <c r="J436" s="515"/>
      <c r="K436" s="507"/>
      <c r="L436" s="515"/>
      <c r="M436" s="65"/>
      <c r="N436" s="66"/>
      <c r="O436" s="66"/>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37"/>
        <v/>
      </c>
      <c r="AD436" s="66" t="str">
        <f>IF(AND(MONTH(E436)&lt;='IN-NX'!$P$3,'IN-NX'!$D$7=D436,OR(LEFT(TH!N436,2)="15",LEFT(TH!O436,2)="15")),"x","")</f>
        <v/>
      </c>
      <c r="AE436" s="66" t="str">
        <f>IF(AND(OR(LEFT(TH!N436,2)="15",LEFT(TH!O436,2)="15"),'152-CT'!$J$8=TH!F436),"x","")</f>
        <v/>
      </c>
      <c r="AF436" s="66" t="str">
        <f>IF(AND(OR(LEFT(TH!N436,2)="15",LEFT(TH!O436,2)="15"),'THE KHO'!$E$7=TH!F436),"x","")</f>
        <v/>
      </c>
      <c r="AG436" s="66" t="str">
        <f>IF(AND(N436="1521",MONTH(C436)='BK NL'!$M$11),"x","")</f>
        <v/>
      </c>
    </row>
    <row r="437" spans="1:33" ht="15.75" customHeight="1">
      <c r="A437" s="398" t="str">
        <f>IF(B437&lt;&gt;"",IF(AND(B437&gt;=_TM1,B437&lt;=_TM2,OR(TH!N437="1111",TH!O437="1111")),TH!D437,""),"")</f>
        <v/>
      </c>
      <c r="B437" s="63" t="str">
        <f t="shared" si="35"/>
        <v/>
      </c>
      <c r="C437" s="64"/>
      <c r="D437" s="64"/>
      <c r="E437" s="64"/>
      <c r="F437" s="67"/>
      <c r="G437" s="361"/>
      <c r="H437" s="74"/>
      <c r="I437" s="515"/>
      <c r="J437" s="515"/>
      <c r="K437" s="507"/>
      <c r="L437" s="515"/>
      <c r="M437" s="65"/>
      <c r="N437" s="66"/>
      <c r="O437" s="66"/>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37"/>
        <v/>
      </c>
      <c r="AD437" s="66" t="str">
        <f>IF(AND(MONTH(E437)&lt;='IN-NX'!$P$3,'IN-NX'!$D$7=D437,OR(LEFT(TH!N437,2)="15",LEFT(TH!O437,2)="15")),"x","")</f>
        <v/>
      </c>
      <c r="AE437" s="66" t="str">
        <f>IF(AND(OR(LEFT(TH!N437,2)="15",LEFT(TH!O437,2)="15"),'152-CT'!$J$8=TH!F437),"x","")</f>
        <v/>
      </c>
      <c r="AF437" s="66" t="str">
        <f>IF(AND(OR(LEFT(TH!N437,2)="15",LEFT(TH!O437,2)="15"),'THE KHO'!$E$7=TH!F437),"x","")</f>
        <v/>
      </c>
      <c r="AG437" s="66" t="str">
        <f>IF(AND(N437="1521",MONTH(C437)='BK NL'!$M$11),"x","")</f>
        <v/>
      </c>
    </row>
    <row r="438" spans="1:33" ht="15.75" customHeight="1">
      <c r="A438" s="398" t="str">
        <f>IF(B438&lt;&gt;"",IF(AND(B438&gt;=_TM1,B438&lt;=_TM2,OR(TH!N438="1111",TH!O438="1111")),TH!D438,""),"")</f>
        <v/>
      </c>
      <c r="B438" s="63" t="str">
        <f t="shared" si="35"/>
        <v/>
      </c>
      <c r="C438" s="64"/>
      <c r="D438" s="64"/>
      <c r="E438" s="64"/>
      <c r="F438" s="67"/>
      <c r="G438" s="361"/>
      <c r="H438" s="74"/>
      <c r="I438" s="515"/>
      <c r="J438" s="515"/>
      <c r="K438" s="507"/>
      <c r="L438" s="515"/>
      <c r="M438" s="65"/>
      <c r="N438" s="66"/>
      <c r="O438" s="66"/>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37"/>
        <v/>
      </c>
      <c r="AD438" s="66" t="str">
        <f>IF(AND(MONTH(E438)&lt;='IN-NX'!$P$3,'IN-NX'!$D$7=D438,OR(LEFT(TH!N438,2)="15",LEFT(TH!O438,2)="15")),"x","")</f>
        <v/>
      </c>
      <c r="AE438" s="66" t="str">
        <f>IF(AND(OR(LEFT(TH!N438,2)="15",LEFT(TH!O438,2)="15"),'152-CT'!$J$8=TH!F438),"x","")</f>
        <v/>
      </c>
      <c r="AF438" s="66" t="str">
        <f>IF(AND(OR(LEFT(TH!N438,2)="15",LEFT(TH!O438,2)="15"),'THE KHO'!$E$7=TH!F438),"x","")</f>
        <v/>
      </c>
      <c r="AG438" s="66" t="str">
        <f>IF(AND(N438="1521",MONTH(C438)='BK NL'!$M$11),"x","")</f>
        <v/>
      </c>
    </row>
    <row r="439" spans="1:33" ht="15.75" customHeight="1">
      <c r="A439" s="398" t="str">
        <f>IF(B439&lt;&gt;"",IF(AND(B439&gt;=_TM1,B439&lt;=_TM2,OR(TH!N439="1111",TH!O439="1111")),TH!D439,""),"")</f>
        <v/>
      </c>
      <c r="B439" s="63" t="str">
        <f t="shared" si="35"/>
        <v/>
      </c>
      <c r="C439" s="64"/>
      <c r="D439" s="64"/>
      <c r="E439" s="64"/>
      <c r="F439" s="67"/>
      <c r="G439" s="361"/>
      <c r="H439" s="74"/>
      <c r="I439" s="515"/>
      <c r="J439" s="515"/>
      <c r="K439" s="507"/>
      <c r="L439" s="515"/>
      <c r="M439" s="65"/>
      <c r="N439" s="66"/>
      <c r="O439" s="66"/>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37"/>
        <v/>
      </c>
      <c r="AD439" s="66" t="str">
        <f>IF(AND(MONTH(E439)&lt;='IN-NX'!$P$3,'IN-NX'!$D$7=D439,OR(LEFT(TH!N439,2)="15",LEFT(TH!O439,2)="15")),"x","")</f>
        <v/>
      </c>
      <c r="AE439" s="66" t="str">
        <f>IF(AND(OR(LEFT(TH!N439,2)="15",LEFT(TH!O439,2)="15"),'152-CT'!$J$8=TH!F439),"x","")</f>
        <v/>
      </c>
      <c r="AF439" s="66" t="str">
        <f>IF(AND(OR(LEFT(TH!N439,2)="15",LEFT(TH!O439,2)="15"),'THE KHO'!$E$7=TH!F439),"x","")</f>
        <v/>
      </c>
      <c r="AG439" s="66" t="str">
        <f>IF(AND(N439="1521",MONTH(C439)='BK NL'!$M$11),"x","")</f>
        <v/>
      </c>
    </row>
    <row r="440" spans="1:33" ht="15.75" customHeight="1">
      <c r="A440" s="398" t="str">
        <f>IF(B440&lt;&gt;"",IF(AND(B440&gt;=_TM1,B440&lt;=_TM2,OR(TH!N440="1111",TH!O440="1111")),TH!D440,""),"")</f>
        <v/>
      </c>
      <c r="B440" s="63" t="str">
        <f t="shared" si="35"/>
        <v/>
      </c>
      <c r="C440" s="64"/>
      <c r="D440" s="64"/>
      <c r="E440" s="64"/>
      <c r="F440" s="67"/>
      <c r="G440" s="361"/>
      <c r="H440" s="74"/>
      <c r="I440" s="515"/>
      <c r="J440" s="515"/>
      <c r="K440" s="507"/>
      <c r="L440" s="515"/>
      <c r="M440" s="65"/>
      <c r="N440" s="66"/>
      <c r="O440" s="66"/>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37"/>
        <v/>
      </c>
      <c r="AD440" s="66" t="str">
        <f>IF(AND(MONTH(E440)&lt;='IN-NX'!$P$3,'IN-NX'!$D$7=D440,OR(LEFT(TH!N440,2)="15",LEFT(TH!O440,2)="15")),"x","")</f>
        <v/>
      </c>
      <c r="AE440" s="66" t="str">
        <f>IF(AND(OR(LEFT(TH!N440,2)="15",LEFT(TH!O440,2)="15"),'152-CT'!$J$8=TH!F440),"x","")</f>
        <v/>
      </c>
      <c r="AF440" s="66" t="str">
        <f>IF(AND(OR(LEFT(TH!N440,2)="15",LEFT(TH!O440,2)="15"),'THE KHO'!$E$7=TH!F440),"x","")</f>
        <v/>
      </c>
      <c r="AG440" s="66" t="str">
        <f>IF(AND(N440="1521",MONTH(C440)='BK NL'!$M$11),"x","")</f>
        <v/>
      </c>
    </row>
    <row r="441" spans="1:33" ht="15.75" customHeight="1">
      <c r="A441" s="398" t="str">
        <f>IF(B441&lt;&gt;"",IF(AND(B441&gt;=_TM1,B441&lt;=_TM2,OR(TH!N441="1111",TH!O441="1111")),TH!D441,""),"")</f>
        <v/>
      </c>
      <c r="B441" s="63" t="str">
        <f t="shared" si="35"/>
        <v/>
      </c>
      <c r="C441" s="64"/>
      <c r="D441" s="64"/>
      <c r="E441" s="64"/>
      <c r="F441" s="67"/>
      <c r="G441" s="361"/>
      <c r="H441" s="74"/>
      <c r="I441" s="515"/>
      <c r="J441" s="515"/>
      <c r="K441" s="507"/>
      <c r="L441" s="515"/>
      <c r="M441" s="65"/>
      <c r="N441" s="66"/>
      <c r="O441" s="66"/>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37"/>
        <v/>
      </c>
      <c r="AD441" s="66" t="str">
        <f>IF(AND(MONTH(E441)&lt;='IN-NX'!$P$3,'IN-NX'!$D$7=D441,OR(LEFT(TH!N441,2)="15",LEFT(TH!O441,2)="15")),"x","")</f>
        <v/>
      </c>
      <c r="AE441" s="66" t="str">
        <f>IF(AND(OR(LEFT(TH!N441,2)="15",LEFT(TH!O441,2)="15"),'152-CT'!$J$8=TH!F441),"x","")</f>
        <v/>
      </c>
      <c r="AF441" s="66" t="str">
        <f>IF(AND(OR(LEFT(TH!N441,2)="15",LEFT(TH!O441,2)="15"),'THE KHO'!$E$7=TH!F441),"x","")</f>
        <v/>
      </c>
      <c r="AG441" s="66" t="str">
        <f>IF(AND(N441="1521",MONTH(C441)='BK NL'!$M$11),"x","")</f>
        <v/>
      </c>
    </row>
    <row r="442" spans="1:33" ht="15.75" customHeight="1">
      <c r="A442" s="398" t="str">
        <f>IF(B442&lt;&gt;"",IF(AND(B442&gt;=_TM1,B442&lt;=_TM2,OR(TH!N442="1111",TH!O442="1111")),TH!D442,""),"")</f>
        <v/>
      </c>
      <c r="B442" s="63" t="str">
        <f t="shared" si="35"/>
        <v/>
      </c>
      <c r="C442" s="64"/>
      <c r="D442" s="64"/>
      <c r="E442" s="64"/>
      <c r="F442" s="67"/>
      <c r="G442" s="361"/>
      <c r="H442" s="74"/>
      <c r="I442" s="515"/>
      <c r="J442" s="515"/>
      <c r="K442" s="507"/>
      <c r="L442" s="515"/>
      <c r="M442" s="65"/>
      <c r="N442" s="66"/>
      <c r="O442" s="66"/>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37"/>
        <v/>
      </c>
      <c r="AD442" s="66" t="str">
        <f>IF(AND(MONTH(E442)&lt;='IN-NX'!$P$3,'IN-NX'!$D$7=D442,OR(LEFT(TH!N442,2)="15",LEFT(TH!O442,2)="15")),"x","")</f>
        <v/>
      </c>
      <c r="AE442" s="66" t="str">
        <f>IF(AND(OR(LEFT(TH!N442,2)="15",LEFT(TH!O442,2)="15"),'152-CT'!$J$8=TH!F442),"x","")</f>
        <v/>
      </c>
      <c r="AF442" s="66" t="str">
        <f>IF(AND(OR(LEFT(TH!N442,2)="15",LEFT(TH!O442,2)="15"),'THE KHO'!$E$7=TH!F442),"x","")</f>
        <v/>
      </c>
      <c r="AG442" s="66" t="str">
        <f>IF(AND(N442="1521",MONTH(C442)='BK NL'!$M$11),"x","")</f>
        <v/>
      </c>
    </row>
    <row r="443" spans="1:33" ht="15.75" customHeight="1">
      <c r="A443" s="398" t="str">
        <f>IF(B443&lt;&gt;"",IF(AND(B443&gt;=_TM1,B443&lt;=_TM2,OR(TH!N443="1111",TH!O443="1111")),TH!D443,""),"")</f>
        <v/>
      </c>
      <c r="B443" s="63" t="str">
        <f t="shared" si="35"/>
        <v/>
      </c>
      <c r="C443" s="64"/>
      <c r="D443" s="64"/>
      <c r="E443" s="64"/>
      <c r="F443" s="67"/>
      <c r="G443" s="361"/>
      <c r="H443" s="74"/>
      <c r="I443" s="515"/>
      <c r="J443" s="515"/>
      <c r="K443" s="507"/>
      <c r="L443" s="515"/>
      <c r="M443" s="65"/>
      <c r="N443" s="66"/>
      <c r="O443" s="66"/>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37"/>
        <v/>
      </c>
      <c r="AD443" s="66" t="str">
        <f>IF(AND(MONTH(E443)&lt;='IN-NX'!$P$3,'IN-NX'!$D$7=D443,OR(LEFT(TH!N443,2)="15",LEFT(TH!O443,2)="15")),"x","")</f>
        <v/>
      </c>
      <c r="AE443" s="66" t="str">
        <f>IF(AND(OR(LEFT(TH!N443,2)="15",LEFT(TH!O443,2)="15"),'152-CT'!$J$8=TH!F443),"x","")</f>
        <v/>
      </c>
      <c r="AF443" s="66" t="str">
        <f>IF(AND(OR(LEFT(TH!N443,2)="15",LEFT(TH!O443,2)="15"),'THE KHO'!$E$7=TH!F443),"x","")</f>
        <v/>
      </c>
      <c r="AG443" s="66" t="str">
        <f>IF(AND(N443="1521",MONTH(C443)='BK NL'!$M$11),"x","")</f>
        <v/>
      </c>
    </row>
    <row r="444" spans="1:33" ht="15.75" customHeight="1">
      <c r="A444" s="398" t="str">
        <f>IF(B444&lt;&gt;"",IF(AND(B444&gt;=_TM1,B444&lt;=_TM2,OR(TH!N444="1111",TH!O444="1111")),TH!D444,""),"")</f>
        <v/>
      </c>
      <c r="B444" s="63" t="str">
        <f t="shared" si="35"/>
        <v/>
      </c>
      <c r="C444" s="64"/>
      <c r="D444" s="64"/>
      <c r="E444" s="64"/>
      <c r="F444" s="67"/>
      <c r="G444" s="361"/>
      <c r="H444" s="74"/>
      <c r="I444" s="515"/>
      <c r="J444" s="515"/>
      <c r="K444" s="507"/>
      <c r="L444" s="515"/>
      <c r="M444" s="65"/>
      <c r="N444" s="66"/>
      <c r="O444" s="66"/>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37"/>
        <v/>
      </c>
      <c r="AD444" s="66" t="str">
        <f>IF(AND(MONTH(E444)&lt;='IN-NX'!$P$3,'IN-NX'!$D$7=D444,OR(LEFT(TH!N444,2)="15",LEFT(TH!O444,2)="15")),"x","")</f>
        <v/>
      </c>
      <c r="AE444" s="66" t="str">
        <f>IF(AND(OR(LEFT(TH!N444,2)="15",LEFT(TH!O444,2)="15"),'152-CT'!$J$8=TH!F444),"x","")</f>
        <v/>
      </c>
      <c r="AF444" s="66" t="str">
        <f>IF(AND(OR(LEFT(TH!N444,2)="15",LEFT(TH!O444,2)="15"),'THE KHO'!$E$7=TH!F444),"x","")</f>
        <v/>
      </c>
      <c r="AG444" s="66" t="str">
        <f>IF(AND(N444="1521",MONTH(C444)='BK NL'!$M$11),"x","")</f>
        <v/>
      </c>
    </row>
    <row r="445" spans="1:33" ht="15.75" customHeight="1">
      <c r="A445" s="398" t="str">
        <f>IF(B445&lt;&gt;"",IF(AND(B445&gt;=_TM1,B445&lt;=_TM2,OR(TH!N445="1111",TH!O445="1111")),TH!D445,""),"")</f>
        <v/>
      </c>
      <c r="B445" s="63" t="str">
        <f t="shared" si="35"/>
        <v/>
      </c>
      <c r="C445" s="64"/>
      <c r="D445" s="64"/>
      <c r="E445" s="64"/>
      <c r="F445" s="67"/>
      <c r="G445" s="361"/>
      <c r="H445" s="74"/>
      <c r="I445" s="515"/>
      <c r="J445" s="515"/>
      <c r="K445" s="507"/>
      <c r="L445" s="515"/>
      <c r="M445" s="65"/>
      <c r="N445" s="66"/>
      <c r="O445" s="66"/>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37"/>
        <v/>
      </c>
      <c r="AD445" s="66" t="str">
        <f>IF(AND(MONTH(E445)&lt;='IN-NX'!$P$3,'IN-NX'!$D$7=D445,OR(LEFT(TH!N445,2)="15",LEFT(TH!O445,2)="15")),"x","")</f>
        <v/>
      </c>
      <c r="AE445" s="66" t="str">
        <f>IF(AND(OR(LEFT(TH!N445,2)="15",LEFT(TH!O445,2)="15"),'152-CT'!$J$8=TH!F445),"x","")</f>
        <v/>
      </c>
      <c r="AF445" s="66" t="str">
        <f>IF(AND(OR(LEFT(TH!N445,2)="15",LEFT(TH!O445,2)="15"),'THE KHO'!$E$7=TH!F445),"x","")</f>
        <v/>
      </c>
      <c r="AG445" s="66" t="str">
        <f>IF(AND(N445="1521",MONTH(C445)='BK NL'!$M$11),"x","")</f>
        <v/>
      </c>
    </row>
    <row r="446" spans="1:33" ht="15.75" customHeight="1">
      <c r="A446" s="398" t="str">
        <f>IF(B446&lt;&gt;"",IF(AND(B446&gt;=_TM1,B446&lt;=_TM2,OR(TH!N446="1111",TH!O446="1111")),TH!D446,""),"")</f>
        <v/>
      </c>
      <c r="B446" s="63" t="str">
        <f t="shared" si="35"/>
        <v/>
      </c>
      <c r="C446" s="64"/>
      <c r="D446" s="64"/>
      <c r="E446" s="64"/>
      <c r="F446" s="67"/>
      <c r="G446" s="361"/>
      <c r="H446" s="74"/>
      <c r="I446" s="515"/>
      <c r="J446" s="515"/>
      <c r="K446" s="507"/>
      <c r="L446" s="515"/>
      <c r="M446" s="65"/>
      <c r="N446" s="66"/>
      <c r="O446" s="66"/>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37"/>
        <v/>
      </c>
      <c r="AD446" s="66" t="str">
        <f>IF(AND(MONTH(E446)&lt;='IN-NX'!$P$3,'IN-NX'!$D$7=D446,OR(LEFT(TH!N446,2)="15",LEFT(TH!O446,2)="15")),"x","")</f>
        <v/>
      </c>
      <c r="AE446" s="66" t="str">
        <f>IF(AND(OR(LEFT(TH!N446,2)="15",LEFT(TH!O446,2)="15"),'152-CT'!$J$8=TH!F446),"x","")</f>
        <v/>
      </c>
      <c r="AF446" s="66" t="str">
        <f>IF(AND(OR(LEFT(TH!N446,2)="15",LEFT(TH!O446,2)="15"),'THE KHO'!$E$7=TH!F446),"x","")</f>
        <v/>
      </c>
      <c r="AG446" s="66" t="str">
        <f>IF(AND(N446="1521",MONTH(C446)='BK NL'!$M$11),"x","")</f>
        <v/>
      </c>
    </row>
    <row r="447" spans="1:33" ht="15.75" customHeight="1">
      <c r="A447" s="398" t="str">
        <f>IF(B447&lt;&gt;"",IF(AND(B447&gt;=_TM1,B447&lt;=_TM2,OR(TH!N447="1111",TH!O447="1111")),TH!D447,""),"")</f>
        <v/>
      </c>
      <c r="B447" s="63" t="str">
        <f t="shared" si="35"/>
        <v/>
      </c>
      <c r="C447" s="64"/>
      <c r="D447" s="64"/>
      <c r="E447" s="64"/>
      <c r="F447" s="67"/>
      <c r="G447" s="361"/>
      <c r="H447" s="74"/>
      <c r="I447" s="515"/>
      <c r="J447" s="515"/>
      <c r="K447" s="507"/>
      <c r="L447" s="515"/>
      <c r="M447" s="65"/>
      <c r="N447" s="66"/>
      <c r="O447" s="66"/>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37"/>
        <v/>
      </c>
      <c r="AD447" s="66" t="str">
        <f>IF(AND(MONTH(E447)&lt;='IN-NX'!$P$3,'IN-NX'!$D$7=D447,OR(LEFT(TH!N447,2)="15",LEFT(TH!O447,2)="15")),"x","")</f>
        <v/>
      </c>
      <c r="AE447" s="66" t="str">
        <f>IF(AND(OR(LEFT(TH!N447,2)="15",LEFT(TH!O447,2)="15"),'152-CT'!$J$8=TH!F447),"x","")</f>
        <v/>
      </c>
      <c r="AF447" s="66" t="str">
        <f>IF(AND(OR(LEFT(TH!N447,2)="15",LEFT(TH!O447,2)="15"),'THE KHO'!$E$7=TH!F447),"x","")</f>
        <v/>
      </c>
      <c r="AG447" s="66" t="str">
        <f>IF(AND(N447="1521",MONTH(C447)='BK NL'!$M$11),"x","")</f>
        <v/>
      </c>
    </row>
    <row r="448" spans="1:33" ht="15.75" customHeight="1">
      <c r="A448" s="398" t="str">
        <f>IF(B448&lt;&gt;"",IF(AND(B448&gt;=_TM1,B448&lt;=_TM2,OR(TH!N448="1111",TH!O448="1111")),TH!D448,""),"")</f>
        <v/>
      </c>
      <c r="B448" s="63" t="str">
        <f t="shared" si="35"/>
        <v/>
      </c>
      <c r="C448" s="64"/>
      <c r="D448" s="64"/>
      <c r="E448" s="64"/>
      <c r="F448" s="67"/>
      <c r="G448" s="361"/>
      <c r="H448" s="74"/>
      <c r="I448" s="515"/>
      <c r="J448" s="515"/>
      <c r="K448" s="507"/>
      <c r="L448" s="515"/>
      <c r="M448" s="65"/>
      <c r="N448" s="66"/>
      <c r="O448" s="66"/>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37"/>
        <v/>
      </c>
      <c r="AD448" s="66" t="str">
        <f>IF(AND(MONTH(E448)&lt;='IN-NX'!$P$3,'IN-NX'!$D$7=D448,OR(LEFT(TH!N448,2)="15",LEFT(TH!O448,2)="15")),"x","")</f>
        <v/>
      </c>
      <c r="AE448" s="66" t="str">
        <f>IF(AND(OR(LEFT(TH!N448,2)="15",LEFT(TH!O448,2)="15"),'152-CT'!$J$8=TH!F448),"x","")</f>
        <v/>
      </c>
      <c r="AF448" s="66" t="str">
        <f>IF(AND(OR(LEFT(TH!N448,2)="15",LEFT(TH!O448,2)="15"),'THE KHO'!$E$7=TH!F448),"x","")</f>
        <v/>
      </c>
      <c r="AG448" s="66" t="str">
        <f>IF(AND(N448="1521",MONTH(C448)='BK NL'!$M$11),"x","")</f>
        <v/>
      </c>
    </row>
    <row r="449" spans="1:33" ht="15.75" customHeight="1">
      <c r="A449" s="398" t="str">
        <f>IF(B449&lt;&gt;"",IF(AND(B449&gt;=_TM1,B449&lt;=_TM2,OR(TH!N449="1111",TH!O449="1111")),TH!D449,""),"")</f>
        <v/>
      </c>
      <c r="B449" s="63" t="str">
        <f t="shared" si="35"/>
        <v/>
      </c>
      <c r="C449" s="64"/>
      <c r="D449" s="64"/>
      <c r="E449" s="64"/>
      <c r="F449" s="67"/>
      <c r="G449" s="361"/>
      <c r="H449" s="74"/>
      <c r="I449" s="515"/>
      <c r="J449" s="515"/>
      <c r="K449" s="507"/>
      <c r="L449" s="515"/>
      <c r="M449" s="65"/>
      <c r="N449" s="66"/>
      <c r="O449" s="66"/>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37"/>
        <v/>
      </c>
      <c r="AD449" s="66" t="str">
        <f>IF(AND(MONTH(E449)&lt;='IN-NX'!$P$3,'IN-NX'!$D$7=D449,OR(LEFT(TH!N449,2)="15",LEFT(TH!O449,2)="15")),"x","")</f>
        <v/>
      </c>
      <c r="AE449" s="66" t="str">
        <f>IF(AND(OR(LEFT(TH!N449,2)="15",LEFT(TH!O449,2)="15"),'152-CT'!$J$8=TH!F449),"x","")</f>
        <v/>
      </c>
      <c r="AF449" s="66" t="str">
        <f>IF(AND(OR(LEFT(TH!N449,2)="15",LEFT(TH!O449,2)="15"),'THE KHO'!$E$7=TH!F449),"x","")</f>
        <v/>
      </c>
      <c r="AG449" s="66" t="str">
        <f>IF(AND(N449="1521",MONTH(C449)='BK NL'!$M$11),"x","")</f>
        <v/>
      </c>
    </row>
    <row r="450" spans="1:33" ht="15.75" customHeight="1">
      <c r="A450" s="398" t="str">
        <f>IF(B450&lt;&gt;"",IF(AND(B450&gt;=_TM1,B450&lt;=_TM2,OR(TH!N450="1111",TH!O450="1111")),TH!D450,""),"")</f>
        <v/>
      </c>
      <c r="B450" s="63" t="str">
        <f t="shared" si="35"/>
        <v/>
      </c>
      <c r="C450" s="64"/>
      <c r="D450" s="64"/>
      <c r="E450" s="64"/>
      <c r="F450" s="67"/>
      <c r="G450" s="361"/>
      <c r="H450" s="74"/>
      <c r="I450" s="515"/>
      <c r="J450" s="515"/>
      <c r="K450" s="507"/>
      <c r="L450" s="515"/>
      <c r="M450" s="65"/>
      <c r="N450" s="66"/>
      <c r="O450" s="66"/>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37"/>
        <v/>
      </c>
      <c r="AD450" s="66" t="str">
        <f>IF(AND(MONTH(E450)&lt;='IN-NX'!$P$3,'IN-NX'!$D$7=D450,OR(LEFT(TH!N450,2)="15",LEFT(TH!O450,2)="15")),"x","")</f>
        <v/>
      </c>
      <c r="AE450" s="66" t="str">
        <f>IF(AND(OR(LEFT(TH!N450,2)="15",LEFT(TH!O450,2)="15"),'152-CT'!$J$8=TH!F450),"x","")</f>
        <v/>
      </c>
      <c r="AF450" s="66" t="str">
        <f>IF(AND(OR(LEFT(TH!N450,2)="15",LEFT(TH!O450,2)="15"),'THE KHO'!$E$7=TH!F450),"x","")</f>
        <v/>
      </c>
      <c r="AG450" s="66" t="str">
        <f>IF(AND(N450="1521",MONTH(C450)='BK NL'!$M$11),"x","")</f>
        <v/>
      </c>
    </row>
    <row r="451" spans="1:33" ht="15.75" customHeight="1">
      <c r="A451" s="398" t="str">
        <f>IF(B451&lt;&gt;"",IF(AND(B451&gt;=_TM1,B451&lt;=_TM2,OR(TH!N451="1111",TH!O451="1111")),TH!D451,""),"")</f>
        <v/>
      </c>
      <c r="B451" s="63" t="str">
        <f>IF(C451&lt;&gt;"",MONTH(C451),"")</f>
        <v/>
      </c>
      <c r="C451" s="64"/>
      <c r="D451" s="64"/>
      <c r="E451" s="64"/>
      <c r="F451" s="67"/>
      <c r="G451" s="361"/>
      <c r="H451" s="74"/>
      <c r="I451" s="515"/>
      <c r="J451" s="515"/>
      <c r="K451" s="507"/>
      <c r="L451" s="515"/>
      <c r="M451" s="65"/>
      <c r="N451" s="66"/>
      <c r="O451" s="66"/>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37"/>
        <v/>
      </c>
      <c r="AD451" s="66" t="str">
        <f>IF(AND(MONTH(E451)&lt;='IN-NX'!$P$3,'IN-NX'!$D$7=D451,OR(LEFT(TH!N451,2)="15",LEFT(TH!O451,2)="15")),"x","")</f>
        <v/>
      </c>
      <c r="AE451" s="66" t="str">
        <f>IF(AND(OR(LEFT(TH!N451,2)="15",LEFT(TH!O451,2)="15"),'152-CT'!$J$8=TH!F451),"x","")</f>
        <v/>
      </c>
      <c r="AF451" s="66" t="str">
        <f>IF(AND(OR(LEFT(TH!N451,2)="15",LEFT(TH!O451,2)="15"),'THE KHO'!$E$7=TH!F451),"x","")</f>
        <v/>
      </c>
      <c r="AG451" s="66" t="str">
        <f>IF(AND(N451="1521",MONTH(C451)='BK NL'!$M$11),"x","")</f>
        <v/>
      </c>
    </row>
    <row r="452" spans="1:33" ht="15.75" customHeight="1">
      <c r="A452" s="398" t="str">
        <f>IF(B452&lt;&gt;"",IF(AND(B452&gt;=_TM1,B452&lt;=_TM2,OR(TH!N452="1111",TH!O452="1111")),TH!D452,""),"")</f>
        <v/>
      </c>
      <c r="B452" s="63" t="str">
        <f>IF(C452&lt;&gt;"",MONTH(C452),"")</f>
        <v/>
      </c>
      <c r="C452" s="64"/>
      <c r="D452" s="64"/>
      <c r="E452" s="64"/>
      <c r="F452" s="67"/>
      <c r="G452" s="361"/>
      <c r="H452" s="74"/>
      <c r="I452" s="515"/>
      <c r="J452" s="515"/>
      <c r="K452" s="507"/>
      <c r="L452" s="515"/>
      <c r="M452" s="65"/>
      <c r="N452" s="66"/>
      <c r="O452" s="66"/>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37"/>
        <v/>
      </c>
      <c r="AD452" s="66" t="str">
        <f>IF(AND(MONTH(E452)&lt;='IN-NX'!$P$3,'IN-NX'!$D$7=D452,OR(LEFT(TH!N452,2)="15",LEFT(TH!O452,2)="15")),"x","")</f>
        <v/>
      </c>
      <c r="AE452" s="66" t="str">
        <f>IF(AND(OR(LEFT(TH!N452,2)="15",LEFT(TH!O452,2)="15"),'152-CT'!$J$8=TH!F452),"x","")</f>
        <v/>
      </c>
      <c r="AF452" s="66" t="str">
        <f>IF(AND(OR(LEFT(TH!N452,2)="15",LEFT(TH!O452,2)="15"),'THE KHO'!$E$7=TH!F452),"x","")</f>
        <v/>
      </c>
      <c r="AG452" s="66" t="str">
        <f>IF(AND(N452="1521",MONTH(C452)='BK NL'!$M$11),"x","")</f>
        <v/>
      </c>
    </row>
    <row r="453" spans="1:33" ht="15.75" customHeight="1">
      <c r="A453" s="398" t="str">
        <f>IF(B453&lt;&gt;"",IF(AND(B453&gt;=_TM1,B453&lt;=_TM2,OR(TH!N453="1111",TH!O453="1111")),TH!D453,""),"")</f>
        <v/>
      </c>
      <c r="B453" s="63" t="str">
        <f>IF(C453&lt;&gt;"",MONTH(C453),"")</f>
        <v/>
      </c>
      <c r="C453" s="64"/>
      <c r="D453" s="64"/>
      <c r="E453" s="64"/>
      <c r="F453" s="67"/>
      <c r="G453" s="361"/>
      <c r="H453" s="74"/>
      <c r="I453" s="515"/>
      <c r="J453" s="515"/>
      <c r="K453" s="507"/>
      <c r="L453" s="515"/>
      <c r="M453" s="65"/>
      <c r="N453" s="66"/>
      <c r="O453" s="66"/>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37"/>
        <v/>
      </c>
      <c r="AD453" s="66" t="str">
        <f>IF(AND(MONTH(E453)&lt;='IN-NX'!$P$3,'IN-NX'!$D$7=D453,OR(LEFT(TH!N453,2)="15",LEFT(TH!O453,2)="15")),"x","")</f>
        <v/>
      </c>
      <c r="AE453" s="66" t="str">
        <f>IF(AND(OR(LEFT(TH!N453,2)="15",LEFT(TH!O453,2)="15"),'152-CT'!$J$8=TH!F453),"x","")</f>
        <v/>
      </c>
      <c r="AF453" s="66" t="str">
        <f>IF(AND(OR(LEFT(TH!N453,2)="15",LEFT(TH!O453,2)="15"),'THE KHO'!$E$7=TH!F453),"x","")</f>
        <v/>
      </c>
      <c r="AG453" s="66" t="str">
        <f>IF(AND(N453="1521",MONTH(C453)='BK NL'!$M$11),"x","")</f>
        <v/>
      </c>
    </row>
    <row r="454" spans="1:33" ht="15.75" customHeight="1">
      <c r="A454" s="398" t="str">
        <f>IF(B454&lt;&gt;"",IF(AND(B454&gt;=_TM1,B454&lt;=_TM2,OR(TH!N454="1111",TH!O454="1111")),TH!D454,""),"")</f>
        <v/>
      </c>
      <c r="B454" s="63" t="str">
        <f>IF(C454&lt;&gt;"",MONTH(C454),"")</f>
        <v/>
      </c>
      <c r="C454" s="64"/>
      <c r="D454" s="64"/>
      <c r="E454" s="64"/>
      <c r="F454" s="67"/>
      <c r="G454" s="361"/>
      <c r="H454" s="74"/>
      <c r="I454" s="515"/>
      <c r="J454" s="515"/>
      <c r="K454" s="507"/>
      <c r="L454" s="515"/>
      <c r="M454" s="65"/>
      <c r="N454" s="66"/>
      <c r="O454" s="66"/>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37"/>
        <v/>
      </c>
      <c r="AD454" s="66" t="str">
        <f>IF(AND(MONTH(E454)&lt;='IN-NX'!$P$3,'IN-NX'!$D$7=D454,OR(LEFT(TH!N454,2)="15",LEFT(TH!O454,2)="15")),"x","")</f>
        <v/>
      </c>
      <c r="AE454" s="66" t="str">
        <f>IF(AND(OR(LEFT(TH!N454,2)="15",LEFT(TH!O454,2)="15"),'152-CT'!$J$8=TH!F454),"x","")</f>
        <v/>
      </c>
      <c r="AF454" s="66" t="str">
        <f>IF(AND(OR(LEFT(TH!N454,2)="15",LEFT(TH!O454,2)="15"),'THE KHO'!$E$7=TH!F454),"x","")</f>
        <v/>
      </c>
      <c r="AG454" s="66" t="str">
        <f>IF(AND(N454="1521",MONTH(C454)='BK NL'!$M$11),"x","")</f>
        <v/>
      </c>
    </row>
    <row r="455" spans="1:33" ht="15.75" customHeight="1">
      <c r="A455" s="398" t="str">
        <f>IF(B455&lt;&gt;"",IF(AND(B455&gt;=_TM1,B455&lt;=_TM2,OR(TH!N455="1111",TH!O455="1111")),TH!D455,""),"")</f>
        <v/>
      </c>
      <c r="B455" s="63" t="str">
        <f>IF(C455&lt;&gt;"",MONTH(C455),"")</f>
        <v/>
      </c>
      <c r="C455" s="64"/>
      <c r="D455" s="64"/>
      <c r="E455" s="64"/>
      <c r="F455" s="67"/>
      <c r="G455" s="361"/>
      <c r="H455" s="74"/>
      <c r="I455" s="515"/>
      <c r="J455" s="515"/>
      <c r="K455" s="507"/>
      <c r="L455" s="515"/>
      <c r="M455" s="65"/>
      <c r="N455" s="66"/>
      <c r="O455" s="66"/>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37"/>
        <v/>
      </c>
      <c r="AD455" s="66" t="str">
        <f>IF(AND(MONTH(E455)&lt;='IN-NX'!$P$3,'IN-NX'!$D$7=D455,OR(LEFT(TH!N455,2)="15",LEFT(TH!O455,2)="15")),"x","")</f>
        <v/>
      </c>
      <c r="AE455" s="66" t="str">
        <f>IF(AND(OR(LEFT(TH!N455,2)="15",LEFT(TH!O455,2)="15"),'152-CT'!$J$8=TH!F455),"x","")</f>
        <v/>
      </c>
      <c r="AF455" s="66" t="str">
        <f>IF(AND(OR(LEFT(TH!N455,2)="15",LEFT(TH!O455,2)="15"),'THE KHO'!$E$7=TH!F455),"x","")</f>
        <v/>
      </c>
      <c r="AG455" s="66" t="str">
        <f>IF(AND(N455="1521",MONTH(C455)='BK NL'!$M$11),"x","")</f>
        <v/>
      </c>
    </row>
    <row r="456" spans="1:33" ht="15.75" customHeight="1">
      <c r="A456" s="398" t="str">
        <f>IF(B456&lt;&gt;"",IF(AND(B456&gt;=_TM1,B456&lt;=_TM2,OR(TH!N456="1111",TH!O456="1111")),TH!D456,""),"")</f>
        <v/>
      </c>
      <c r="B456" s="63" t="str">
        <f t="shared" ref="B456:B519" si="38">IF(C456&lt;&gt;"",MONTH(C456),"")</f>
        <v/>
      </c>
      <c r="C456" s="362"/>
      <c r="D456" s="362"/>
      <c r="E456" s="362"/>
      <c r="F456" s="363"/>
      <c r="G456" s="380"/>
      <c r="H456" s="364"/>
      <c r="I456" s="515"/>
      <c r="J456" s="515"/>
      <c r="K456" s="507"/>
      <c r="L456" s="515"/>
      <c r="M456" s="65"/>
      <c r="N456" s="365"/>
      <c r="O456" s="365"/>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37"/>
        <v/>
      </c>
      <c r="AD456" s="66" t="str">
        <f>IF(AND(MONTH(E456)&lt;='IN-NX'!$P$3,'IN-NX'!$D$7=D456,OR(LEFT(TH!N456,2)="15",LEFT(TH!O456,2)="15")),"x","")</f>
        <v/>
      </c>
      <c r="AE456" s="66" t="str">
        <f>IF(AND(OR(LEFT(TH!N456,2)="15",LEFT(TH!O456,2)="15"),'152-CT'!$J$8=TH!F456),"x","")</f>
        <v/>
      </c>
      <c r="AF456" s="66" t="str">
        <f>IF(AND(OR(LEFT(TH!N456,2)="15",LEFT(TH!O456,2)="15"),'THE KHO'!$E$7=TH!F456),"x","")</f>
        <v/>
      </c>
      <c r="AG456" s="66" t="str">
        <f>IF(AND(N456="1521",MONTH(C456)='BK NL'!$M$11),"x","")</f>
        <v/>
      </c>
    </row>
    <row r="457" spans="1:33" ht="15.75" customHeight="1">
      <c r="A457" s="398" t="str">
        <f>IF(B457&lt;&gt;"",IF(AND(B457&gt;=_TM1,B457&lt;=_TM2,OR(TH!N457="1111",TH!O457="1111")),TH!D457,""),"")</f>
        <v/>
      </c>
      <c r="B457" s="63" t="str">
        <f t="shared" si="38"/>
        <v/>
      </c>
      <c r="C457" s="362"/>
      <c r="D457" s="362"/>
      <c r="E457" s="362"/>
      <c r="F457" s="363"/>
      <c r="G457" s="380"/>
      <c r="H457" s="364"/>
      <c r="I457" s="515"/>
      <c r="J457" s="515"/>
      <c r="K457" s="507"/>
      <c r="L457" s="515"/>
      <c r="M457" s="65"/>
      <c r="N457" s="365"/>
      <c r="O457" s="365"/>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37"/>
        <v/>
      </c>
      <c r="AD457" s="66" t="str">
        <f>IF(AND(MONTH(E457)&lt;='IN-NX'!$P$3,'IN-NX'!$D$7=D457,OR(LEFT(TH!N457,2)="15",LEFT(TH!O457,2)="15")),"x","")</f>
        <v/>
      </c>
      <c r="AE457" s="66" t="str">
        <f>IF(AND(OR(LEFT(TH!N457,2)="15",LEFT(TH!O457,2)="15"),'152-CT'!$J$8=TH!F457),"x","")</f>
        <v/>
      </c>
      <c r="AF457" s="66" t="str">
        <f>IF(AND(OR(LEFT(TH!N457,2)="15",LEFT(TH!O457,2)="15"),'THE KHO'!$E$7=TH!F457),"x","")</f>
        <v/>
      </c>
      <c r="AG457" s="66" t="str">
        <f>IF(AND(N457="1521",MONTH(C457)='BK NL'!$M$11),"x","")</f>
        <v/>
      </c>
    </row>
    <row r="458" spans="1:33" ht="15.75" customHeight="1">
      <c r="A458" s="398" t="str">
        <f>IF(B458&lt;&gt;"",IF(AND(B458&gt;=_TM1,B458&lt;=_TM2,OR(TH!N458="1111",TH!O458="1111")),TH!D458,""),"")</f>
        <v/>
      </c>
      <c r="B458" s="63" t="str">
        <f t="shared" si="38"/>
        <v/>
      </c>
      <c r="C458" s="362"/>
      <c r="D458" s="362"/>
      <c r="E458" s="362"/>
      <c r="F458" s="363"/>
      <c r="G458" s="380"/>
      <c r="H458" s="364"/>
      <c r="I458" s="515"/>
      <c r="J458" s="515"/>
      <c r="K458" s="507"/>
      <c r="L458" s="515"/>
      <c r="M458" s="65"/>
      <c r="N458" s="365"/>
      <c r="O458" s="365"/>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37"/>
        <v/>
      </c>
      <c r="AD458" s="66" t="str">
        <f>IF(AND(MONTH(E458)&lt;='IN-NX'!$P$3,'IN-NX'!$D$7=D458,OR(LEFT(TH!N458,2)="15",LEFT(TH!O458,2)="15")),"x","")</f>
        <v/>
      </c>
      <c r="AE458" s="66" t="str">
        <f>IF(AND(OR(LEFT(TH!N458,2)="15",LEFT(TH!O458,2)="15"),'152-CT'!$J$8=TH!F458),"x","")</f>
        <v/>
      </c>
      <c r="AF458" s="66" t="str">
        <f>IF(AND(OR(LEFT(TH!N458,2)="15",LEFT(TH!O458,2)="15"),'THE KHO'!$E$7=TH!F458),"x","")</f>
        <v/>
      </c>
      <c r="AG458" s="66" t="str">
        <f>IF(AND(N458="1521",MONTH(C458)='BK NL'!$M$11),"x","")</f>
        <v/>
      </c>
    </row>
    <row r="459" spans="1:33" ht="15.75" customHeight="1">
      <c r="A459" s="398" t="str">
        <f>IF(B459&lt;&gt;"",IF(AND(B459&gt;=_TM1,B459&lt;=_TM2,OR(TH!N459="1111",TH!O459="1111")),TH!D459,""),"")</f>
        <v/>
      </c>
      <c r="B459" s="63" t="str">
        <f t="shared" si="38"/>
        <v/>
      </c>
      <c r="C459" s="362"/>
      <c r="D459" s="362"/>
      <c r="E459" s="362"/>
      <c r="F459" s="363"/>
      <c r="G459" s="380"/>
      <c r="H459" s="364"/>
      <c r="I459" s="515"/>
      <c r="J459" s="515"/>
      <c r="K459" s="507"/>
      <c r="L459" s="515"/>
      <c r="M459" s="65"/>
      <c r="N459" s="365"/>
      <c r="O459" s="365"/>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37"/>
        <v/>
      </c>
      <c r="AD459" s="66" t="str">
        <f>IF(AND(MONTH(E459)&lt;='IN-NX'!$P$3,'IN-NX'!$D$7=D459,OR(LEFT(TH!N459,2)="15",LEFT(TH!O459,2)="15")),"x","")</f>
        <v/>
      </c>
      <c r="AE459" s="66" t="str">
        <f>IF(AND(OR(LEFT(TH!N459,2)="15",LEFT(TH!O459,2)="15"),'152-CT'!$J$8=TH!F459),"x","")</f>
        <v/>
      </c>
      <c r="AF459" s="66" t="str">
        <f>IF(AND(OR(LEFT(TH!N459,2)="15",LEFT(TH!O459,2)="15"),'THE KHO'!$E$7=TH!F459),"x","")</f>
        <v/>
      </c>
      <c r="AG459" s="66" t="str">
        <f>IF(AND(N459="1521",MONTH(C459)='BK NL'!$M$11),"x","")</f>
        <v/>
      </c>
    </row>
    <row r="460" spans="1:33" ht="15.75" customHeight="1">
      <c r="A460" s="398" t="str">
        <f>IF(B460&lt;&gt;"",IF(AND(B460&gt;=_TM1,B460&lt;=_TM2,OR(TH!N460="1111",TH!O460="1111")),TH!D460,""),"")</f>
        <v/>
      </c>
      <c r="B460" s="63" t="str">
        <f t="shared" si="38"/>
        <v/>
      </c>
      <c r="C460" s="362"/>
      <c r="D460" s="362"/>
      <c r="E460" s="362"/>
      <c r="F460" s="363"/>
      <c r="G460" s="380"/>
      <c r="H460" s="364"/>
      <c r="I460" s="515"/>
      <c r="J460" s="515"/>
      <c r="K460" s="507"/>
      <c r="L460" s="515"/>
      <c r="M460" s="65"/>
      <c r="N460" s="365"/>
      <c r="O460" s="365"/>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37"/>
        <v/>
      </c>
      <c r="AD460" s="66" t="str">
        <f>IF(AND(MONTH(E460)&lt;='IN-NX'!$P$3,'IN-NX'!$D$7=D460,OR(LEFT(TH!N460,2)="15",LEFT(TH!O460,2)="15")),"x","")</f>
        <v/>
      </c>
      <c r="AE460" s="66" t="str">
        <f>IF(AND(OR(LEFT(TH!N460,2)="15",LEFT(TH!O460,2)="15"),'152-CT'!$J$8=TH!F460),"x","")</f>
        <v/>
      </c>
      <c r="AF460" s="66" t="str">
        <f>IF(AND(OR(LEFT(TH!N460,2)="15",LEFT(TH!O460,2)="15"),'THE KHO'!$E$7=TH!F460),"x","")</f>
        <v/>
      </c>
      <c r="AG460" s="66" t="str">
        <f>IF(AND(N460="1521",MONTH(C460)='BK NL'!$M$11),"x","")</f>
        <v/>
      </c>
    </row>
    <row r="461" spans="1:33" ht="15.75" customHeight="1">
      <c r="A461" s="398" t="str">
        <f>IF(B461&lt;&gt;"",IF(AND(B461&gt;=_TM1,B461&lt;=_TM2,OR(TH!N461="1111",TH!O461="1111")),TH!D461,""),"")</f>
        <v/>
      </c>
      <c r="B461" s="63" t="str">
        <f t="shared" si="38"/>
        <v/>
      </c>
      <c r="C461" s="362"/>
      <c r="D461" s="362"/>
      <c r="E461" s="362"/>
      <c r="F461" s="363"/>
      <c r="G461" s="380"/>
      <c r="H461" s="364"/>
      <c r="I461" s="515"/>
      <c r="J461" s="515"/>
      <c r="K461" s="507"/>
      <c r="L461" s="515"/>
      <c r="M461" s="65"/>
      <c r="N461" s="365"/>
      <c r="O461" s="365"/>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37"/>
        <v/>
      </c>
      <c r="AD461" s="66" t="str">
        <f>IF(AND(MONTH(E461)&lt;='IN-NX'!$P$3,'IN-NX'!$D$7=D461,OR(LEFT(TH!N461,2)="15",LEFT(TH!O461,2)="15")),"x","")</f>
        <v/>
      </c>
      <c r="AE461" s="66" t="str">
        <f>IF(AND(OR(LEFT(TH!N461,2)="15",LEFT(TH!O461,2)="15"),'152-CT'!$J$8=TH!F461),"x","")</f>
        <v/>
      </c>
      <c r="AF461" s="66" t="str">
        <f>IF(AND(OR(LEFT(TH!N461,2)="15",LEFT(TH!O461,2)="15"),'THE KHO'!$E$7=TH!F461),"x","")</f>
        <v/>
      </c>
      <c r="AG461" s="66" t="str">
        <f>IF(AND(N461="1521",MONTH(C461)='BK NL'!$M$11),"x","")</f>
        <v/>
      </c>
    </row>
    <row r="462" spans="1:33" ht="15.75" customHeight="1">
      <c r="A462" s="398" t="str">
        <f>IF(B462&lt;&gt;"",IF(AND(B462&gt;=_TM1,B462&lt;=_TM2,OR(TH!N462="1111",TH!O462="1111")),TH!D462,""),"")</f>
        <v/>
      </c>
      <c r="B462" s="63" t="str">
        <f t="shared" si="38"/>
        <v/>
      </c>
      <c r="C462" s="362"/>
      <c r="D462" s="362"/>
      <c r="E462" s="362"/>
      <c r="F462" s="363"/>
      <c r="G462" s="380"/>
      <c r="H462" s="364"/>
      <c r="I462" s="515"/>
      <c r="J462" s="515"/>
      <c r="K462" s="507"/>
      <c r="L462" s="515"/>
      <c r="M462" s="65"/>
      <c r="N462" s="365"/>
      <c r="O462" s="365"/>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37"/>
        <v/>
      </c>
      <c r="AD462" s="66" t="str">
        <f>IF(AND(MONTH(E462)&lt;='IN-NX'!$P$3,'IN-NX'!$D$7=D462,OR(LEFT(TH!N462,2)="15",LEFT(TH!O462,2)="15")),"x","")</f>
        <v/>
      </c>
      <c r="AE462" s="66" t="str">
        <f>IF(AND(OR(LEFT(TH!N462,2)="15",LEFT(TH!O462,2)="15"),'152-CT'!$J$8=TH!F462),"x","")</f>
        <v/>
      </c>
      <c r="AF462" s="66" t="str">
        <f>IF(AND(OR(LEFT(TH!N462,2)="15",LEFT(TH!O462,2)="15"),'THE KHO'!$E$7=TH!F462),"x","")</f>
        <v/>
      </c>
      <c r="AG462" s="66" t="str">
        <f>IF(AND(N462="1521",MONTH(C462)='BK NL'!$M$11),"x","")</f>
        <v/>
      </c>
    </row>
    <row r="463" spans="1:33" ht="15.75" customHeight="1">
      <c r="A463" s="398" t="str">
        <f>IF(B463&lt;&gt;"",IF(AND(B463&gt;=_TM1,B463&lt;=_TM2,OR(TH!N463="1111",TH!O463="1111")),TH!D463,""),"")</f>
        <v/>
      </c>
      <c r="B463" s="63" t="str">
        <f t="shared" si="38"/>
        <v/>
      </c>
      <c r="C463" s="362"/>
      <c r="D463" s="362"/>
      <c r="E463" s="362"/>
      <c r="F463" s="363"/>
      <c r="G463" s="380"/>
      <c r="H463" s="364"/>
      <c r="I463" s="515"/>
      <c r="J463" s="515"/>
      <c r="K463" s="507"/>
      <c r="L463" s="515"/>
      <c r="M463" s="65"/>
      <c r="N463" s="365"/>
      <c r="O463" s="365"/>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37"/>
        <v/>
      </c>
      <c r="AD463" s="66" t="str">
        <f>IF(AND(MONTH(E463)&lt;='IN-NX'!$P$3,'IN-NX'!$D$7=D463,OR(LEFT(TH!N463,2)="15",LEFT(TH!O463,2)="15")),"x","")</f>
        <v/>
      </c>
      <c r="AE463" s="66" t="str">
        <f>IF(AND(OR(LEFT(TH!N463,2)="15",LEFT(TH!O463,2)="15"),'152-CT'!$J$8=TH!F463),"x","")</f>
        <v/>
      </c>
      <c r="AF463" s="66" t="str">
        <f>IF(AND(OR(LEFT(TH!N463,2)="15",LEFT(TH!O463,2)="15"),'THE KHO'!$E$7=TH!F463),"x","")</f>
        <v/>
      </c>
      <c r="AG463" s="66" t="str">
        <f>IF(AND(N463="1521",MONTH(C463)='BK NL'!$M$11),"x","")</f>
        <v/>
      </c>
    </row>
    <row r="464" spans="1:33" ht="15.75" customHeight="1">
      <c r="A464" s="398" t="str">
        <f>IF(B464&lt;&gt;"",IF(AND(B464&gt;=_TM1,B464&lt;=_TM2,OR(TH!N464="1111",TH!O464="1111")),TH!D464,""),"")</f>
        <v/>
      </c>
      <c r="B464" s="63" t="str">
        <f t="shared" si="38"/>
        <v/>
      </c>
      <c r="C464" s="362"/>
      <c r="D464" s="362"/>
      <c r="E464" s="362"/>
      <c r="F464" s="363"/>
      <c r="G464" s="380"/>
      <c r="H464" s="364"/>
      <c r="I464" s="515"/>
      <c r="J464" s="515"/>
      <c r="K464" s="507"/>
      <c r="L464" s="515"/>
      <c r="M464" s="65"/>
      <c r="N464" s="365"/>
      <c r="O464" s="365"/>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37"/>
        <v/>
      </c>
      <c r="AD464" s="66" t="str">
        <f>IF(AND(MONTH(E464)&lt;='IN-NX'!$P$3,'IN-NX'!$D$7=D464,OR(LEFT(TH!N464,2)="15",LEFT(TH!O464,2)="15")),"x","")</f>
        <v/>
      </c>
      <c r="AE464" s="66" t="str">
        <f>IF(AND(OR(LEFT(TH!N464,2)="15",LEFT(TH!O464,2)="15"),'152-CT'!$J$8=TH!F464),"x","")</f>
        <v/>
      </c>
      <c r="AF464" s="66" t="str">
        <f>IF(AND(OR(LEFT(TH!N464,2)="15",LEFT(TH!O464,2)="15"),'THE KHO'!$E$7=TH!F464),"x","")</f>
        <v/>
      </c>
      <c r="AG464" s="66" t="str">
        <f>IF(AND(N464="1521",MONTH(C464)='BK NL'!$M$11),"x","")</f>
        <v/>
      </c>
    </row>
    <row r="465" spans="1:33" ht="15.75" customHeight="1">
      <c r="A465" s="398" t="str">
        <f>IF(B465&lt;&gt;"",IF(AND(B465&gt;=_TM1,B465&lt;=_TM2,OR(TH!N465="1111",TH!O465="1111")),TH!D465,""),"")</f>
        <v/>
      </c>
      <c r="B465" s="63" t="str">
        <f t="shared" si="38"/>
        <v/>
      </c>
      <c r="C465" s="362"/>
      <c r="D465" s="362"/>
      <c r="E465" s="362"/>
      <c r="F465" s="363"/>
      <c r="G465" s="380"/>
      <c r="H465" s="364"/>
      <c r="I465" s="515"/>
      <c r="J465" s="515"/>
      <c r="K465" s="507"/>
      <c r="L465" s="515"/>
      <c r="M465" s="65"/>
      <c r="N465" s="365"/>
      <c r="O465" s="365"/>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37"/>
        <v/>
      </c>
      <c r="AD465" s="66" t="str">
        <f>IF(AND(MONTH(E465)&lt;='IN-NX'!$P$3,'IN-NX'!$D$7=D465,OR(LEFT(TH!N465,2)="15",LEFT(TH!O465,2)="15")),"x","")</f>
        <v/>
      </c>
      <c r="AE465" s="66" t="str">
        <f>IF(AND(OR(LEFT(TH!N465,2)="15",LEFT(TH!O465,2)="15"),'152-CT'!$J$8=TH!F465),"x","")</f>
        <v/>
      </c>
      <c r="AF465" s="66" t="str">
        <f>IF(AND(OR(LEFT(TH!N465,2)="15",LEFT(TH!O465,2)="15"),'THE KHO'!$E$7=TH!F465),"x","")</f>
        <v/>
      </c>
      <c r="AG465" s="66" t="str">
        <f>IF(AND(N465="1521",MONTH(C465)='BK NL'!$M$11),"x","")</f>
        <v/>
      </c>
    </row>
    <row r="466" spans="1:33" ht="15.75" customHeight="1">
      <c r="A466" s="398" t="str">
        <f>IF(B466&lt;&gt;"",IF(AND(B466&gt;=_TM1,B466&lt;=_TM2,OR(TH!N466="1111",TH!O466="1111")),TH!D466,""),"")</f>
        <v/>
      </c>
      <c r="B466" s="63" t="str">
        <f t="shared" si="38"/>
        <v/>
      </c>
      <c r="C466" s="362"/>
      <c r="D466" s="362"/>
      <c r="E466" s="362"/>
      <c r="F466" s="363"/>
      <c r="G466" s="380"/>
      <c r="H466" s="364"/>
      <c r="I466" s="515"/>
      <c r="J466" s="515"/>
      <c r="K466" s="507"/>
      <c r="L466" s="515"/>
      <c r="M466" s="65"/>
      <c r="N466" s="365"/>
      <c r="O466" s="365"/>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si="37"/>
        <v/>
      </c>
      <c r="AD466" s="66" t="str">
        <f>IF(AND(MONTH(E466)&lt;='IN-NX'!$P$3,'IN-NX'!$D$7=D466,OR(LEFT(TH!N466,2)="15",LEFT(TH!O466,2)="15")),"x","")</f>
        <v/>
      </c>
      <c r="AE466" s="66" t="str">
        <f>IF(AND(OR(LEFT(TH!N466,2)="15",LEFT(TH!O466,2)="15"),'152-CT'!$J$8=TH!F466),"x","")</f>
        <v/>
      </c>
      <c r="AF466" s="66" t="str">
        <f>IF(AND(OR(LEFT(TH!N466,2)="15",LEFT(TH!O466,2)="15"),'THE KHO'!$E$7=TH!F466),"x","")</f>
        <v/>
      </c>
      <c r="AG466" s="66" t="str">
        <f>IF(AND(N466="1521",MONTH(C466)='BK NL'!$M$11),"x","")</f>
        <v/>
      </c>
    </row>
    <row r="467" spans="1:33" ht="15.75" customHeight="1">
      <c r="A467" s="398" t="str">
        <f>IF(B467&lt;&gt;"",IF(AND(B467&gt;=_TM1,B467&lt;=_TM2,OR(TH!N467="1111",TH!O467="1111")),TH!D467,""),"")</f>
        <v/>
      </c>
      <c r="B467" s="63" t="str">
        <f t="shared" si="38"/>
        <v/>
      </c>
      <c r="C467" s="362"/>
      <c r="D467" s="362"/>
      <c r="E467" s="362"/>
      <c r="F467" s="363"/>
      <c r="G467" s="380"/>
      <c r="H467" s="364"/>
      <c r="I467" s="515"/>
      <c r="J467" s="515"/>
      <c r="K467" s="507"/>
      <c r="L467" s="515"/>
      <c r="M467" s="65"/>
      <c r="N467" s="365"/>
      <c r="O467" s="365"/>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37"/>
        <v/>
      </c>
      <c r="AD467" s="66" t="str">
        <f>IF(AND(MONTH(E467)&lt;='IN-NX'!$P$3,'IN-NX'!$D$7=D467,OR(LEFT(TH!N467,2)="15",LEFT(TH!O467,2)="15")),"x","")</f>
        <v/>
      </c>
      <c r="AE467" s="66" t="str">
        <f>IF(AND(OR(LEFT(TH!N467,2)="15",LEFT(TH!O467,2)="15"),'152-CT'!$J$8=TH!F467),"x","")</f>
        <v/>
      </c>
      <c r="AF467" s="66" t="str">
        <f>IF(AND(OR(LEFT(TH!N467,2)="15",LEFT(TH!O467,2)="15"),'THE KHO'!$E$7=TH!F467),"x","")</f>
        <v/>
      </c>
      <c r="AG467" s="66" t="str">
        <f>IF(AND(N467="1521",MONTH(C467)='BK NL'!$M$11),"x","")</f>
        <v/>
      </c>
    </row>
    <row r="468" spans="1:33" ht="15.75" customHeight="1">
      <c r="A468" s="398" t="str">
        <f>IF(B468&lt;&gt;"",IF(AND(B468&gt;=_TM1,B468&lt;=_TM2,OR(TH!N468="1111",TH!O468="1111")),TH!D468,""),"")</f>
        <v/>
      </c>
      <c r="B468" s="63" t="str">
        <f t="shared" si="38"/>
        <v/>
      </c>
      <c r="C468" s="362"/>
      <c r="D468" s="362"/>
      <c r="E468" s="362"/>
      <c r="F468" s="363"/>
      <c r="G468" s="380"/>
      <c r="H468" s="364"/>
      <c r="I468" s="515"/>
      <c r="J468" s="515"/>
      <c r="K468" s="507"/>
      <c r="L468" s="515"/>
      <c r="M468" s="65"/>
      <c r="N468" s="365"/>
      <c r="O468" s="365"/>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37"/>
        <v/>
      </c>
      <c r="AD468" s="66" t="str">
        <f>IF(AND(MONTH(E468)&lt;='IN-NX'!$P$3,'IN-NX'!$D$7=D468,OR(LEFT(TH!N468,2)="15",LEFT(TH!O468,2)="15")),"x","")</f>
        <v/>
      </c>
      <c r="AE468" s="66" t="str">
        <f>IF(AND(OR(LEFT(TH!N468,2)="15",LEFT(TH!O468,2)="15"),'152-CT'!$J$8=TH!F468),"x","")</f>
        <v/>
      </c>
      <c r="AF468" s="66" t="str">
        <f>IF(AND(OR(LEFT(TH!N468,2)="15",LEFT(TH!O468,2)="15"),'THE KHO'!$E$7=TH!F468),"x","")</f>
        <v/>
      </c>
      <c r="AG468" s="66" t="str">
        <f>IF(AND(N468="1521",MONTH(C468)='BK NL'!$M$11),"x","")</f>
        <v/>
      </c>
    </row>
    <row r="469" spans="1:33" ht="15.75" customHeight="1">
      <c r="A469" s="398" t="str">
        <f>IF(B469&lt;&gt;"",IF(AND(B469&gt;=_TM1,B469&lt;=_TM2,OR(TH!N469="1111",TH!O469="1111")),TH!D469,""),"")</f>
        <v/>
      </c>
      <c r="B469" s="63" t="str">
        <f t="shared" si="38"/>
        <v/>
      </c>
      <c r="C469" s="362"/>
      <c r="D469" s="362"/>
      <c r="E469" s="362"/>
      <c r="F469" s="363"/>
      <c r="G469" s="380"/>
      <c r="H469" s="364"/>
      <c r="I469" s="515"/>
      <c r="J469" s="515"/>
      <c r="K469" s="507"/>
      <c r="L469" s="515"/>
      <c r="M469" s="65"/>
      <c r="N469" s="365"/>
      <c r="O469" s="365"/>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37"/>
        <v/>
      </c>
      <c r="AD469" s="66" t="str">
        <f>IF(AND(MONTH(E469)&lt;='IN-NX'!$P$3,'IN-NX'!$D$7=D469,OR(LEFT(TH!N469,2)="15",LEFT(TH!O469,2)="15")),"x","")</f>
        <v/>
      </c>
      <c r="AE469" s="66" t="str">
        <f>IF(AND(OR(LEFT(TH!N469,2)="15",LEFT(TH!O469,2)="15"),'152-CT'!$J$8=TH!F469),"x","")</f>
        <v/>
      </c>
      <c r="AF469" s="66" t="str">
        <f>IF(AND(OR(LEFT(TH!N469,2)="15",LEFT(TH!O469,2)="15"),'THE KHO'!$E$7=TH!F469),"x","")</f>
        <v/>
      </c>
      <c r="AG469" s="66" t="str">
        <f>IF(AND(N469="1521",MONTH(C469)='BK NL'!$M$11),"x","")</f>
        <v/>
      </c>
    </row>
    <row r="470" spans="1:33" ht="15.75" customHeight="1">
      <c r="A470" s="398" t="str">
        <f>IF(B470&lt;&gt;"",IF(AND(B470&gt;=_TM1,B470&lt;=_TM2,OR(TH!N470="1111",TH!O470="1111")),TH!D470,""),"")</f>
        <v/>
      </c>
      <c r="B470" s="63" t="str">
        <f t="shared" si="38"/>
        <v/>
      </c>
      <c r="C470" s="362"/>
      <c r="D470" s="362"/>
      <c r="E470" s="362"/>
      <c r="F470" s="363"/>
      <c r="G470" s="381"/>
      <c r="H470" s="364"/>
      <c r="I470" s="515"/>
      <c r="J470" s="515"/>
      <c r="K470" s="507"/>
      <c r="L470" s="515"/>
      <c r="M470" s="65"/>
      <c r="N470" s="365"/>
      <c r="O470" s="365"/>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37"/>
        <v/>
      </c>
      <c r="AD470" s="66" t="str">
        <f>IF(AND(MONTH(E470)&lt;='IN-NX'!$P$3,'IN-NX'!$D$7=D470,OR(LEFT(TH!N470,2)="15",LEFT(TH!O470,2)="15")),"x","")</f>
        <v/>
      </c>
      <c r="AE470" s="66" t="str">
        <f>IF(AND(OR(LEFT(TH!N470,2)="15",LEFT(TH!O470,2)="15"),'152-CT'!$J$8=TH!F470),"x","")</f>
        <v/>
      </c>
      <c r="AF470" s="66" t="str">
        <f>IF(AND(OR(LEFT(TH!N470,2)="15",LEFT(TH!O470,2)="15"),'THE KHO'!$E$7=TH!F470),"x","")</f>
        <v/>
      </c>
      <c r="AG470" s="66" t="str">
        <f>IF(AND(N470="1521",MONTH(C470)='BK NL'!$M$11),"x","")</f>
        <v/>
      </c>
    </row>
    <row r="471" spans="1:33" ht="15.75" customHeight="1">
      <c r="A471" s="398" t="str">
        <f>IF(B471&lt;&gt;"",IF(AND(B471&gt;=_TM1,B471&lt;=_TM2,OR(TH!N471="1111",TH!O471="1111")),TH!D471,""),"")</f>
        <v/>
      </c>
      <c r="B471" s="63" t="str">
        <f t="shared" si="38"/>
        <v/>
      </c>
      <c r="C471" s="362"/>
      <c r="D471" s="362"/>
      <c r="E471" s="362"/>
      <c r="F471" s="363"/>
      <c r="G471" s="381"/>
      <c r="H471" s="364"/>
      <c r="I471" s="515"/>
      <c r="J471" s="515"/>
      <c r="K471" s="507"/>
      <c r="L471" s="515"/>
      <c r="M471" s="65"/>
      <c r="N471" s="365"/>
      <c r="O471" s="365"/>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ref="AC471:AC523" si="39">IF(AND(1&lt;=$B471,$B471&lt;=3),"1",IF(AND(4&lt;=$B471,$B471&lt;=6),"2",IF(AND(7&lt;=$B471,$B471&lt;=9),"3",IF(AND(10&lt;=$B471,$B471&lt;=12),"4",""))))</f>
        <v/>
      </c>
      <c r="AD471" s="66" t="str">
        <f>IF(AND(MONTH(E471)&lt;='IN-NX'!$P$3,'IN-NX'!$D$7=D471,OR(LEFT(TH!N471,2)="15",LEFT(TH!O471,2)="15")),"x","")</f>
        <v/>
      </c>
      <c r="AE471" s="66" t="str">
        <f>IF(AND(OR(LEFT(TH!N471,2)="15",LEFT(TH!O471,2)="15"),'152-CT'!$J$8=TH!F471),"x","")</f>
        <v/>
      </c>
      <c r="AF471" s="66" t="str">
        <f>IF(AND(OR(LEFT(TH!N471,2)="15",LEFT(TH!O471,2)="15"),'THE KHO'!$E$7=TH!F471),"x","")</f>
        <v/>
      </c>
      <c r="AG471" s="66" t="str">
        <f>IF(AND(N471="1521",MONTH(C471)='BK NL'!$M$11),"x","")</f>
        <v/>
      </c>
    </row>
    <row r="472" spans="1:33" ht="15.75" customHeight="1">
      <c r="A472" s="398" t="str">
        <f>IF(B472&lt;&gt;"",IF(AND(B472&gt;=_TM1,B472&lt;=_TM2,OR(TH!N472="1111",TH!O472="1111")),TH!D472,""),"")</f>
        <v/>
      </c>
      <c r="B472" s="63" t="str">
        <f t="shared" si="38"/>
        <v/>
      </c>
      <c r="C472" s="362"/>
      <c r="D472" s="362"/>
      <c r="E472" s="362"/>
      <c r="F472" s="363"/>
      <c r="G472" s="381"/>
      <c r="H472" s="364"/>
      <c r="I472" s="515"/>
      <c r="J472" s="515"/>
      <c r="K472" s="507"/>
      <c r="L472" s="515"/>
      <c r="M472" s="65"/>
      <c r="N472" s="365"/>
      <c r="O472" s="365"/>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39"/>
        <v/>
      </c>
      <c r="AD472" s="66" t="str">
        <f>IF(AND(MONTH(E472)&lt;='IN-NX'!$P$3,'IN-NX'!$D$7=D472,OR(LEFT(TH!N472,2)="15",LEFT(TH!O472,2)="15")),"x","")</f>
        <v/>
      </c>
      <c r="AE472" s="66" t="str">
        <f>IF(AND(OR(LEFT(TH!N472,2)="15",LEFT(TH!O472,2)="15"),'152-CT'!$J$8=TH!F472),"x","")</f>
        <v/>
      </c>
      <c r="AF472" s="66" t="str">
        <f>IF(AND(OR(LEFT(TH!N472,2)="15",LEFT(TH!O472,2)="15"),'THE KHO'!$E$7=TH!F472),"x","")</f>
        <v/>
      </c>
      <c r="AG472" s="66" t="str">
        <f>IF(AND(N472="1521",MONTH(C472)='BK NL'!$M$11),"x","")</f>
        <v/>
      </c>
    </row>
    <row r="473" spans="1:33" ht="15.75" customHeight="1">
      <c r="A473" s="398" t="str">
        <f>IF(B473&lt;&gt;"",IF(AND(B473&gt;=_TM1,B473&lt;=_TM2,OR(TH!N473="1111",TH!O473="1111")),TH!D473,""),"")</f>
        <v/>
      </c>
      <c r="B473" s="63" t="str">
        <f t="shared" si="38"/>
        <v/>
      </c>
      <c r="C473" s="362"/>
      <c r="D473" s="362"/>
      <c r="E473" s="362"/>
      <c r="F473" s="363"/>
      <c r="G473" s="381"/>
      <c r="H473" s="364"/>
      <c r="I473" s="515"/>
      <c r="J473" s="515"/>
      <c r="K473" s="507"/>
      <c r="L473" s="515"/>
      <c r="M473" s="65"/>
      <c r="N473" s="365"/>
      <c r="O473" s="365"/>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39"/>
        <v/>
      </c>
      <c r="AD473" s="66" t="str">
        <f>IF(AND(MONTH(E473)&lt;='IN-NX'!$P$3,'IN-NX'!$D$7=D473,OR(LEFT(TH!N473,2)="15",LEFT(TH!O473,2)="15")),"x","")</f>
        <v/>
      </c>
      <c r="AE473" s="66" t="str">
        <f>IF(AND(OR(LEFT(TH!N473,2)="15",LEFT(TH!O473,2)="15"),'152-CT'!$J$8=TH!F473),"x","")</f>
        <v/>
      </c>
      <c r="AF473" s="66" t="str">
        <f>IF(AND(OR(LEFT(TH!N473,2)="15",LEFT(TH!O473,2)="15"),'THE KHO'!$E$7=TH!F473),"x","")</f>
        <v/>
      </c>
      <c r="AG473" s="66" t="str">
        <f>IF(AND(N473="1521",MONTH(C473)='BK NL'!$M$11),"x","")</f>
        <v/>
      </c>
    </row>
    <row r="474" spans="1:33" ht="15.75" customHeight="1">
      <c r="A474" s="398" t="str">
        <f>IF(B474&lt;&gt;"",IF(AND(B474&gt;=_TM1,B474&lt;=_TM2,OR(TH!N474="1111",TH!O474="1111")),TH!D474,""),"")</f>
        <v/>
      </c>
      <c r="B474" s="63" t="str">
        <f t="shared" si="38"/>
        <v/>
      </c>
      <c r="C474" s="362"/>
      <c r="D474" s="362"/>
      <c r="E474" s="362"/>
      <c r="F474" s="363"/>
      <c r="G474" s="381"/>
      <c r="H474" s="364"/>
      <c r="I474" s="515"/>
      <c r="J474" s="515"/>
      <c r="K474" s="507"/>
      <c r="L474" s="515"/>
      <c r="M474" s="65"/>
      <c r="N474" s="365"/>
      <c r="O474" s="365"/>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39"/>
        <v/>
      </c>
      <c r="AD474" s="66" t="str">
        <f>IF(AND(MONTH(E474)&lt;='IN-NX'!$P$3,'IN-NX'!$D$7=D474,OR(LEFT(TH!N474,2)="15",LEFT(TH!O474,2)="15")),"x","")</f>
        <v/>
      </c>
      <c r="AE474" s="66" t="str">
        <f>IF(AND(OR(LEFT(TH!N474,2)="15",LEFT(TH!O474,2)="15"),'152-CT'!$J$8=TH!F474),"x","")</f>
        <v/>
      </c>
      <c r="AF474" s="66" t="str">
        <f>IF(AND(OR(LEFT(TH!N474,2)="15",LEFT(TH!O474,2)="15"),'THE KHO'!$E$7=TH!F474),"x","")</f>
        <v/>
      </c>
      <c r="AG474" s="66" t="str">
        <f>IF(AND(N474="1521",MONTH(C474)='BK NL'!$M$11),"x","")</f>
        <v/>
      </c>
    </row>
    <row r="475" spans="1:33" ht="15.75" customHeight="1">
      <c r="A475" s="398" t="str">
        <f>IF(B475&lt;&gt;"",IF(AND(B475&gt;=_TM1,B475&lt;=_TM2,OR(TH!N475="1111",TH!O475="1111")),TH!D475,""),"")</f>
        <v/>
      </c>
      <c r="B475" s="63" t="str">
        <f t="shared" si="38"/>
        <v/>
      </c>
      <c r="C475" s="362"/>
      <c r="D475" s="362"/>
      <c r="E475" s="362"/>
      <c r="F475" s="363"/>
      <c r="G475" s="381"/>
      <c r="H475" s="406"/>
      <c r="I475" s="518"/>
      <c r="J475" s="518"/>
      <c r="K475" s="510"/>
      <c r="L475" s="518"/>
      <c r="M475" s="65"/>
      <c r="N475" s="365"/>
      <c r="O475" s="365"/>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39"/>
        <v/>
      </c>
      <c r="AD475" s="66" t="str">
        <f>IF(AND(MONTH(E475)&lt;='IN-NX'!$P$3,'IN-NX'!$D$7=D475,OR(LEFT(TH!N475,2)="15",LEFT(TH!O475,2)="15")),"x","")</f>
        <v/>
      </c>
      <c r="AE475" s="66" t="str">
        <f>IF(AND(OR(LEFT(TH!N475,2)="15",LEFT(TH!O475,2)="15"),'152-CT'!$J$8=TH!F475),"x","")</f>
        <v/>
      </c>
      <c r="AF475" s="66" t="str">
        <f>IF(AND(OR(LEFT(TH!N475,2)="15",LEFT(TH!O475,2)="15"),'THE KHO'!$E$7=TH!F475),"x","")</f>
        <v/>
      </c>
      <c r="AG475" s="66" t="str">
        <f>IF(AND(N475="1521",MONTH(C475)='BK NL'!$M$11),"x","")</f>
        <v/>
      </c>
    </row>
    <row r="476" spans="1:33" ht="15.75" customHeight="1">
      <c r="A476" s="398" t="str">
        <f>IF(B476&lt;&gt;"",IF(AND(B476&gt;=_TM1,B476&lt;=_TM2,OR(TH!N476="1111",TH!O476="1111")),TH!D476,""),"")</f>
        <v/>
      </c>
      <c r="B476" s="63" t="str">
        <f t="shared" si="38"/>
        <v/>
      </c>
      <c r="C476" s="362"/>
      <c r="D476" s="362"/>
      <c r="E476" s="362"/>
      <c r="F476" s="363"/>
      <c r="G476" s="381"/>
      <c r="H476" s="364"/>
      <c r="I476" s="515"/>
      <c r="J476" s="515"/>
      <c r="K476" s="507"/>
      <c r="L476" s="515"/>
      <c r="M476" s="65"/>
      <c r="N476" s="365"/>
      <c r="O476" s="365"/>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39"/>
        <v/>
      </c>
      <c r="AD476" s="66" t="str">
        <f>IF(AND(MONTH(E476)&lt;='IN-NX'!$P$3,'IN-NX'!$D$7=D476,OR(LEFT(TH!N476,2)="15",LEFT(TH!O476,2)="15")),"x","")</f>
        <v/>
      </c>
      <c r="AE476" s="66" t="str">
        <f>IF(AND(OR(LEFT(TH!N476,2)="15",LEFT(TH!O476,2)="15"),'152-CT'!$J$8=TH!F476),"x","")</f>
        <v/>
      </c>
      <c r="AF476" s="66" t="str">
        <f>IF(AND(OR(LEFT(TH!N476,2)="15",LEFT(TH!O476,2)="15"),'THE KHO'!$E$7=TH!F476),"x","")</f>
        <v/>
      </c>
      <c r="AG476" s="66" t="str">
        <f>IF(AND(N476="1521",MONTH(C476)='BK NL'!$M$11),"x","")</f>
        <v/>
      </c>
    </row>
    <row r="477" spans="1:33" ht="15.75" customHeight="1">
      <c r="A477" s="398" t="str">
        <f>IF(B477&lt;&gt;"",IF(AND(B477&gt;=_TM1,B477&lt;=_TM2,OR(TH!N477="1111",TH!O477="1111")),TH!D477,""),"")</f>
        <v/>
      </c>
      <c r="B477" s="63" t="str">
        <f t="shared" si="38"/>
        <v/>
      </c>
      <c r="C477" s="362"/>
      <c r="D477" s="362"/>
      <c r="E477" s="362"/>
      <c r="F477" s="363"/>
      <c r="G477" s="381"/>
      <c r="H477" s="364"/>
      <c r="I477" s="515"/>
      <c r="J477" s="515"/>
      <c r="K477" s="507"/>
      <c r="L477" s="515"/>
      <c r="M477" s="65"/>
      <c r="N477" s="365"/>
      <c r="O477" s="365"/>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39"/>
        <v/>
      </c>
      <c r="AD477" s="66" t="str">
        <f>IF(AND(MONTH(E477)&lt;='IN-NX'!$P$3,'IN-NX'!$D$7=D477,OR(LEFT(TH!N477,2)="15",LEFT(TH!O477,2)="15")),"x","")</f>
        <v/>
      </c>
      <c r="AE477" s="66" t="str">
        <f>IF(AND(OR(LEFT(TH!N477,2)="15",LEFT(TH!O477,2)="15"),'152-CT'!$J$8=TH!F477),"x","")</f>
        <v/>
      </c>
      <c r="AF477" s="66" t="str">
        <f>IF(AND(OR(LEFT(TH!N477,2)="15",LEFT(TH!O477,2)="15"),'THE KHO'!$E$7=TH!F477),"x","")</f>
        <v/>
      </c>
      <c r="AG477" s="66" t="str">
        <f>IF(AND(N477="1521",MONTH(C477)='BK NL'!$M$11),"x","")</f>
        <v/>
      </c>
    </row>
    <row r="478" spans="1:33" ht="15.75" customHeight="1">
      <c r="A478" s="398" t="str">
        <f>IF(B478&lt;&gt;"",IF(AND(B478&gt;=_TM1,B478&lt;=_TM2,OR(TH!N478="1111",TH!O478="1111")),TH!D478,""),"")</f>
        <v/>
      </c>
      <c r="B478" s="63" t="str">
        <f t="shared" si="38"/>
        <v/>
      </c>
      <c r="C478" s="64"/>
      <c r="D478" s="362"/>
      <c r="E478" s="64"/>
      <c r="F478" s="67"/>
      <c r="G478" s="375"/>
      <c r="H478" s="74"/>
      <c r="I478" s="515"/>
      <c r="J478" s="515"/>
      <c r="K478" s="507"/>
      <c r="L478" s="515"/>
      <c r="M478" s="65"/>
      <c r="N478" s="66"/>
      <c r="O478" s="66"/>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39"/>
        <v/>
      </c>
      <c r="AD478" s="66" t="str">
        <f>IF(AND(MONTH(E478)&lt;='IN-NX'!$P$3,'IN-NX'!$D$7=D478,OR(LEFT(TH!N478,2)="15",LEFT(TH!O478,2)="15")),"x","")</f>
        <v/>
      </c>
      <c r="AE478" s="66" t="str">
        <f>IF(AND(OR(LEFT(TH!N478,2)="15",LEFT(TH!O478,2)="15"),'152-CT'!$J$8=TH!F478),"x","")</f>
        <v/>
      </c>
      <c r="AF478" s="66" t="str">
        <f>IF(AND(OR(LEFT(TH!N478,2)="15",LEFT(TH!O478,2)="15"),'THE KHO'!$E$7=TH!F478),"x","")</f>
        <v/>
      </c>
      <c r="AG478" s="66" t="str">
        <f>IF(AND(N478="1521",MONTH(C478)='BK NL'!$M$11),"x","")</f>
        <v/>
      </c>
    </row>
    <row r="479" spans="1:33" ht="15.75" customHeight="1">
      <c r="A479" s="398" t="str">
        <f>IF(B479&lt;&gt;"",IF(AND(B479&gt;=_TM1,B479&lt;=_TM2,OR(TH!N479="1111",TH!O479="1111")),TH!D479,""),"")</f>
        <v/>
      </c>
      <c r="B479" s="63" t="str">
        <f t="shared" si="38"/>
        <v/>
      </c>
      <c r="C479" s="64"/>
      <c r="D479" s="362"/>
      <c r="E479" s="64"/>
      <c r="F479" s="67"/>
      <c r="G479" s="375"/>
      <c r="H479" s="74"/>
      <c r="I479" s="515"/>
      <c r="J479" s="515"/>
      <c r="K479" s="507"/>
      <c r="L479" s="515"/>
      <c r="M479" s="65"/>
      <c r="N479" s="66"/>
      <c r="O479" s="66"/>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39"/>
        <v/>
      </c>
      <c r="AD479" s="66" t="str">
        <f>IF(AND(MONTH(E479)&lt;='IN-NX'!$P$3,'IN-NX'!$D$7=D479,OR(LEFT(TH!N479,2)="15",LEFT(TH!O479,2)="15")),"x","")</f>
        <v/>
      </c>
      <c r="AE479" s="66" t="str">
        <f>IF(AND(OR(LEFT(TH!N479,2)="15",LEFT(TH!O479,2)="15"),'152-CT'!$J$8=TH!F479),"x","")</f>
        <v/>
      </c>
      <c r="AF479" s="66" t="str">
        <f>IF(AND(OR(LEFT(TH!N479,2)="15",LEFT(TH!O479,2)="15"),'THE KHO'!$E$7=TH!F479),"x","")</f>
        <v/>
      </c>
      <c r="AG479" s="66" t="str">
        <f>IF(AND(N479="1521",MONTH(C479)='BK NL'!$M$11),"x","")</f>
        <v/>
      </c>
    </row>
    <row r="480" spans="1:33" ht="15.75" customHeight="1">
      <c r="A480" s="398" t="str">
        <f>IF(B480&lt;&gt;"",IF(AND(B480&gt;=_TM1,B480&lt;=_TM2,OR(TH!N480="1111",TH!O480="1111")),TH!D480,""),"")</f>
        <v/>
      </c>
      <c r="B480" s="63" t="str">
        <f t="shared" si="38"/>
        <v/>
      </c>
      <c r="C480" s="362"/>
      <c r="D480" s="362"/>
      <c r="E480" s="362"/>
      <c r="F480" s="363"/>
      <c r="G480" s="381"/>
      <c r="H480" s="364"/>
      <c r="I480" s="515"/>
      <c r="J480" s="515"/>
      <c r="K480" s="507"/>
      <c r="L480" s="515"/>
      <c r="M480" s="65"/>
      <c r="N480" s="365"/>
      <c r="O480" s="365"/>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39"/>
        <v/>
      </c>
      <c r="AD480" s="66" t="str">
        <f>IF(AND(MONTH(E480)&lt;='IN-NX'!$P$3,'IN-NX'!$D$7=D480,OR(LEFT(TH!N480,2)="15",LEFT(TH!O480,2)="15")),"x","")</f>
        <v/>
      </c>
      <c r="AE480" s="66" t="str">
        <f>IF(AND(OR(LEFT(TH!N480,2)="15",LEFT(TH!O480,2)="15"),'152-CT'!$J$8=TH!F480),"x","")</f>
        <v/>
      </c>
      <c r="AF480" s="66" t="str">
        <f>IF(AND(OR(LEFT(TH!N480,2)="15",LEFT(TH!O480,2)="15"),'THE KHO'!$E$7=TH!F480),"x","")</f>
        <v/>
      </c>
      <c r="AG480" s="66" t="str">
        <f>IF(AND(N480="1521",MONTH(C480)='BK NL'!$M$11),"x","")</f>
        <v/>
      </c>
    </row>
    <row r="481" spans="1:33" ht="15.75" customHeight="1">
      <c r="A481" s="398" t="str">
        <f>IF(B481&lt;&gt;"",IF(AND(B481&gt;=_TM1,B481&lt;=_TM2,OR(TH!N481="1111",TH!O481="1111")),TH!D481,""),"")</f>
        <v/>
      </c>
      <c r="B481" s="63" t="str">
        <f t="shared" si="38"/>
        <v/>
      </c>
      <c r="C481" s="362"/>
      <c r="D481" s="362"/>
      <c r="E481" s="362"/>
      <c r="F481" s="363"/>
      <c r="G481" s="380"/>
      <c r="H481" s="364"/>
      <c r="I481" s="515"/>
      <c r="J481" s="515"/>
      <c r="K481" s="507"/>
      <c r="L481" s="515"/>
      <c r="M481" s="65"/>
      <c r="N481" s="365"/>
      <c r="O481" s="365"/>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39"/>
        <v/>
      </c>
      <c r="AD481" s="66" t="str">
        <f>IF(AND(MONTH(E481)&lt;='IN-NX'!$P$3,'IN-NX'!$D$7=D481,OR(LEFT(TH!N481,2)="15",LEFT(TH!O481,2)="15")),"x","")</f>
        <v/>
      </c>
      <c r="AE481" s="66" t="str">
        <f>IF(AND(OR(LEFT(TH!N481,2)="15",LEFT(TH!O481,2)="15"),'152-CT'!$J$8=TH!F481),"x","")</f>
        <v/>
      </c>
      <c r="AF481" s="66" t="str">
        <f>IF(AND(OR(LEFT(TH!N481,2)="15",LEFT(TH!O481,2)="15"),'THE KHO'!$E$7=TH!F481),"x","")</f>
        <v/>
      </c>
      <c r="AG481" s="66" t="str">
        <f>IF(AND(N481="1521",MONTH(C481)='BK NL'!$M$11),"x","")</f>
        <v/>
      </c>
    </row>
    <row r="482" spans="1:33" ht="15.75" customHeight="1">
      <c r="A482" s="398" t="str">
        <f>IF(B482&lt;&gt;"",IF(AND(B482&gt;=_TM1,B482&lt;=_TM2,OR(TH!N482="1111",TH!O482="1111")),TH!D482,""),"")</f>
        <v/>
      </c>
      <c r="B482" s="63" t="str">
        <f t="shared" si="38"/>
        <v/>
      </c>
      <c r="C482" s="362"/>
      <c r="D482" s="362"/>
      <c r="E482" s="362"/>
      <c r="F482" s="363"/>
      <c r="G482" s="380"/>
      <c r="H482" s="364"/>
      <c r="I482" s="515"/>
      <c r="J482" s="515"/>
      <c r="K482" s="507"/>
      <c r="L482" s="515"/>
      <c r="M482" s="65"/>
      <c r="N482" s="365"/>
      <c r="O482" s="365"/>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39"/>
        <v/>
      </c>
      <c r="AD482" s="66" t="str">
        <f>IF(AND(MONTH(E482)&lt;='IN-NX'!$P$3,'IN-NX'!$D$7=D482,OR(LEFT(TH!N482,2)="15",LEFT(TH!O482,2)="15")),"x","")</f>
        <v/>
      </c>
      <c r="AE482" s="66" t="str">
        <f>IF(AND(OR(LEFT(TH!N482,2)="15",LEFT(TH!O482,2)="15"),'152-CT'!$J$8=TH!F482),"x","")</f>
        <v/>
      </c>
      <c r="AF482" s="66" t="str">
        <f>IF(AND(OR(LEFT(TH!N482,2)="15",LEFT(TH!O482,2)="15"),'THE KHO'!$E$7=TH!F482),"x","")</f>
        <v/>
      </c>
      <c r="AG482" s="66" t="str">
        <f>IF(AND(N482="1521",MONTH(C482)='BK NL'!$M$11),"x","")</f>
        <v/>
      </c>
    </row>
    <row r="483" spans="1:33" ht="15.75" customHeight="1">
      <c r="A483" s="398" t="str">
        <f>IF(B483&lt;&gt;"",IF(AND(B483&gt;=_TM1,B483&lt;=_TM2,OR(TH!N483="1111",TH!O483="1111")),TH!D483,""),"")</f>
        <v/>
      </c>
      <c r="B483" s="63" t="str">
        <f t="shared" si="38"/>
        <v/>
      </c>
      <c r="C483" s="362"/>
      <c r="D483" s="362"/>
      <c r="E483" s="362"/>
      <c r="F483" s="363"/>
      <c r="G483" s="380"/>
      <c r="H483" s="364"/>
      <c r="I483" s="515"/>
      <c r="J483" s="515"/>
      <c r="K483" s="507"/>
      <c r="L483" s="515"/>
      <c r="M483" s="65"/>
      <c r="N483" s="365"/>
      <c r="O483" s="365"/>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39"/>
        <v/>
      </c>
      <c r="AD483" s="66" t="str">
        <f>IF(AND(MONTH(E483)&lt;='IN-NX'!$P$3,'IN-NX'!$D$7=D483,OR(LEFT(TH!N483,2)="15",LEFT(TH!O483,2)="15")),"x","")</f>
        <v/>
      </c>
      <c r="AE483" s="66" t="str">
        <f>IF(AND(OR(LEFT(TH!N483,2)="15",LEFT(TH!O483,2)="15"),'152-CT'!$J$8=TH!F483),"x","")</f>
        <v/>
      </c>
      <c r="AF483" s="66" t="str">
        <f>IF(AND(OR(LEFT(TH!N483,2)="15",LEFT(TH!O483,2)="15"),'THE KHO'!$E$7=TH!F483),"x","")</f>
        <v/>
      </c>
      <c r="AG483" s="66" t="str">
        <f>IF(AND(N483="1521",MONTH(C483)='BK NL'!$M$11),"x","")</f>
        <v/>
      </c>
    </row>
    <row r="484" spans="1:33" ht="15.75" customHeight="1">
      <c r="A484" s="398" t="str">
        <f>IF(B484&lt;&gt;"",IF(AND(B484&gt;=_TM1,B484&lt;=_TM2,OR(TH!N484="1111",TH!O484="1111")),TH!D484,""),"")</f>
        <v/>
      </c>
      <c r="B484" s="63" t="str">
        <f t="shared" si="38"/>
        <v/>
      </c>
      <c r="C484" s="362"/>
      <c r="D484" s="362"/>
      <c r="E484" s="362"/>
      <c r="F484" s="363"/>
      <c r="G484" s="380"/>
      <c r="H484" s="364"/>
      <c r="I484" s="515"/>
      <c r="J484" s="515"/>
      <c r="K484" s="507"/>
      <c r="L484" s="515"/>
      <c r="M484" s="65"/>
      <c r="N484" s="365"/>
      <c r="O484" s="365"/>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39"/>
        <v/>
      </c>
      <c r="AD484" s="66" t="str">
        <f>IF(AND(MONTH(E484)&lt;='IN-NX'!$P$3,'IN-NX'!$D$7=D484,OR(LEFT(TH!N484,2)="15",LEFT(TH!O484,2)="15")),"x","")</f>
        <v/>
      </c>
      <c r="AE484" s="66" t="str">
        <f>IF(AND(OR(LEFT(TH!N484,2)="15",LEFT(TH!O484,2)="15"),'152-CT'!$J$8=TH!F484),"x","")</f>
        <v/>
      </c>
      <c r="AF484" s="66" t="str">
        <f>IF(AND(OR(LEFT(TH!N484,2)="15",LEFT(TH!O484,2)="15"),'THE KHO'!$E$7=TH!F484),"x","")</f>
        <v/>
      </c>
      <c r="AG484" s="66" t="str">
        <f>IF(AND(N484="1521",MONTH(C484)='BK NL'!$M$11),"x","")</f>
        <v/>
      </c>
    </row>
    <row r="485" spans="1:33" ht="15.75" customHeight="1">
      <c r="A485" s="398" t="str">
        <f>IF(B485&lt;&gt;"",IF(AND(B485&gt;=_TM1,B485&lt;=_TM2,OR(TH!N485="1111",TH!O485="1111")),TH!D485,""),"")</f>
        <v/>
      </c>
      <c r="B485" s="63" t="str">
        <f t="shared" si="38"/>
        <v/>
      </c>
      <c r="C485" s="362"/>
      <c r="D485" s="362"/>
      <c r="E485" s="362"/>
      <c r="F485" s="363"/>
      <c r="G485" s="381"/>
      <c r="H485" s="406"/>
      <c r="I485" s="518"/>
      <c r="J485" s="518"/>
      <c r="K485" s="510"/>
      <c r="L485" s="518"/>
      <c r="M485" s="65"/>
      <c r="N485" s="365"/>
      <c r="O485" s="365"/>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39"/>
        <v/>
      </c>
      <c r="AD485" s="66" t="str">
        <f>IF(AND(MONTH(E485)&lt;='IN-NX'!$P$3,'IN-NX'!$D$7=D485,OR(LEFT(TH!N485,2)="15",LEFT(TH!O485,2)="15")),"x","")</f>
        <v/>
      </c>
      <c r="AE485" s="66" t="str">
        <f>IF(AND(OR(LEFT(TH!N485,2)="15",LEFT(TH!O485,2)="15"),'152-CT'!$J$8=TH!F485),"x","")</f>
        <v/>
      </c>
      <c r="AF485" s="66" t="str">
        <f>IF(AND(OR(LEFT(TH!N485,2)="15",LEFT(TH!O485,2)="15"),'THE KHO'!$E$7=TH!F485),"x","")</f>
        <v/>
      </c>
      <c r="AG485" s="66" t="str">
        <f>IF(AND(N485="1521",MONTH(C485)='BK NL'!$M$11),"x","")</f>
        <v/>
      </c>
    </row>
    <row r="486" spans="1:33" ht="15.75" customHeight="1">
      <c r="A486" s="398" t="str">
        <f>IF(B486&lt;&gt;"",IF(AND(B486&gt;=_TM1,B486&lt;=_TM2,OR(TH!N486="1111",TH!O486="1111")),TH!D486,""),"")</f>
        <v/>
      </c>
      <c r="B486" s="63" t="str">
        <f t="shared" si="38"/>
        <v/>
      </c>
      <c r="C486" s="362"/>
      <c r="D486" s="362"/>
      <c r="E486" s="362"/>
      <c r="F486" s="363"/>
      <c r="G486" s="381"/>
      <c r="H486" s="364"/>
      <c r="I486" s="515"/>
      <c r="J486" s="515"/>
      <c r="K486" s="507"/>
      <c r="L486" s="515"/>
      <c r="M486" s="65"/>
      <c r="N486" s="365"/>
      <c r="O486" s="365"/>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39"/>
        <v/>
      </c>
      <c r="AD486" s="66" t="str">
        <f>IF(AND(MONTH(E486)&lt;='IN-NX'!$P$3,'IN-NX'!$D$7=D486,OR(LEFT(TH!N486,2)="15",LEFT(TH!O486,2)="15")),"x","")</f>
        <v/>
      </c>
      <c r="AE486" s="66" t="str">
        <f>IF(AND(OR(LEFT(TH!N486,2)="15",LEFT(TH!O486,2)="15"),'152-CT'!$J$8=TH!F486),"x","")</f>
        <v/>
      </c>
      <c r="AF486" s="66" t="str">
        <f>IF(AND(OR(LEFT(TH!N486,2)="15",LEFT(TH!O486,2)="15"),'THE KHO'!$E$7=TH!F486),"x","")</f>
        <v/>
      </c>
      <c r="AG486" s="66" t="str">
        <f>IF(AND(N486="1521",MONTH(C486)='BK NL'!$M$11),"x","")</f>
        <v/>
      </c>
    </row>
    <row r="487" spans="1:33" ht="15.75" customHeight="1">
      <c r="A487" s="398" t="str">
        <f>IF(B487&lt;&gt;"",IF(AND(B487&gt;=_TM1,B487&lt;=_TM2,OR(TH!N487="1111",TH!O487="1111")),TH!D487,""),"")</f>
        <v/>
      </c>
      <c r="B487" s="63" t="str">
        <f t="shared" si="38"/>
        <v/>
      </c>
      <c r="C487" s="362"/>
      <c r="D487" s="362"/>
      <c r="E487" s="362"/>
      <c r="F487" s="363"/>
      <c r="G487" s="381"/>
      <c r="H487" s="364"/>
      <c r="I487" s="515"/>
      <c r="J487" s="515"/>
      <c r="K487" s="507"/>
      <c r="L487" s="515"/>
      <c r="M487" s="65"/>
      <c r="N487" s="365"/>
      <c r="O487" s="365"/>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39"/>
        <v/>
      </c>
      <c r="AD487" s="66" t="str">
        <f>IF(AND(MONTH(E487)&lt;='IN-NX'!$P$3,'IN-NX'!$D$7=D487,OR(LEFT(TH!N487,2)="15",LEFT(TH!O487,2)="15")),"x","")</f>
        <v/>
      </c>
      <c r="AE487" s="66" t="str">
        <f>IF(AND(OR(LEFT(TH!N487,2)="15",LEFT(TH!O487,2)="15"),'152-CT'!$J$8=TH!F487),"x","")</f>
        <v/>
      </c>
      <c r="AF487" s="66" t="str">
        <f>IF(AND(OR(LEFT(TH!N487,2)="15",LEFT(TH!O487,2)="15"),'THE KHO'!$E$7=TH!F487),"x","")</f>
        <v/>
      </c>
      <c r="AG487" s="66" t="str">
        <f>IF(AND(N487="1521",MONTH(C487)='BK NL'!$M$11),"x","")</f>
        <v/>
      </c>
    </row>
    <row r="488" spans="1:33" ht="15.75" customHeight="1">
      <c r="A488" s="398" t="str">
        <f>IF(B488&lt;&gt;"",IF(AND(B488&gt;=_TM1,B488&lt;=_TM2,OR(TH!N488="1111",TH!O488="1111")),TH!D488,""),"")</f>
        <v/>
      </c>
      <c r="B488" s="63" t="str">
        <f t="shared" si="38"/>
        <v/>
      </c>
      <c r="C488" s="362"/>
      <c r="D488" s="362"/>
      <c r="E488" s="362"/>
      <c r="F488" s="363"/>
      <c r="G488" s="381"/>
      <c r="H488" s="406"/>
      <c r="I488" s="518"/>
      <c r="J488" s="518"/>
      <c r="K488" s="510"/>
      <c r="L488" s="518"/>
      <c r="M488" s="65"/>
      <c r="N488" s="365"/>
      <c r="O488" s="365"/>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39"/>
        <v/>
      </c>
      <c r="AD488" s="66" t="str">
        <f>IF(AND(MONTH(E488)&lt;='IN-NX'!$P$3,'IN-NX'!$D$7=D488,OR(LEFT(TH!N488,2)="15",LEFT(TH!O488,2)="15")),"x","")</f>
        <v/>
      </c>
      <c r="AE488" s="66" t="str">
        <f>IF(AND(OR(LEFT(TH!N488,2)="15",LEFT(TH!O488,2)="15"),'152-CT'!$J$8=TH!F488),"x","")</f>
        <v/>
      </c>
      <c r="AF488" s="66" t="str">
        <f>IF(AND(OR(LEFT(TH!N488,2)="15",LEFT(TH!O488,2)="15"),'THE KHO'!$E$7=TH!F488),"x","")</f>
        <v/>
      </c>
      <c r="AG488" s="66" t="str">
        <f>IF(AND(N488="1521",MONTH(C488)='BK NL'!$M$11),"x","")</f>
        <v/>
      </c>
    </row>
    <row r="489" spans="1:33" ht="15.75" customHeight="1">
      <c r="A489" s="398" t="str">
        <f>IF(B489&lt;&gt;"",IF(AND(B489&gt;=_TM1,B489&lt;=_TM2,OR(TH!N489="1111",TH!O489="1111")),TH!D489,""),"")</f>
        <v/>
      </c>
      <c r="B489" s="63" t="str">
        <f t="shared" si="38"/>
        <v/>
      </c>
      <c r="C489" s="362"/>
      <c r="D489" s="362"/>
      <c r="E489" s="362"/>
      <c r="F489" s="363"/>
      <c r="G489" s="381"/>
      <c r="H489" s="364"/>
      <c r="I489" s="515"/>
      <c r="J489" s="515"/>
      <c r="K489" s="507"/>
      <c r="L489" s="515"/>
      <c r="M489" s="65"/>
      <c r="N489" s="365"/>
      <c r="O489" s="365"/>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39"/>
        <v/>
      </c>
      <c r="AD489" s="66" t="str">
        <f>IF(AND(MONTH(E489)&lt;='IN-NX'!$P$3,'IN-NX'!$D$7=D489,OR(LEFT(TH!N489,2)="15",LEFT(TH!O489,2)="15")),"x","")</f>
        <v/>
      </c>
      <c r="AE489" s="66" t="str">
        <f>IF(AND(OR(LEFT(TH!N489,2)="15",LEFT(TH!O489,2)="15"),'152-CT'!$J$8=TH!F489),"x","")</f>
        <v/>
      </c>
      <c r="AF489" s="66" t="str">
        <f>IF(AND(OR(LEFT(TH!N489,2)="15",LEFT(TH!O489,2)="15"),'THE KHO'!$E$7=TH!F489),"x","")</f>
        <v/>
      </c>
      <c r="AG489" s="66" t="str">
        <f>IF(AND(N489="1521",MONTH(C489)='BK NL'!$M$11),"x","")</f>
        <v/>
      </c>
    </row>
    <row r="490" spans="1:33" ht="15.75" customHeight="1">
      <c r="A490" s="398" t="str">
        <f>IF(B490&lt;&gt;"",IF(AND(B490&gt;=_TM1,B490&lt;=_TM2,OR(TH!N490="1111",TH!O490="1111")),TH!D490,""),"")</f>
        <v/>
      </c>
      <c r="B490" s="63" t="str">
        <f t="shared" si="38"/>
        <v/>
      </c>
      <c r="C490" s="362"/>
      <c r="D490" s="362"/>
      <c r="E490" s="362"/>
      <c r="F490" s="363"/>
      <c r="G490" s="381"/>
      <c r="H490" s="364"/>
      <c r="I490" s="515"/>
      <c r="J490" s="515"/>
      <c r="K490" s="507"/>
      <c r="L490" s="515"/>
      <c r="M490" s="65"/>
      <c r="N490" s="365"/>
      <c r="O490" s="365"/>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39"/>
        <v/>
      </c>
      <c r="AD490" s="66" t="str">
        <f>IF(AND(MONTH(E490)&lt;='IN-NX'!$P$3,'IN-NX'!$D$7=D490,OR(LEFT(TH!N490,2)="15",LEFT(TH!O490,2)="15")),"x","")</f>
        <v/>
      </c>
      <c r="AE490" s="66" t="str">
        <f>IF(AND(OR(LEFT(TH!N490,2)="15",LEFT(TH!O490,2)="15"),'152-CT'!$J$8=TH!F490),"x","")</f>
        <v/>
      </c>
      <c r="AF490" s="66" t="str">
        <f>IF(AND(OR(LEFT(TH!N490,2)="15",LEFT(TH!O490,2)="15"),'THE KHO'!$E$7=TH!F490),"x","")</f>
        <v/>
      </c>
      <c r="AG490" s="66" t="str">
        <f>IF(AND(N490="1521",MONTH(C490)='BK NL'!$M$11),"x","")</f>
        <v/>
      </c>
    </row>
    <row r="491" spans="1:33" ht="15.75" customHeight="1">
      <c r="A491" s="398" t="str">
        <f>IF(B491&lt;&gt;"",IF(AND(B491&gt;=_TM1,B491&lt;=_TM2,OR(TH!N491="1111",TH!O491="1111")),TH!D491,""),"")</f>
        <v/>
      </c>
      <c r="B491" s="63" t="str">
        <f t="shared" si="38"/>
        <v/>
      </c>
      <c r="C491" s="362"/>
      <c r="D491" s="362"/>
      <c r="E491" s="362"/>
      <c r="F491" s="363"/>
      <c r="G491" s="380"/>
      <c r="H491" s="364"/>
      <c r="I491" s="515"/>
      <c r="J491" s="515"/>
      <c r="K491" s="507"/>
      <c r="L491" s="515"/>
      <c r="M491" s="65"/>
      <c r="N491" s="365"/>
      <c r="O491" s="365"/>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39"/>
        <v/>
      </c>
      <c r="AD491" s="66" t="str">
        <f>IF(AND(MONTH(E491)&lt;='IN-NX'!$P$3,'IN-NX'!$D$7=D491,OR(LEFT(TH!N491,2)="15",LEFT(TH!O491,2)="15")),"x","")</f>
        <v/>
      </c>
      <c r="AE491" s="66" t="str">
        <f>IF(AND(OR(LEFT(TH!N491,2)="15",LEFT(TH!O491,2)="15"),'152-CT'!$J$8=TH!F491),"x","")</f>
        <v/>
      </c>
      <c r="AF491" s="66" t="str">
        <f>IF(AND(OR(LEFT(TH!N491,2)="15",LEFT(TH!O491,2)="15"),'THE KHO'!$E$7=TH!F491),"x","")</f>
        <v/>
      </c>
      <c r="AG491" s="66" t="str">
        <f>IF(AND(N491="1521",MONTH(C491)='BK NL'!$M$11),"x","")</f>
        <v/>
      </c>
    </row>
    <row r="492" spans="1:33" ht="15.75" customHeight="1">
      <c r="A492" s="398" t="str">
        <f>IF(B492&lt;&gt;"",IF(AND(B492&gt;=_TM1,B492&lt;=_TM2,OR(TH!N492="1111",TH!O492="1111")),TH!D492,""),"")</f>
        <v/>
      </c>
      <c r="B492" s="63" t="str">
        <f t="shared" si="38"/>
        <v/>
      </c>
      <c r="C492" s="362"/>
      <c r="D492" s="362"/>
      <c r="E492" s="362"/>
      <c r="F492" s="363"/>
      <c r="G492" s="380"/>
      <c r="H492" s="364"/>
      <c r="I492" s="515"/>
      <c r="J492" s="515"/>
      <c r="K492" s="507"/>
      <c r="L492" s="515"/>
      <c r="M492" s="65"/>
      <c r="N492" s="365"/>
      <c r="O492" s="365"/>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39"/>
        <v/>
      </c>
      <c r="AD492" s="66" t="str">
        <f>IF(AND(MONTH(E492)&lt;='IN-NX'!$P$3,'IN-NX'!$D$7=D492,OR(LEFT(TH!N492,2)="15",LEFT(TH!O492,2)="15")),"x","")</f>
        <v/>
      </c>
      <c r="AE492" s="66" t="str">
        <f>IF(AND(OR(LEFT(TH!N492,2)="15",LEFT(TH!O492,2)="15"),'152-CT'!$J$8=TH!F492),"x","")</f>
        <v/>
      </c>
      <c r="AF492" s="66" t="str">
        <f>IF(AND(OR(LEFT(TH!N492,2)="15",LEFT(TH!O492,2)="15"),'THE KHO'!$E$7=TH!F492),"x","")</f>
        <v/>
      </c>
      <c r="AG492" s="66" t="str">
        <f>IF(AND(N492="1521",MONTH(C492)='BK NL'!$M$11),"x","")</f>
        <v/>
      </c>
    </row>
    <row r="493" spans="1:33" ht="15.75" customHeight="1">
      <c r="A493" s="398" t="str">
        <f>IF(B493&lt;&gt;"",IF(AND(B493&gt;=_TM1,B493&lt;=_TM2,OR(TH!N493="1111",TH!O493="1111")),TH!D493,""),"")</f>
        <v/>
      </c>
      <c r="B493" s="63" t="str">
        <f t="shared" si="38"/>
        <v/>
      </c>
      <c r="C493" s="362"/>
      <c r="D493" s="362"/>
      <c r="E493" s="362"/>
      <c r="F493" s="363"/>
      <c r="G493" s="380"/>
      <c r="H493" s="364"/>
      <c r="I493" s="515"/>
      <c r="J493" s="515"/>
      <c r="K493" s="507"/>
      <c r="L493" s="515"/>
      <c r="M493" s="65"/>
      <c r="N493" s="365"/>
      <c r="O493" s="365"/>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39"/>
        <v/>
      </c>
      <c r="AD493" s="66" t="str">
        <f>IF(AND(MONTH(E493)&lt;='IN-NX'!$P$3,'IN-NX'!$D$7=D493,OR(LEFT(TH!N493,2)="15",LEFT(TH!O493,2)="15")),"x","")</f>
        <v/>
      </c>
      <c r="AE493" s="66" t="str">
        <f>IF(AND(OR(LEFT(TH!N493,2)="15",LEFT(TH!O493,2)="15"),'152-CT'!$J$8=TH!F493),"x","")</f>
        <v/>
      </c>
      <c r="AF493" s="66" t="str">
        <f>IF(AND(OR(LEFT(TH!N493,2)="15",LEFT(TH!O493,2)="15"),'THE KHO'!$E$7=TH!F493),"x","")</f>
        <v/>
      </c>
      <c r="AG493" s="66" t="str">
        <f>IF(AND(N493="1521",MONTH(C493)='BK NL'!$M$11),"x","")</f>
        <v/>
      </c>
    </row>
    <row r="494" spans="1:33" ht="15.75" customHeight="1">
      <c r="A494" s="398" t="str">
        <f>IF(B494&lt;&gt;"",IF(AND(B494&gt;=_TM1,B494&lt;=_TM2,OR(TH!N494="1111",TH!O494="1111")),TH!D494,""),"")</f>
        <v/>
      </c>
      <c r="B494" s="63" t="str">
        <f t="shared" si="38"/>
        <v/>
      </c>
      <c r="C494" s="362"/>
      <c r="D494" s="362"/>
      <c r="E494" s="362"/>
      <c r="F494" s="363"/>
      <c r="G494" s="380"/>
      <c r="H494" s="364"/>
      <c r="I494" s="515"/>
      <c r="J494" s="515"/>
      <c r="K494" s="507"/>
      <c r="L494" s="515"/>
      <c r="M494" s="65"/>
      <c r="N494" s="365"/>
      <c r="O494" s="365"/>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39"/>
        <v/>
      </c>
      <c r="AD494" s="66" t="str">
        <f>IF(AND(MONTH(E494)&lt;='IN-NX'!$P$3,'IN-NX'!$D$7=D494,OR(LEFT(TH!N494,2)="15",LEFT(TH!O494,2)="15")),"x","")</f>
        <v/>
      </c>
      <c r="AE494" s="66" t="str">
        <f>IF(AND(OR(LEFT(TH!N494,2)="15",LEFT(TH!O494,2)="15"),'152-CT'!$J$8=TH!F494),"x","")</f>
        <v/>
      </c>
      <c r="AF494" s="66" t="str">
        <f>IF(AND(OR(LEFT(TH!N494,2)="15",LEFT(TH!O494,2)="15"),'THE KHO'!$E$7=TH!F494),"x","")</f>
        <v/>
      </c>
      <c r="AG494" s="66" t="str">
        <f>IF(AND(N494="1521",MONTH(C494)='BK NL'!$M$11),"x","")</f>
        <v/>
      </c>
    </row>
    <row r="495" spans="1:33" ht="15.75" customHeight="1">
      <c r="A495" s="398" t="str">
        <f>IF(B495&lt;&gt;"",IF(AND(B495&gt;=_TM1,B495&lt;=_TM2,OR(TH!N495="1111",TH!O495="1111")),TH!D495,""),"")</f>
        <v/>
      </c>
      <c r="B495" s="63" t="str">
        <f t="shared" si="38"/>
        <v/>
      </c>
      <c r="C495" s="362"/>
      <c r="D495" s="362"/>
      <c r="E495" s="362"/>
      <c r="F495" s="363"/>
      <c r="G495" s="380"/>
      <c r="H495" s="364"/>
      <c r="I495" s="515"/>
      <c r="J495" s="515"/>
      <c r="K495" s="507"/>
      <c r="L495" s="515"/>
      <c r="M495" s="65"/>
      <c r="N495" s="365"/>
      <c r="O495" s="365"/>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39"/>
        <v/>
      </c>
      <c r="AD495" s="66" t="str">
        <f>IF(AND(MONTH(E495)&lt;='IN-NX'!$P$3,'IN-NX'!$D$7=D495,OR(LEFT(TH!N495,2)="15",LEFT(TH!O495,2)="15")),"x","")</f>
        <v/>
      </c>
      <c r="AE495" s="66" t="str">
        <f>IF(AND(OR(LEFT(TH!N495,2)="15",LEFT(TH!O495,2)="15"),'152-CT'!$J$8=TH!F495),"x","")</f>
        <v/>
      </c>
      <c r="AF495" s="66" t="str">
        <f>IF(AND(OR(LEFT(TH!N495,2)="15",LEFT(TH!O495,2)="15"),'THE KHO'!$E$7=TH!F495),"x","")</f>
        <v/>
      </c>
      <c r="AG495" s="66" t="str">
        <f>IF(AND(N495="1521",MONTH(C495)='BK NL'!$M$11),"x","")</f>
        <v/>
      </c>
    </row>
    <row r="496" spans="1:33" ht="15.75" customHeight="1">
      <c r="A496" s="398" t="str">
        <f>IF(B496&lt;&gt;"",IF(AND(B496&gt;=_TM1,B496&lt;=_TM2,OR(TH!N496="1111",TH!O496="1111")),TH!D496,""),"")</f>
        <v/>
      </c>
      <c r="B496" s="63" t="str">
        <f t="shared" si="38"/>
        <v/>
      </c>
      <c r="C496" s="362"/>
      <c r="D496" s="362"/>
      <c r="E496" s="362"/>
      <c r="F496" s="363"/>
      <c r="G496" s="380"/>
      <c r="H496" s="364"/>
      <c r="I496" s="515"/>
      <c r="J496" s="515"/>
      <c r="K496" s="507"/>
      <c r="L496" s="515"/>
      <c r="M496" s="65"/>
      <c r="N496" s="365"/>
      <c r="O496" s="365"/>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39"/>
        <v/>
      </c>
      <c r="AD496" s="66" t="str">
        <f>IF(AND(MONTH(E496)&lt;='IN-NX'!$P$3,'IN-NX'!$D$7=D496,OR(LEFT(TH!N496,2)="15",LEFT(TH!O496,2)="15")),"x","")</f>
        <v/>
      </c>
      <c r="AE496" s="66" t="str">
        <f>IF(AND(OR(LEFT(TH!N496,2)="15",LEFT(TH!O496,2)="15"),'152-CT'!$J$8=TH!F496),"x","")</f>
        <v/>
      </c>
      <c r="AF496" s="66" t="str">
        <f>IF(AND(OR(LEFT(TH!N496,2)="15",LEFT(TH!O496,2)="15"),'THE KHO'!$E$7=TH!F496),"x","")</f>
        <v/>
      </c>
      <c r="AG496" s="66" t="str">
        <f>IF(AND(N496="1521",MONTH(C496)='BK NL'!$M$11),"x","")</f>
        <v/>
      </c>
    </row>
    <row r="497" spans="1:33" ht="15.75" customHeight="1">
      <c r="A497" s="398" t="str">
        <f>IF(B497&lt;&gt;"",IF(AND(B497&gt;=_TM1,B497&lt;=_TM2,OR(TH!N497="1111",TH!O497="1111")),TH!D497,""),"")</f>
        <v/>
      </c>
      <c r="B497" s="63" t="str">
        <f t="shared" si="38"/>
        <v/>
      </c>
      <c r="C497" s="362"/>
      <c r="D497" s="362"/>
      <c r="E497" s="362"/>
      <c r="F497" s="363"/>
      <c r="G497" s="380"/>
      <c r="H497" s="364"/>
      <c r="I497" s="515"/>
      <c r="J497" s="515"/>
      <c r="K497" s="507"/>
      <c r="L497" s="515"/>
      <c r="M497" s="65"/>
      <c r="N497" s="365"/>
      <c r="O497" s="365"/>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39"/>
        <v/>
      </c>
      <c r="AD497" s="66" t="str">
        <f>IF(AND(MONTH(E497)&lt;='IN-NX'!$P$3,'IN-NX'!$D$7=D497,OR(LEFT(TH!N497,2)="15",LEFT(TH!O497,2)="15")),"x","")</f>
        <v/>
      </c>
      <c r="AE497" s="66" t="str">
        <f>IF(AND(OR(LEFT(TH!N497,2)="15",LEFT(TH!O497,2)="15"),'152-CT'!$J$8=TH!F497),"x","")</f>
        <v/>
      </c>
      <c r="AF497" s="66" t="str">
        <f>IF(AND(OR(LEFT(TH!N497,2)="15",LEFT(TH!O497,2)="15"),'THE KHO'!$E$7=TH!F497),"x","")</f>
        <v/>
      </c>
      <c r="AG497" s="66" t="str">
        <f>IF(AND(N497="1521",MONTH(C497)='BK NL'!$M$11),"x","")</f>
        <v/>
      </c>
    </row>
    <row r="498" spans="1:33" ht="15.75" customHeight="1">
      <c r="A498" s="398" t="str">
        <f>IF(B498&lt;&gt;"",IF(AND(B498&gt;=_TM1,B498&lt;=_TM2,OR(TH!N498="1111",TH!O498="1111")),TH!D498,""),"")</f>
        <v/>
      </c>
      <c r="B498" s="63" t="str">
        <f t="shared" si="38"/>
        <v/>
      </c>
      <c r="C498" s="362"/>
      <c r="D498" s="362"/>
      <c r="E498" s="362"/>
      <c r="F498" s="363"/>
      <c r="G498" s="380"/>
      <c r="H498" s="364"/>
      <c r="I498" s="515"/>
      <c r="J498" s="515"/>
      <c r="K498" s="507"/>
      <c r="L498" s="515"/>
      <c r="M498" s="65"/>
      <c r="N498" s="365"/>
      <c r="O498" s="365"/>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39"/>
        <v/>
      </c>
      <c r="AD498" s="66" t="str">
        <f>IF(AND(MONTH(E498)&lt;='IN-NX'!$P$3,'IN-NX'!$D$7=D498,OR(LEFT(TH!N498,2)="15",LEFT(TH!O498,2)="15")),"x","")</f>
        <v/>
      </c>
      <c r="AE498" s="66" t="str">
        <f>IF(AND(OR(LEFT(TH!N498,2)="15",LEFT(TH!O498,2)="15"),'152-CT'!$J$8=TH!F498),"x","")</f>
        <v/>
      </c>
      <c r="AF498" s="66" t="str">
        <f>IF(AND(OR(LEFT(TH!N498,2)="15",LEFT(TH!O498,2)="15"),'THE KHO'!$E$7=TH!F498),"x","")</f>
        <v/>
      </c>
      <c r="AG498" s="66" t="str">
        <f>IF(AND(N498="1521",MONTH(C498)='BK NL'!$M$11),"x","")</f>
        <v/>
      </c>
    </row>
    <row r="499" spans="1:33" ht="15.75" customHeight="1">
      <c r="A499" s="398" t="str">
        <f>IF(B499&lt;&gt;"",IF(AND(B499&gt;=_TM1,B499&lt;=_TM2,OR(TH!N499="1111",TH!O499="1111")),TH!D499,""),"")</f>
        <v/>
      </c>
      <c r="B499" s="63" t="str">
        <f t="shared" si="38"/>
        <v/>
      </c>
      <c r="C499" s="362"/>
      <c r="D499" s="362"/>
      <c r="E499" s="362"/>
      <c r="F499" s="363"/>
      <c r="G499" s="380"/>
      <c r="H499" s="364"/>
      <c r="I499" s="515"/>
      <c r="J499" s="515"/>
      <c r="K499" s="507"/>
      <c r="L499" s="515"/>
      <c r="M499" s="65"/>
      <c r="N499" s="365"/>
      <c r="O499" s="365"/>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39"/>
        <v/>
      </c>
      <c r="AD499" s="66" t="str">
        <f>IF(AND(MONTH(E499)&lt;='IN-NX'!$P$3,'IN-NX'!$D$7=D499,OR(LEFT(TH!N499,2)="15",LEFT(TH!O499,2)="15")),"x","")</f>
        <v/>
      </c>
      <c r="AE499" s="66" t="str">
        <f>IF(AND(OR(LEFT(TH!N499,2)="15",LEFT(TH!O499,2)="15"),'152-CT'!$J$8=TH!F499),"x","")</f>
        <v/>
      </c>
      <c r="AF499" s="66" t="str">
        <f>IF(AND(OR(LEFT(TH!N499,2)="15",LEFT(TH!O499,2)="15"),'THE KHO'!$E$7=TH!F499),"x","")</f>
        <v/>
      </c>
      <c r="AG499" s="66" t="str">
        <f>IF(AND(N499="1521",MONTH(C499)='BK NL'!$M$11),"x","")</f>
        <v/>
      </c>
    </row>
    <row r="500" spans="1:33" ht="15.75" customHeight="1">
      <c r="A500" s="398" t="str">
        <f>IF(B500&lt;&gt;"",IF(AND(B500&gt;=_TM1,B500&lt;=_TM2,OR(TH!N500="1111",TH!O500="1111")),TH!D500,""),"")</f>
        <v/>
      </c>
      <c r="B500" s="63" t="str">
        <f t="shared" si="38"/>
        <v/>
      </c>
      <c r="C500" s="362"/>
      <c r="D500" s="362"/>
      <c r="E500" s="362"/>
      <c r="F500" s="363"/>
      <c r="G500" s="380"/>
      <c r="H500" s="364"/>
      <c r="I500" s="515"/>
      <c r="J500" s="515"/>
      <c r="K500" s="507"/>
      <c r="L500" s="515"/>
      <c r="M500" s="65"/>
      <c r="N500" s="365"/>
      <c r="O500" s="365"/>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39"/>
        <v/>
      </c>
      <c r="AD500" s="66" t="str">
        <f>IF(AND(MONTH(E500)&lt;='IN-NX'!$P$3,'IN-NX'!$D$7=D500,OR(LEFT(TH!N500,2)="15",LEFT(TH!O500,2)="15")),"x","")</f>
        <v/>
      </c>
      <c r="AE500" s="66" t="str">
        <f>IF(AND(OR(LEFT(TH!N500,2)="15",LEFT(TH!O500,2)="15"),'152-CT'!$J$8=TH!F500),"x","")</f>
        <v/>
      </c>
      <c r="AF500" s="66" t="str">
        <f>IF(AND(OR(LEFT(TH!N500,2)="15",LEFT(TH!O500,2)="15"),'THE KHO'!$E$7=TH!F500),"x","")</f>
        <v/>
      </c>
      <c r="AG500" s="66" t="str">
        <f>IF(AND(N500="1521",MONTH(C500)='BK NL'!$M$11),"x","")</f>
        <v/>
      </c>
    </row>
    <row r="501" spans="1:33" ht="15.75" customHeight="1">
      <c r="A501" s="398" t="str">
        <f>IF(B501&lt;&gt;"",IF(AND(B501&gt;=_TM1,B501&lt;=_TM2,OR(TH!N501="1111",TH!O501="1111")),TH!D501,""),"")</f>
        <v/>
      </c>
      <c r="B501" s="63" t="str">
        <f t="shared" si="38"/>
        <v/>
      </c>
      <c r="C501" s="362"/>
      <c r="D501" s="362"/>
      <c r="E501" s="362"/>
      <c r="F501" s="363"/>
      <c r="G501" s="380"/>
      <c r="H501" s="364"/>
      <c r="I501" s="515"/>
      <c r="J501" s="515"/>
      <c r="K501" s="507"/>
      <c r="L501" s="515"/>
      <c r="M501" s="65"/>
      <c r="N501" s="365"/>
      <c r="O501" s="365"/>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39"/>
        <v/>
      </c>
      <c r="AD501" s="66" t="str">
        <f>IF(AND(MONTH(E501)&lt;='IN-NX'!$P$3,'IN-NX'!$D$7=D501,OR(LEFT(TH!N501,2)="15",LEFT(TH!O501,2)="15")),"x","")</f>
        <v/>
      </c>
      <c r="AE501" s="66" t="str">
        <f>IF(AND(OR(LEFT(TH!N501,2)="15",LEFT(TH!O501,2)="15"),'152-CT'!$J$8=TH!F501),"x","")</f>
        <v/>
      </c>
      <c r="AF501" s="66" t="str">
        <f>IF(AND(OR(LEFT(TH!N501,2)="15",LEFT(TH!O501,2)="15"),'THE KHO'!$E$7=TH!F501),"x","")</f>
        <v/>
      </c>
      <c r="AG501" s="66" t="str">
        <f>IF(AND(N501="1521",MONTH(C501)='BK NL'!$M$11),"x","")</f>
        <v/>
      </c>
    </row>
    <row r="502" spans="1:33" ht="15.75" customHeight="1">
      <c r="A502" s="398" t="str">
        <f>IF(B502&lt;&gt;"",IF(AND(B502&gt;=_TM1,B502&lt;=_TM2,OR(TH!N502="1111",TH!O502="1111")),TH!D502,""),"")</f>
        <v/>
      </c>
      <c r="B502" s="63" t="str">
        <f t="shared" si="38"/>
        <v/>
      </c>
      <c r="C502" s="362"/>
      <c r="D502" s="362"/>
      <c r="E502" s="362"/>
      <c r="F502" s="363"/>
      <c r="G502" s="380"/>
      <c r="H502" s="364"/>
      <c r="I502" s="515"/>
      <c r="J502" s="515"/>
      <c r="K502" s="507"/>
      <c r="L502" s="515"/>
      <c r="M502" s="65"/>
      <c r="N502" s="365"/>
      <c r="O502" s="365"/>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39"/>
        <v/>
      </c>
      <c r="AD502" s="66" t="str">
        <f>IF(AND(MONTH(E502)&lt;='IN-NX'!$P$3,'IN-NX'!$D$7=D502,OR(LEFT(TH!N502,2)="15",LEFT(TH!O502,2)="15")),"x","")</f>
        <v/>
      </c>
      <c r="AE502" s="66" t="str">
        <f>IF(AND(OR(LEFT(TH!N502,2)="15",LEFT(TH!O502,2)="15"),'152-CT'!$J$8=TH!F502),"x","")</f>
        <v/>
      </c>
      <c r="AF502" s="66" t="str">
        <f>IF(AND(OR(LEFT(TH!N502,2)="15",LEFT(TH!O502,2)="15"),'THE KHO'!$E$7=TH!F502),"x","")</f>
        <v/>
      </c>
      <c r="AG502" s="66" t="str">
        <f>IF(AND(N502="1521",MONTH(C502)='BK NL'!$M$11),"x","")</f>
        <v/>
      </c>
    </row>
    <row r="503" spans="1:33" ht="15.75" customHeight="1">
      <c r="A503" s="398" t="str">
        <f>IF(B503&lt;&gt;"",IF(AND(B503&gt;=_TM1,B503&lt;=_TM2,OR(TH!N503="1111",TH!O503="1111")),TH!D503,""),"")</f>
        <v/>
      </c>
      <c r="B503" s="63" t="str">
        <f t="shared" si="38"/>
        <v/>
      </c>
      <c r="C503" s="362"/>
      <c r="D503" s="362"/>
      <c r="E503" s="362"/>
      <c r="F503" s="363"/>
      <c r="G503" s="380"/>
      <c r="H503" s="364"/>
      <c r="I503" s="515"/>
      <c r="J503" s="515"/>
      <c r="K503" s="507"/>
      <c r="L503" s="515"/>
      <c r="M503" s="65"/>
      <c r="N503" s="365"/>
      <c r="O503" s="365"/>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39"/>
        <v/>
      </c>
      <c r="AD503" s="66" t="str">
        <f>IF(AND(MONTH(E503)&lt;='IN-NX'!$P$3,'IN-NX'!$D$7=D503,OR(LEFT(TH!N503,2)="15",LEFT(TH!O503,2)="15")),"x","")</f>
        <v/>
      </c>
      <c r="AE503" s="66" t="str">
        <f>IF(AND(OR(LEFT(TH!N503,2)="15",LEFT(TH!O503,2)="15"),'152-CT'!$J$8=TH!F503),"x","")</f>
        <v/>
      </c>
      <c r="AF503" s="66" t="str">
        <f>IF(AND(OR(LEFT(TH!N503,2)="15",LEFT(TH!O503,2)="15"),'THE KHO'!$E$7=TH!F503),"x","")</f>
        <v/>
      </c>
      <c r="AG503" s="66" t="str">
        <f>IF(AND(N503="1521",MONTH(C503)='BK NL'!$M$11),"x","")</f>
        <v/>
      </c>
    </row>
    <row r="504" spans="1:33" ht="15.75" customHeight="1">
      <c r="A504" s="398" t="str">
        <f>IF(B504&lt;&gt;"",IF(AND(B504&gt;=_TM1,B504&lt;=_TM2,OR(TH!N504="1111",TH!O504="1111")),TH!D504,""),"")</f>
        <v/>
      </c>
      <c r="B504" s="63" t="str">
        <f t="shared" si="38"/>
        <v/>
      </c>
      <c r="C504" s="64"/>
      <c r="D504" s="362"/>
      <c r="E504" s="64"/>
      <c r="F504" s="67"/>
      <c r="G504" s="375"/>
      <c r="H504" s="74"/>
      <c r="I504" s="515"/>
      <c r="J504" s="515"/>
      <c r="K504" s="507"/>
      <c r="L504" s="515"/>
      <c r="M504" s="65"/>
      <c r="N504" s="66"/>
      <c r="O504" s="66"/>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39"/>
        <v/>
      </c>
      <c r="AD504" s="66" t="str">
        <f>IF(AND(MONTH(E504)&lt;='IN-NX'!$P$3,'IN-NX'!$D$7=D504,OR(LEFT(TH!N504,2)="15",LEFT(TH!O504,2)="15")),"x","")</f>
        <v/>
      </c>
      <c r="AE504" s="66" t="str">
        <f>IF(AND(OR(LEFT(TH!N504,2)="15",LEFT(TH!O504,2)="15"),'152-CT'!$J$8=TH!F504),"x","")</f>
        <v/>
      </c>
      <c r="AF504" s="66" t="str">
        <f>IF(AND(OR(LEFT(TH!N504,2)="15",LEFT(TH!O504,2)="15"),'THE KHO'!$E$7=TH!F504),"x","")</f>
        <v/>
      </c>
      <c r="AG504" s="66" t="str">
        <f>IF(AND(N504="1521",MONTH(C504)='BK NL'!$M$11),"x","")</f>
        <v/>
      </c>
    </row>
    <row r="505" spans="1:33" ht="15.75" customHeight="1">
      <c r="A505" s="398" t="str">
        <f>IF(B505&lt;&gt;"",IF(AND(B505&gt;=_TM1,B505&lt;=_TM2,OR(TH!N505="1111",TH!O505="1111")),TH!D505,""),"")</f>
        <v/>
      </c>
      <c r="B505" s="63" t="str">
        <f t="shared" si="38"/>
        <v/>
      </c>
      <c r="C505" s="64"/>
      <c r="D505" s="362"/>
      <c r="E505" s="64"/>
      <c r="F505" s="67"/>
      <c r="G505" s="375"/>
      <c r="H505" s="74"/>
      <c r="I505" s="515"/>
      <c r="J505" s="515"/>
      <c r="K505" s="507"/>
      <c r="L505" s="515"/>
      <c r="M505" s="65"/>
      <c r="N505" s="66"/>
      <c r="O505" s="66"/>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39"/>
        <v/>
      </c>
      <c r="AD505" s="66" t="str">
        <f>IF(AND(MONTH(E505)&lt;='IN-NX'!$P$3,'IN-NX'!$D$7=D505,OR(LEFT(TH!N505,2)="15",LEFT(TH!O505,2)="15")),"x","")</f>
        <v/>
      </c>
      <c r="AE505" s="66" t="str">
        <f>IF(AND(OR(LEFT(TH!N505,2)="15",LEFT(TH!O505,2)="15"),'152-CT'!$J$8=TH!F505),"x","")</f>
        <v/>
      </c>
      <c r="AF505" s="66" t="str">
        <f>IF(AND(OR(LEFT(TH!N505,2)="15",LEFT(TH!O505,2)="15"),'THE KHO'!$E$7=TH!F505),"x","")</f>
        <v/>
      </c>
      <c r="AG505" s="66" t="str">
        <f>IF(AND(N505="1521",MONTH(C505)='BK NL'!$M$11),"x","")</f>
        <v/>
      </c>
    </row>
    <row r="506" spans="1:33" ht="15.75" customHeight="1">
      <c r="A506" s="398" t="str">
        <f>IF(B506&lt;&gt;"",IF(AND(B506&gt;=_TM1,B506&lt;=_TM2,OR(TH!N506="1111",TH!O506="1111")),TH!D506,""),"")</f>
        <v/>
      </c>
      <c r="B506" s="63" t="str">
        <f t="shared" si="38"/>
        <v/>
      </c>
      <c r="C506" s="362"/>
      <c r="D506" s="362"/>
      <c r="E506" s="362"/>
      <c r="F506" s="363"/>
      <c r="G506" s="380"/>
      <c r="H506" s="364"/>
      <c r="I506" s="515"/>
      <c r="J506" s="515"/>
      <c r="K506" s="507"/>
      <c r="L506" s="515"/>
      <c r="M506" s="65"/>
      <c r="N506" s="365"/>
      <c r="O506" s="365"/>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39"/>
        <v/>
      </c>
      <c r="AD506" s="66" t="str">
        <f>IF(AND(MONTH(E506)&lt;='IN-NX'!$P$3,'IN-NX'!$D$7=D506,OR(LEFT(TH!N506,2)="15",LEFT(TH!O506,2)="15")),"x","")</f>
        <v/>
      </c>
      <c r="AE506" s="66" t="str">
        <f>IF(AND(OR(LEFT(TH!N506,2)="15",LEFT(TH!O506,2)="15"),'152-CT'!$J$8=TH!F506),"x","")</f>
        <v/>
      </c>
      <c r="AF506" s="66" t="str">
        <f>IF(AND(OR(LEFT(TH!N506,2)="15",LEFT(TH!O506,2)="15"),'THE KHO'!$E$7=TH!F506),"x","")</f>
        <v/>
      </c>
      <c r="AG506" s="66" t="str">
        <f>IF(AND(N506="1521",MONTH(C506)='BK NL'!$M$11),"x","")</f>
        <v/>
      </c>
    </row>
    <row r="507" spans="1:33" ht="15.75" customHeight="1">
      <c r="A507" s="398" t="str">
        <f>IF(B507&lt;&gt;"",IF(AND(B507&gt;=_TM1,B507&lt;=_TM2,OR(TH!N507="1111",TH!O507="1111")),TH!D507,""),"")</f>
        <v/>
      </c>
      <c r="B507" s="63" t="str">
        <f t="shared" si="38"/>
        <v/>
      </c>
      <c r="C507" s="362"/>
      <c r="D507" s="362"/>
      <c r="E507" s="362"/>
      <c r="F507" s="363"/>
      <c r="G507" s="380"/>
      <c r="H507" s="364"/>
      <c r="I507" s="515"/>
      <c r="J507" s="515"/>
      <c r="K507" s="507"/>
      <c r="L507" s="515"/>
      <c r="M507" s="65"/>
      <c r="N507" s="365"/>
      <c r="O507" s="365"/>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39"/>
        <v/>
      </c>
      <c r="AD507" s="66" t="str">
        <f>IF(AND(MONTH(E507)&lt;='IN-NX'!$P$3,'IN-NX'!$D$7=D507,OR(LEFT(TH!N507,2)="15",LEFT(TH!O507,2)="15")),"x","")</f>
        <v/>
      </c>
      <c r="AE507" s="66" t="str">
        <f>IF(AND(OR(LEFT(TH!N507,2)="15",LEFT(TH!O507,2)="15"),'152-CT'!$J$8=TH!F507),"x","")</f>
        <v/>
      </c>
      <c r="AF507" s="66" t="str">
        <f>IF(AND(OR(LEFT(TH!N507,2)="15",LEFT(TH!O507,2)="15"),'THE KHO'!$E$7=TH!F507),"x","")</f>
        <v/>
      </c>
      <c r="AG507" s="66" t="str">
        <f>IF(AND(N507="1521",MONTH(C507)='BK NL'!$M$11),"x","")</f>
        <v/>
      </c>
    </row>
    <row r="508" spans="1:33" ht="15.75" customHeight="1">
      <c r="A508" s="398" t="str">
        <f>IF(B508&lt;&gt;"",IF(AND(B508&gt;=_TM1,B508&lt;=_TM2,OR(TH!N508="1111",TH!O508="1111")),TH!D508,""),"")</f>
        <v/>
      </c>
      <c r="B508" s="63" t="str">
        <f t="shared" si="38"/>
        <v/>
      </c>
      <c r="C508" s="362"/>
      <c r="D508" s="362"/>
      <c r="E508" s="362"/>
      <c r="F508" s="363"/>
      <c r="G508" s="380"/>
      <c r="H508" s="364"/>
      <c r="I508" s="515"/>
      <c r="J508" s="515"/>
      <c r="K508" s="507"/>
      <c r="L508" s="515"/>
      <c r="M508" s="65"/>
      <c r="N508" s="365"/>
      <c r="O508" s="365"/>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39"/>
        <v/>
      </c>
      <c r="AD508" s="66" t="str">
        <f>IF(AND(MONTH(E508)&lt;='IN-NX'!$P$3,'IN-NX'!$D$7=D508,OR(LEFT(TH!N508,2)="15",LEFT(TH!O508,2)="15")),"x","")</f>
        <v/>
      </c>
      <c r="AE508" s="66" t="str">
        <f>IF(AND(OR(LEFT(TH!N508,2)="15",LEFT(TH!O508,2)="15"),'152-CT'!$J$8=TH!F508),"x","")</f>
        <v/>
      </c>
      <c r="AF508" s="66" t="str">
        <f>IF(AND(OR(LEFT(TH!N508,2)="15",LEFT(TH!O508,2)="15"),'THE KHO'!$E$7=TH!F508),"x","")</f>
        <v/>
      </c>
      <c r="AG508" s="66" t="str">
        <f>IF(AND(N508="1521",MONTH(C508)='BK NL'!$M$11),"x","")</f>
        <v/>
      </c>
    </row>
    <row r="509" spans="1:33" ht="15.75" customHeight="1">
      <c r="A509" s="398" t="str">
        <f>IF(B509&lt;&gt;"",IF(AND(B509&gt;=_TM1,B509&lt;=_TM2,OR(TH!N509="1111",TH!O509="1111")),TH!D509,""),"")</f>
        <v/>
      </c>
      <c r="B509" s="63" t="str">
        <f t="shared" si="38"/>
        <v/>
      </c>
      <c r="C509" s="362"/>
      <c r="D509" s="362"/>
      <c r="E509" s="362"/>
      <c r="F509" s="363"/>
      <c r="G509" s="380"/>
      <c r="H509" s="364"/>
      <c r="I509" s="515"/>
      <c r="J509" s="515"/>
      <c r="K509" s="507"/>
      <c r="L509" s="515"/>
      <c r="M509" s="65"/>
      <c r="N509" s="365"/>
      <c r="O509" s="365"/>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39"/>
        <v/>
      </c>
      <c r="AD509" s="66" t="str">
        <f>IF(AND(MONTH(E509)&lt;='IN-NX'!$P$3,'IN-NX'!$D$7=D509,OR(LEFT(TH!N509,2)="15",LEFT(TH!O509,2)="15")),"x","")</f>
        <v/>
      </c>
      <c r="AE509" s="66" t="str">
        <f>IF(AND(OR(LEFT(TH!N509,2)="15",LEFT(TH!O509,2)="15"),'152-CT'!$J$8=TH!F509),"x","")</f>
        <v/>
      </c>
      <c r="AF509" s="66" t="str">
        <f>IF(AND(OR(LEFT(TH!N509,2)="15",LEFT(TH!O509,2)="15"),'THE KHO'!$E$7=TH!F509),"x","")</f>
        <v/>
      </c>
      <c r="AG509" s="66" t="str">
        <f>IF(AND(N509="1521",MONTH(C509)='BK NL'!$M$11),"x","")</f>
        <v/>
      </c>
    </row>
    <row r="510" spans="1:33" ht="15.75" customHeight="1">
      <c r="A510" s="398" t="str">
        <f>IF(B510&lt;&gt;"",IF(AND(B510&gt;=_TM1,B510&lt;=_TM2,OR(TH!N510="1111",TH!O510="1111")),TH!D510,""),"")</f>
        <v/>
      </c>
      <c r="B510" s="63" t="str">
        <f t="shared" si="38"/>
        <v/>
      </c>
      <c r="C510" s="362"/>
      <c r="D510" s="362"/>
      <c r="E510" s="362"/>
      <c r="F510" s="363"/>
      <c r="G510" s="380"/>
      <c r="H510" s="364"/>
      <c r="I510" s="515"/>
      <c r="J510" s="515"/>
      <c r="K510" s="507"/>
      <c r="L510" s="515"/>
      <c r="M510" s="65"/>
      <c r="N510" s="365"/>
      <c r="O510" s="365"/>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39"/>
        <v/>
      </c>
      <c r="AD510" s="66" t="str">
        <f>IF(AND(MONTH(E510)&lt;='IN-NX'!$P$3,'IN-NX'!$D$7=D510,OR(LEFT(TH!N510,2)="15",LEFT(TH!O510,2)="15")),"x","")</f>
        <v/>
      </c>
      <c r="AE510" s="66" t="str">
        <f>IF(AND(OR(LEFT(TH!N510,2)="15",LEFT(TH!O510,2)="15"),'152-CT'!$J$8=TH!F510),"x","")</f>
        <v/>
      </c>
      <c r="AF510" s="66" t="str">
        <f>IF(AND(OR(LEFT(TH!N510,2)="15",LEFT(TH!O510,2)="15"),'THE KHO'!$E$7=TH!F510),"x","")</f>
        <v/>
      </c>
      <c r="AG510" s="66" t="str">
        <f>IF(AND(N510="1521",MONTH(C510)='BK NL'!$M$11),"x","")</f>
        <v/>
      </c>
    </row>
    <row r="511" spans="1:33" ht="15.75" customHeight="1">
      <c r="A511" s="398" t="str">
        <f>IF(B511&lt;&gt;"",IF(AND(B511&gt;=_TM1,B511&lt;=_TM2,OR(TH!N511="1111",TH!O511="1111")),TH!D511,""),"")</f>
        <v/>
      </c>
      <c r="B511" s="63" t="str">
        <f t="shared" si="38"/>
        <v/>
      </c>
      <c r="C511" s="362"/>
      <c r="D511" s="362"/>
      <c r="E511" s="362"/>
      <c r="F511" s="363"/>
      <c r="G511" s="380"/>
      <c r="H511" s="364"/>
      <c r="I511" s="515"/>
      <c r="J511" s="515"/>
      <c r="K511" s="507"/>
      <c r="L511" s="515"/>
      <c r="M511" s="65"/>
      <c r="N511" s="365"/>
      <c r="O511" s="365"/>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39"/>
        <v/>
      </c>
      <c r="AD511" s="66" t="str">
        <f>IF(AND(MONTH(E511)&lt;='IN-NX'!$P$3,'IN-NX'!$D$7=D511,OR(LEFT(TH!N511,2)="15",LEFT(TH!O511,2)="15")),"x","")</f>
        <v/>
      </c>
      <c r="AE511" s="66" t="str">
        <f>IF(AND(OR(LEFT(TH!N511,2)="15",LEFT(TH!O511,2)="15"),'152-CT'!$J$8=TH!F511),"x","")</f>
        <v/>
      </c>
      <c r="AF511" s="66" t="str">
        <f>IF(AND(OR(LEFT(TH!N511,2)="15",LEFT(TH!O511,2)="15"),'THE KHO'!$E$7=TH!F511),"x","")</f>
        <v/>
      </c>
      <c r="AG511" s="66" t="str">
        <f>IF(AND(N511="1521",MONTH(C511)='BK NL'!$M$11),"x","")</f>
        <v/>
      </c>
    </row>
    <row r="512" spans="1:33" ht="15.75" customHeight="1">
      <c r="A512" s="398" t="str">
        <f>IF(B512&lt;&gt;"",IF(AND(B512&gt;=_TM1,B512&lt;=_TM2,OR(TH!N512="1111",TH!O512="1111")),TH!D512,""),"")</f>
        <v/>
      </c>
      <c r="B512" s="63" t="str">
        <f t="shared" si="38"/>
        <v/>
      </c>
      <c r="C512" s="362"/>
      <c r="D512" s="362"/>
      <c r="E512" s="362"/>
      <c r="F512" s="363"/>
      <c r="G512" s="380"/>
      <c r="H512" s="364"/>
      <c r="I512" s="515"/>
      <c r="J512" s="515"/>
      <c r="K512" s="507"/>
      <c r="L512" s="515"/>
      <c r="M512" s="65"/>
      <c r="N512" s="365"/>
      <c r="O512" s="365"/>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39"/>
        <v/>
      </c>
      <c r="AD512" s="66" t="str">
        <f>IF(AND(MONTH(E512)&lt;='IN-NX'!$P$3,'IN-NX'!$D$7=D512,OR(LEFT(TH!N512,2)="15",LEFT(TH!O512,2)="15")),"x","")</f>
        <v/>
      </c>
      <c r="AE512" s="66" t="str">
        <f>IF(AND(OR(LEFT(TH!N512,2)="15",LEFT(TH!O512,2)="15"),'152-CT'!$J$8=TH!F512),"x","")</f>
        <v/>
      </c>
      <c r="AF512" s="66" t="str">
        <f>IF(AND(OR(LEFT(TH!N512,2)="15",LEFT(TH!O512,2)="15"),'THE KHO'!$E$7=TH!F512),"x","")</f>
        <v/>
      </c>
      <c r="AG512" s="66" t="str">
        <f>IF(AND(N512="1521",MONTH(C512)='BK NL'!$M$11),"x","")</f>
        <v/>
      </c>
    </row>
    <row r="513" spans="1:33" ht="15.75" customHeight="1">
      <c r="A513" s="398" t="str">
        <f>IF(B513&lt;&gt;"",IF(AND(B513&gt;=_TM1,B513&lt;=_TM2,OR(TH!N513="1111",TH!O513="1111")),TH!D513,""),"")</f>
        <v/>
      </c>
      <c r="B513" s="63" t="str">
        <f t="shared" si="38"/>
        <v/>
      </c>
      <c r="C513" s="362"/>
      <c r="D513" s="362"/>
      <c r="E513" s="362"/>
      <c r="F513" s="363"/>
      <c r="G513" s="380"/>
      <c r="H513" s="364"/>
      <c r="I513" s="515"/>
      <c r="J513" s="515"/>
      <c r="K513" s="507"/>
      <c r="L513" s="515"/>
      <c r="M513" s="65"/>
      <c r="N513" s="365"/>
      <c r="O513" s="365"/>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39"/>
        <v/>
      </c>
      <c r="AD513" s="66" t="str">
        <f>IF(AND(MONTH(E513)&lt;='IN-NX'!$P$3,'IN-NX'!$D$7=D513,OR(LEFT(TH!N513,2)="15",LEFT(TH!O513,2)="15")),"x","")</f>
        <v/>
      </c>
      <c r="AE513" s="66" t="str">
        <f>IF(AND(OR(LEFT(TH!N513,2)="15",LEFT(TH!O513,2)="15"),'152-CT'!$J$8=TH!F513),"x","")</f>
        <v/>
      </c>
      <c r="AF513" s="66" t="str">
        <f>IF(AND(OR(LEFT(TH!N513,2)="15",LEFT(TH!O513,2)="15"),'THE KHO'!$E$7=TH!F513),"x","")</f>
        <v/>
      </c>
      <c r="AG513" s="66" t="str">
        <f>IF(AND(N513="1521",MONTH(C513)='BK NL'!$M$11),"x","")</f>
        <v/>
      </c>
    </row>
    <row r="514" spans="1:33" ht="15.75" customHeight="1">
      <c r="A514" s="398" t="str">
        <f>IF(B514&lt;&gt;"",IF(AND(B514&gt;=_TM1,B514&lt;=_TM2,OR(TH!N514="1111",TH!O514="1111")),TH!D514,""),"")</f>
        <v/>
      </c>
      <c r="B514" s="63" t="str">
        <f t="shared" si="38"/>
        <v/>
      </c>
      <c r="C514" s="362"/>
      <c r="D514" s="362"/>
      <c r="E514" s="362"/>
      <c r="F514" s="363"/>
      <c r="G514" s="380"/>
      <c r="H514" s="364"/>
      <c r="I514" s="515"/>
      <c r="J514" s="515"/>
      <c r="K514" s="507"/>
      <c r="L514" s="515"/>
      <c r="M514" s="65"/>
      <c r="N514" s="365"/>
      <c r="O514" s="365"/>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39"/>
        <v/>
      </c>
      <c r="AD514" s="66" t="str">
        <f>IF(AND(MONTH(E514)&lt;='IN-NX'!$P$3,'IN-NX'!$D$7=D514,OR(LEFT(TH!N514,2)="15",LEFT(TH!O514,2)="15")),"x","")</f>
        <v/>
      </c>
      <c r="AE514" s="66" t="str">
        <f>IF(AND(OR(LEFT(TH!N514,2)="15",LEFT(TH!O514,2)="15"),'152-CT'!$J$8=TH!F514),"x","")</f>
        <v/>
      </c>
      <c r="AF514" s="66" t="str">
        <f>IF(AND(OR(LEFT(TH!N514,2)="15",LEFT(TH!O514,2)="15"),'THE KHO'!$E$7=TH!F514),"x","")</f>
        <v/>
      </c>
      <c r="AG514" s="66" t="str">
        <f>IF(AND(N514="1521",MONTH(C514)='BK NL'!$M$11),"x","")</f>
        <v/>
      </c>
    </row>
    <row r="515" spans="1:33" ht="15.75" customHeight="1">
      <c r="A515" s="398" t="str">
        <f>IF(B515&lt;&gt;"",IF(AND(B515&gt;=_TM1,B515&lt;=_TM2,OR(TH!N515="1111",TH!O515="1111")),TH!D515,""),"")</f>
        <v/>
      </c>
      <c r="B515" s="63" t="str">
        <f t="shared" si="38"/>
        <v/>
      </c>
      <c r="C515" s="64"/>
      <c r="D515" s="362"/>
      <c r="E515" s="64"/>
      <c r="F515" s="67"/>
      <c r="G515" s="375"/>
      <c r="H515" s="74"/>
      <c r="I515" s="515"/>
      <c r="J515" s="515"/>
      <c r="K515" s="507"/>
      <c r="L515" s="515"/>
      <c r="M515" s="65"/>
      <c r="N515" s="66"/>
      <c r="O515" s="66"/>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39"/>
        <v/>
      </c>
      <c r="AD515" s="66" t="str">
        <f>IF(AND(MONTH(E515)&lt;='IN-NX'!$P$3,'IN-NX'!$D$7=D515,OR(LEFT(TH!N515,2)="15",LEFT(TH!O515,2)="15")),"x","")</f>
        <v/>
      </c>
      <c r="AE515" s="66" t="str">
        <f>IF(AND(OR(LEFT(TH!N515,2)="15",LEFT(TH!O515,2)="15"),'152-CT'!$J$8=TH!F515),"x","")</f>
        <v/>
      </c>
      <c r="AF515" s="66" t="str">
        <f>IF(AND(OR(LEFT(TH!N515,2)="15",LEFT(TH!O515,2)="15"),'THE KHO'!$E$7=TH!F515),"x","")</f>
        <v/>
      </c>
      <c r="AG515" s="66" t="str">
        <f>IF(AND(N515="1521",MONTH(C515)='BK NL'!$M$11),"x","")</f>
        <v/>
      </c>
    </row>
    <row r="516" spans="1:33" ht="15.75" customHeight="1">
      <c r="A516" s="398" t="str">
        <f>IF(B516&lt;&gt;"",IF(AND(B516&gt;=_TM1,B516&lt;=_TM2,OR(TH!N516="1111",TH!O516="1111")),TH!D516,""),"")</f>
        <v/>
      </c>
      <c r="B516" s="63" t="str">
        <f t="shared" si="38"/>
        <v/>
      </c>
      <c r="C516" s="64"/>
      <c r="D516" s="362"/>
      <c r="E516" s="64"/>
      <c r="F516" s="67"/>
      <c r="G516" s="375"/>
      <c r="H516" s="74"/>
      <c r="I516" s="515"/>
      <c r="J516" s="515"/>
      <c r="K516" s="507"/>
      <c r="L516" s="515"/>
      <c r="M516" s="65"/>
      <c r="N516" s="66"/>
      <c r="O516" s="66"/>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39"/>
        <v/>
      </c>
      <c r="AD516" s="66" t="str">
        <f>IF(AND(MONTH(E516)&lt;='IN-NX'!$P$3,'IN-NX'!$D$7=D516,OR(LEFT(TH!N516,2)="15",LEFT(TH!O516,2)="15")),"x","")</f>
        <v/>
      </c>
      <c r="AE516" s="66" t="str">
        <f>IF(AND(OR(LEFT(TH!N516,2)="15",LEFT(TH!O516,2)="15"),'152-CT'!$J$8=TH!F516),"x","")</f>
        <v/>
      </c>
      <c r="AF516" s="66" t="str">
        <f>IF(AND(OR(LEFT(TH!N516,2)="15",LEFT(TH!O516,2)="15"),'THE KHO'!$E$7=TH!F516),"x","")</f>
        <v/>
      </c>
      <c r="AG516" s="66" t="str">
        <f>IF(AND(N516="1521",MONTH(C516)='BK NL'!$M$11),"x","")</f>
        <v/>
      </c>
    </row>
    <row r="517" spans="1:33" ht="15.75" customHeight="1">
      <c r="A517" s="398" t="str">
        <f>IF(B517&lt;&gt;"",IF(AND(B517&gt;=_TM1,B517&lt;=_TM2,OR(TH!N517="1111",TH!O517="1111")),TH!D517,""),"")</f>
        <v/>
      </c>
      <c r="B517" s="63" t="str">
        <f t="shared" si="38"/>
        <v/>
      </c>
      <c r="C517" s="362"/>
      <c r="D517" s="362"/>
      <c r="E517" s="362"/>
      <c r="F517" s="363"/>
      <c r="G517" s="380"/>
      <c r="H517" s="364"/>
      <c r="I517" s="515"/>
      <c r="J517" s="515"/>
      <c r="K517" s="507"/>
      <c r="L517" s="515"/>
      <c r="M517" s="65"/>
      <c r="N517" s="365"/>
      <c r="O517" s="365"/>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39"/>
        <v/>
      </c>
      <c r="AD517" s="66" t="str">
        <f>IF(AND(MONTH(E517)&lt;='IN-NX'!$P$3,'IN-NX'!$D$7=D517,OR(LEFT(TH!N517,2)="15",LEFT(TH!O517,2)="15")),"x","")</f>
        <v/>
      </c>
      <c r="AE517" s="66" t="str">
        <f>IF(AND(OR(LEFT(TH!N517,2)="15",LEFT(TH!O517,2)="15"),'152-CT'!$J$8=TH!F517),"x","")</f>
        <v/>
      </c>
      <c r="AF517" s="66" t="str">
        <f>IF(AND(OR(LEFT(TH!N517,2)="15",LEFT(TH!O517,2)="15"),'THE KHO'!$E$7=TH!F517),"x","")</f>
        <v/>
      </c>
      <c r="AG517" s="66" t="str">
        <f>IF(AND(N517="1521",MONTH(C517)='BK NL'!$M$11),"x","")</f>
        <v/>
      </c>
    </row>
    <row r="518" spans="1:33" ht="15.75" customHeight="1">
      <c r="A518" s="398" t="str">
        <f>IF(B518&lt;&gt;"",IF(AND(B518&gt;=_TM1,B518&lt;=_TM2,OR(TH!N518="1111",TH!O518="1111")),TH!D518,""),"")</f>
        <v/>
      </c>
      <c r="B518" s="63" t="str">
        <f t="shared" si="38"/>
        <v/>
      </c>
      <c r="C518" s="64"/>
      <c r="D518" s="362"/>
      <c r="E518" s="64"/>
      <c r="F518" s="67"/>
      <c r="G518" s="375"/>
      <c r="H518" s="74"/>
      <c r="I518" s="515"/>
      <c r="J518" s="515"/>
      <c r="K518" s="507"/>
      <c r="L518" s="515"/>
      <c r="M518" s="65"/>
      <c r="N518" s="66"/>
      <c r="O518" s="66"/>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39"/>
        <v/>
      </c>
      <c r="AD518" s="66" t="str">
        <f>IF(AND(MONTH(E518)&lt;='IN-NX'!$P$3,'IN-NX'!$D$7=D518,OR(LEFT(TH!N518,2)="15",LEFT(TH!O518,2)="15")),"x","")</f>
        <v/>
      </c>
      <c r="AE518" s="66" t="str">
        <f>IF(AND(OR(LEFT(TH!N518,2)="15",LEFT(TH!O518,2)="15"),'152-CT'!$J$8=TH!F518),"x","")</f>
        <v/>
      </c>
      <c r="AF518" s="66" t="str">
        <f>IF(AND(OR(LEFT(TH!N518,2)="15",LEFT(TH!O518,2)="15"),'THE KHO'!$E$7=TH!F518),"x","")</f>
        <v/>
      </c>
      <c r="AG518" s="66" t="str">
        <f>IF(AND(N518="1521",MONTH(C518)='BK NL'!$M$11),"x","")</f>
        <v/>
      </c>
    </row>
    <row r="519" spans="1:33" ht="15.75" customHeight="1">
      <c r="A519" s="398" t="str">
        <f>IF(B519&lt;&gt;"",IF(AND(B519&gt;=_TM1,B519&lt;=_TM2,OR(TH!N519="1111",TH!O519="1111")),TH!D519,""),"")</f>
        <v/>
      </c>
      <c r="B519" s="63" t="str">
        <f t="shared" si="38"/>
        <v/>
      </c>
      <c r="C519" s="64"/>
      <c r="D519" s="362"/>
      <c r="E519" s="64"/>
      <c r="F519" s="67"/>
      <c r="G519" s="375"/>
      <c r="H519" s="74"/>
      <c r="I519" s="515"/>
      <c r="J519" s="515"/>
      <c r="K519" s="507"/>
      <c r="L519" s="515"/>
      <c r="M519" s="65"/>
      <c r="N519" s="66"/>
      <c r="O519" s="66"/>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39"/>
        <v/>
      </c>
      <c r="AD519" s="66" t="str">
        <f>IF(AND(MONTH(E519)&lt;='IN-NX'!$P$3,'IN-NX'!$D$7=D519,OR(LEFT(TH!N519,2)="15",LEFT(TH!O519,2)="15")),"x","")</f>
        <v/>
      </c>
      <c r="AE519" s="66" t="str">
        <f>IF(AND(OR(LEFT(TH!N519,2)="15",LEFT(TH!O519,2)="15"),'152-CT'!$J$8=TH!F519),"x","")</f>
        <v/>
      </c>
      <c r="AF519" s="66" t="str">
        <f>IF(AND(OR(LEFT(TH!N519,2)="15",LEFT(TH!O519,2)="15"),'THE KHO'!$E$7=TH!F519),"x","")</f>
        <v/>
      </c>
      <c r="AG519" s="66" t="str">
        <f>IF(AND(N519="1521",MONTH(C519)='BK NL'!$M$11),"x","")</f>
        <v/>
      </c>
    </row>
    <row r="520" spans="1:33" ht="15.75" customHeight="1">
      <c r="A520" s="398" t="str">
        <f>IF(B520&lt;&gt;"",IF(AND(B520&gt;=_TM1,B520&lt;=_TM2,OR(TH!N520="1111",TH!O520="1111")),TH!D520,""),"")</f>
        <v/>
      </c>
      <c r="B520" s="63" t="str">
        <f t="shared" ref="B520:B583" si="40">IF(C520&lt;&gt;"",MONTH(C520),"")</f>
        <v/>
      </c>
      <c r="C520" s="362"/>
      <c r="D520" s="362"/>
      <c r="E520" s="362"/>
      <c r="F520" s="363"/>
      <c r="G520" s="380"/>
      <c r="H520" s="364"/>
      <c r="I520" s="515"/>
      <c r="J520" s="515"/>
      <c r="K520" s="507"/>
      <c r="L520" s="515"/>
      <c r="M520" s="65"/>
      <c r="N520" s="365"/>
      <c r="O520" s="365"/>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39"/>
        <v/>
      </c>
      <c r="AD520" s="66" t="str">
        <f>IF(AND(MONTH(E520)&lt;='IN-NX'!$P$3,'IN-NX'!$D$7=D520,OR(LEFT(TH!N520,2)="15",LEFT(TH!O520,2)="15")),"x","")</f>
        <v/>
      </c>
      <c r="AE520" s="66" t="str">
        <f>IF(AND(OR(LEFT(TH!N520,2)="15",LEFT(TH!O520,2)="15"),'152-CT'!$J$8=TH!F520),"x","")</f>
        <v/>
      </c>
      <c r="AF520" s="66" t="str">
        <f>IF(AND(OR(LEFT(TH!N520,2)="15",LEFT(TH!O520,2)="15"),'THE KHO'!$E$7=TH!F520),"x","")</f>
        <v/>
      </c>
      <c r="AG520" s="66" t="str">
        <f>IF(AND(N520="1521",MONTH(C520)='BK NL'!$M$11),"x","")</f>
        <v/>
      </c>
    </row>
    <row r="521" spans="1:33" s="407" customFormat="1" ht="15.75" customHeight="1">
      <c r="A521" s="398" t="str">
        <f>IF(B521&lt;&gt;"",IF(AND(B521&gt;=_TM1,B521&lt;=_TM2,OR(TH!N521="1111",TH!O521="1111")),TH!D521,""),"")</f>
        <v/>
      </c>
      <c r="B521" s="63" t="str">
        <f t="shared" si="40"/>
        <v/>
      </c>
      <c r="C521" s="362"/>
      <c r="D521" s="362"/>
      <c r="E521" s="362"/>
      <c r="F521" s="363"/>
      <c r="G521" s="380"/>
      <c r="H521" s="364"/>
      <c r="I521" s="515"/>
      <c r="J521" s="515"/>
      <c r="K521" s="507"/>
      <c r="L521" s="515"/>
      <c r="M521" s="65"/>
      <c r="N521" s="365"/>
      <c r="O521" s="365"/>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39"/>
        <v/>
      </c>
      <c r="AD521" s="66" t="str">
        <f>IF(AND(MONTH(E521)&lt;='IN-NX'!$P$3,'IN-NX'!$D$7=D521,OR(LEFT(TH!N521,2)="15",LEFT(TH!O521,2)="15")),"x","")</f>
        <v/>
      </c>
      <c r="AE521" s="66" t="str">
        <f>IF(AND(OR(LEFT(TH!N521,2)="15",LEFT(TH!O521,2)="15"),'152-CT'!$J$8=TH!F521),"x","")</f>
        <v/>
      </c>
      <c r="AF521" s="66" t="str">
        <f>IF(AND(OR(LEFT(TH!N521,2)="15",LEFT(TH!O521,2)="15"),'THE KHO'!$E$7=TH!F521),"x","")</f>
        <v/>
      </c>
      <c r="AG521" s="66" t="str">
        <f>IF(AND(N521="1521",MONTH(C521)='BK NL'!$M$11),"x","")</f>
        <v/>
      </c>
    </row>
    <row r="522" spans="1:33" ht="15.75" customHeight="1">
      <c r="A522" s="398" t="str">
        <f>IF(B522&lt;&gt;"",IF(AND(B522&gt;=_TM1,B522&lt;=_TM2,OR(TH!N522="1111",TH!O522="1111")),TH!D522,""),"")</f>
        <v/>
      </c>
      <c r="B522" s="63" t="str">
        <f t="shared" si="40"/>
        <v/>
      </c>
      <c r="C522" s="362"/>
      <c r="D522" s="362"/>
      <c r="E522" s="362"/>
      <c r="F522" s="363"/>
      <c r="G522" s="380"/>
      <c r="H522" s="364"/>
      <c r="I522" s="515"/>
      <c r="J522" s="515"/>
      <c r="K522" s="507"/>
      <c r="L522" s="515"/>
      <c r="M522" s="65"/>
      <c r="N522" s="365"/>
      <c r="O522" s="365"/>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39"/>
        <v/>
      </c>
      <c r="AD522" s="66" t="str">
        <f>IF(AND(MONTH(E522)&lt;='IN-NX'!$P$3,'IN-NX'!$D$7=D522,OR(LEFT(TH!N522,2)="15",LEFT(TH!O522,2)="15")),"x","")</f>
        <v/>
      </c>
      <c r="AE522" s="66" t="str">
        <f>IF(AND(OR(LEFT(TH!N522,2)="15",LEFT(TH!O522,2)="15"),'152-CT'!$J$8=TH!F522),"x","")</f>
        <v/>
      </c>
      <c r="AF522" s="66" t="str">
        <f>IF(AND(OR(LEFT(TH!N522,2)="15",LEFT(TH!O522,2)="15"),'THE KHO'!$E$7=TH!F522),"x","")</f>
        <v/>
      </c>
      <c r="AG522" s="66" t="str">
        <f>IF(AND(N522="1521",MONTH(C522)='BK NL'!$M$11),"x","")</f>
        <v/>
      </c>
    </row>
    <row r="523" spans="1:33" ht="15.75" customHeight="1">
      <c r="A523" s="398" t="str">
        <f>IF(B523&lt;&gt;"",IF(AND(B523&gt;=_TM1,B523&lt;=_TM2,OR(TH!N523="1111",TH!O523="1111")),TH!D523,""),"")</f>
        <v/>
      </c>
      <c r="B523" s="63" t="str">
        <f t="shared" si="40"/>
        <v/>
      </c>
      <c r="C523" s="362"/>
      <c r="D523" s="362"/>
      <c r="E523" s="362"/>
      <c r="F523" s="363"/>
      <c r="G523" s="380"/>
      <c r="H523" s="364"/>
      <c r="I523" s="515"/>
      <c r="J523" s="515"/>
      <c r="K523" s="507"/>
      <c r="L523" s="515"/>
      <c r="M523" s="65"/>
      <c r="N523" s="365"/>
      <c r="O523" s="365"/>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39"/>
        <v/>
      </c>
      <c r="AD523" s="66" t="str">
        <f>IF(AND(MONTH(E523)&lt;='IN-NX'!$P$3,'IN-NX'!$D$7=D523,OR(LEFT(TH!N523,2)="15",LEFT(TH!O523,2)="15")),"x","")</f>
        <v/>
      </c>
      <c r="AE523" s="66" t="str">
        <f>IF(AND(OR(LEFT(TH!N523,2)="15",LEFT(TH!O523,2)="15"),'152-CT'!$J$8=TH!F523),"x","")</f>
        <v/>
      </c>
      <c r="AF523" s="66" t="str">
        <f>IF(AND(OR(LEFT(TH!N523,2)="15",LEFT(TH!O523,2)="15"),'THE KHO'!$E$7=TH!F523),"x","")</f>
        <v/>
      </c>
      <c r="AG523" s="66" t="str">
        <f>IF(AND(N523="1521",MONTH(C523)='BK NL'!$M$11),"x","")</f>
        <v/>
      </c>
    </row>
    <row r="524" spans="1:33" ht="15.75" customHeight="1">
      <c r="A524" s="398" t="str">
        <f>IF(B524&lt;&gt;"",IF(AND(B524&gt;=_TM1,B524&lt;=_TM2,OR(TH!N524="1111",TH!O524="1111")),TH!D524,""),"")</f>
        <v/>
      </c>
      <c r="B524" s="63" t="str">
        <f t="shared" si="40"/>
        <v/>
      </c>
      <c r="C524" s="362"/>
      <c r="D524" s="362"/>
      <c r="E524" s="362"/>
      <c r="F524" s="363"/>
      <c r="G524" s="381"/>
      <c r="H524" s="364"/>
      <c r="I524" s="515"/>
      <c r="J524" s="515"/>
      <c r="K524" s="507"/>
      <c r="L524" s="515"/>
      <c r="M524" s="65"/>
      <c r="N524" s="365"/>
      <c r="O524" s="365"/>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ref="AC524:AC545" si="41">IF(AND(1&lt;=$B524,$B524&lt;=3),"1",IF(AND(4&lt;=$B524,$B524&lt;=6),"2",IF(AND(7&lt;=$B524,$B524&lt;=9),"3",IF(AND(10&lt;=$B524,$B524&lt;=12),"4",""))))</f>
        <v/>
      </c>
      <c r="AD524" s="66" t="str">
        <f>IF(AND(MONTH(E524)&lt;='IN-NX'!$P$3,'IN-NX'!$D$7=D524,OR(LEFT(TH!N524,2)="15",LEFT(TH!O524,2)="15")),"x","")</f>
        <v/>
      </c>
      <c r="AE524" s="66" t="str">
        <f>IF(AND(OR(LEFT(TH!N524,2)="15",LEFT(TH!O524,2)="15"),'152-CT'!$J$8=TH!F524),"x","")</f>
        <v/>
      </c>
      <c r="AF524" s="66" t="str">
        <f>IF(AND(OR(LEFT(TH!N524,2)="15",LEFT(TH!O524,2)="15"),'THE KHO'!$E$7=TH!F524),"x","")</f>
        <v/>
      </c>
      <c r="AG524" s="66" t="str">
        <f>IF(AND(N524="1521",MONTH(C524)='BK NL'!$M$11),"x","")</f>
        <v/>
      </c>
    </row>
    <row r="525" spans="1:33" s="410" customFormat="1" ht="15.75" customHeight="1">
      <c r="A525" s="398" t="str">
        <f>IF(B525&lt;&gt;"",IF(AND(B525&gt;=_TM1,B525&lt;=_TM2,OR(TH!N525="1111",TH!O525="1111")),TH!D525,""),"")</f>
        <v/>
      </c>
      <c r="B525" s="63" t="str">
        <f t="shared" si="40"/>
        <v/>
      </c>
      <c r="C525" s="362"/>
      <c r="D525" s="362"/>
      <c r="E525" s="362"/>
      <c r="F525" s="363"/>
      <c r="G525" s="381"/>
      <c r="H525" s="364"/>
      <c r="I525" s="515"/>
      <c r="J525" s="515"/>
      <c r="K525" s="507"/>
      <c r="L525" s="515"/>
      <c r="M525" s="65"/>
      <c r="N525" s="365"/>
      <c r="O525" s="365"/>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41"/>
        <v/>
      </c>
      <c r="AD525" s="66" t="str">
        <f>IF(AND(MONTH(E525)&lt;='IN-NX'!$P$3,'IN-NX'!$D$7=D525,OR(LEFT(TH!N525,2)="15",LEFT(TH!O525,2)="15")),"x","")</f>
        <v/>
      </c>
      <c r="AE525" s="66" t="str">
        <f>IF(AND(OR(LEFT(TH!N525,2)="15",LEFT(TH!O525,2)="15"),'152-CT'!$J$8=TH!F525),"x","")</f>
        <v/>
      </c>
      <c r="AF525" s="66" t="str">
        <f>IF(AND(OR(LEFT(TH!N525,2)="15",LEFT(TH!O525,2)="15"),'THE KHO'!$E$7=TH!F525),"x","")</f>
        <v/>
      </c>
      <c r="AG525" s="66" t="str">
        <f>IF(AND(N525="1521",MONTH(C525)='BK NL'!$M$11),"x","")</f>
        <v/>
      </c>
    </row>
    <row r="526" spans="1:33" s="410" customFormat="1" ht="15.75" customHeight="1">
      <c r="A526" s="398" t="str">
        <f>IF(B526&lt;&gt;"",IF(AND(B526&gt;=_TM1,B526&lt;=_TM2,OR(TH!N526="1111",TH!O526="1111")),TH!D526,""),"")</f>
        <v/>
      </c>
      <c r="B526" s="63" t="str">
        <f t="shared" si="40"/>
        <v/>
      </c>
      <c r="C526" s="362"/>
      <c r="D526" s="362"/>
      <c r="E526" s="362"/>
      <c r="F526" s="363"/>
      <c r="G526" s="380"/>
      <c r="H526" s="364"/>
      <c r="I526" s="515"/>
      <c r="J526" s="515"/>
      <c r="K526" s="507"/>
      <c r="L526" s="515"/>
      <c r="M526" s="65"/>
      <c r="N526" s="365"/>
      <c r="O526" s="365"/>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41"/>
        <v/>
      </c>
      <c r="AD526" s="66" t="str">
        <f>IF(AND(MONTH(E526)&lt;='IN-NX'!$P$3,'IN-NX'!$D$7=D526,OR(LEFT(TH!N526,2)="15",LEFT(TH!O526,2)="15")),"x","")</f>
        <v/>
      </c>
      <c r="AE526" s="66" t="str">
        <f>IF(AND(OR(LEFT(TH!N526,2)="15",LEFT(TH!O526,2)="15"),'152-CT'!$J$8=TH!F526),"x","")</f>
        <v/>
      </c>
      <c r="AF526" s="66" t="str">
        <f>IF(AND(OR(LEFT(TH!N526,2)="15",LEFT(TH!O526,2)="15"),'THE KHO'!$E$7=TH!F526),"x","")</f>
        <v/>
      </c>
      <c r="AG526" s="66" t="str">
        <f>IF(AND(N526="1521",MONTH(C526)='BK NL'!$M$11),"x","")</f>
        <v/>
      </c>
    </row>
    <row r="527" spans="1:33" ht="15.75" customHeight="1">
      <c r="A527" s="398" t="str">
        <f>IF(B527&lt;&gt;"",IF(AND(B527&gt;=_TM1,B527&lt;=_TM2,OR(TH!N527="1111",TH!O527="1111")),TH!D527,""),"")</f>
        <v/>
      </c>
      <c r="B527" s="63" t="str">
        <f t="shared" si="40"/>
        <v/>
      </c>
      <c r="C527" s="64"/>
      <c r="D527" s="362"/>
      <c r="E527" s="64"/>
      <c r="F527" s="67"/>
      <c r="G527" s="375"/>
      <c r="H527" s="74"/>
      <c r="I527" s="515"/>
      <c r="J527" s="515"/>
      <c r="K527" s="507"/>
      <c r="L527" s="515"/>
      <c r="M527" s="65"/>
      <c r="N527" s="66"/>
      <c r="O527" s="66"/>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41"/>
        <v/>
      </c>
      <c r="AD527" s="66" t="str">
        <f>IF(AND(MONTH(E527)&lt;='IN-NX'!$P$3,'IN-NX'!$D$7=D527,OR(LEFT(TH!N527,2)="15",LEFT(TH!O527,2)="15")),"x","")</f>
        <v/>
      </c>
      <c r="AE527" s="66" t="str">
        <f>IF(AND(OR(LEFT(TH!N527,2)="15",LEFT(TH!O527,2)="15"),'152-CT'!$J$8=TH!F527),"x","")</f>
        <v/>
      </c>
      <c r="AF527" s="66" t="str">
        <f>IF(AND(OR(LEFT(TH!N527,2)="15",LEFT(TH!O527,2)="15"),'THE KHO'!$E$7=TH!F527),"x","")</f>
        <v/>
      </c>
      <c r="AG527" s="66" t="str">
        <f>IF(AND(N527="1521",MONTH(C527)='BK NL'!$M$11),"x","")</f>
        <v/>
      </c>
    </row>
    <row r="528" spans="1:33" s="407" customFormat="1" ht="15.75" customHeight="1">
      <c r="A528" s="398" t="str">
        <f>IF(B528&lt;&gt;"",IF(AND(B528&gt;=_TM1,B528&lt;=_TM2,OR(TH!N528="1111",TH!O528="1111")),TH!D528,""),"")</f>
        <v/>
      </c>
      <c r="B528" s="63" t="str">
        <f t="shared" si="40"/>
        <v/>
      </c>
      <c r="C528" s="64"/>
      <c r="D528" s="362"/>
      <c r="E528" s="64"/>
      <c r="F528" s="67"/>
      <c r="G528" s="375"/>
      <c r="H528" s="74"/>
      <c r="I528" s="515"/>
      <c r="J528" s="515"/>
      <c r="K528" s="507"/>
      <c r="L528" s="515"/>
      <c r="M528" s="65"/>
      <c r="N528" s="66"/>
      <c r="O528" s="66"/>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41"/>
        <v/>
      </c>
      <c r="AD528" s="66" t="str">
        <f>IF(AND(MONTH(E528)&lt;='IN-NX'!$P$3,'IN-NX'!$D$7=D528,OR(LEFT(TH!N528,2)="15",LEFT(TH!O528,2)="15")),"x","")</f>
        <v/>
      </c>
      <c r="AE528" s="66" t="str">
        <f>IF(AND(OR(LEFT(TH!N528,2)="15",LEFT(TH!O528,2)="15"),'152-CT'!$J$8=TH!F528),"x","")</f>
        <v/>
      </c>
      <c r="AF528" s="66" t="str">
        <f>IF(AND(OR(LEFT(TH!N528,2)="15",LEFT(TH!O528,2)="15"),'THE KHO'!$E$7=TH!F528),"x","")</f>
        <v/>
      </c>
      <c r="AG528" s="66" t="str">
        <f>IF(AND(N528="1521",MONTH(C528)='BK NL'!$M$11),"x","")</f>
        <v/>
      </c>
    </row>
    <row r="529" spans="1:33" s="410" customFormat="1" ht="15.75" customHeight="1">
      <c r="A529" s="398" t="str">
        <f>IF(B529&lt;&gt;"",IF(AND(B529&gt;=_TM1,B529&lt;=_TM2,OR(TH!N529="1111",TH!O529="1111")),TH!D529,""),"")</f>
        <v/>
      </c>
      <c r="B529" s="96" t="str">
        <f t="shared" si="40"/>
        <v/>
      </c>
      <c r="C529" s="382"/>
      <c r="D529" s="362"/>
      <c r="E529" s="382"/>
      <c r="F529" s="383"/>
      <c r="G529" s="384"/>
      <c r="H529" s="385"/>
      <c r="I529" s="520"/>
      <c r="J529" s="520"/>
      <c r="K529" s="512"/>
      <c r="L529" s="520"/>
      <c r="M529" s="100"/>
      <c r="N529" s="386"/>
      <c r="O529" s="386"/>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41"/>
        <v/>
      </c>
      <c r="AD529" s="66" t="str">
        <f>IF(AND(MONTH(E529)&lt;='IN-NX'!$P$3,'IN-NX'!$D$7=D529,OR(LEFT(TH!N529,2)="15",LEFT(TH!O529,2)="15")),"x","")</f>
        <v/>
      </c>
      <c r="AE529" s="66" t="str">
        <f>IF(AND(OR(LEFT(TH!N529,2)="15",LEFT(TH!O529,2)="15"),'152-CT'!$J$8=TH!F529),"x","")</f>
        <v/>
      </c>
      <c r="AF529" s="66" t="str">
        <f>IF(AND(OR(LEFT(TH!N529,2)="15",LEFT(TH!O529,2)="15"),'THE KHO'!$E$7=TH!F529),"x","")</f>
        <v/>
      </c>
      <c r="AG529" s="66" t="str">
        <f>IF(AND(N529="1521",MONTH(C529)='BK NL'!$M$11),"x","")</f>
        <v/>
      </c>
    </row>
    <row r="530" spans="1:33" s="410" customFormat="1" ht="15.75" customHeight="1">
      <c r="A530" s="398" t="str">
        <f>IF(B530&lt;&gt;"",IF(AND(B530&gt;=_TM1,B530&lt;=_TM2,OR(TH!N530="1111",TH!O530="1111")),TH!D530,""),"")</f>
        <v/>
      </c>
      <c r="B530" s="96" t="str">
        <f t="shared" si="40"/>
        <v/>
      </c>
      <c r="C530" s="382"/>
      <c r="D530" s="362"/>
      <c r="E530" s="382"/>
      <c r="F530" s="383"/>
      <c r="G530" s="384"/>
      <c r="H530" s="385"/>
      <c r="I530" s="520"/>
      <c r="J530" s="520"/>
      <c r="K530" s="512"/>
      <c r="L530" s="520"/>
      <c r="M530" s="100"/>
      <c r="N530" s="386"/>
      <c r="O530" s="386"/>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41"/>
        <v/>
      </c>
      <c r="AD530" s="66" t="str">
        <f>IF(AND(MONTH(E530)&lt;='IN-NX'!$P$3,'IN-NX'!$D$7=D530,OR(LEFT(TH!N530,2)="15",LEFT(TH!O530,2)="15")),"x","")</f>
        <v/>
      </c>
      <c r="AE530" s="66" t="str">
        <f>IF(AND(OR(LEFT(TH!N530,2)="15",LEFT(TH!O530,2)="15"),'152-CT'!$J$8=TH!F530),"x","")</f>
        <v/>
      </c>
      <c r="AF530" s="66" t="str">
        <f>IF(AND(OR(LEFT(TH!N530,2)="15",LEFT(TH!O530,2)="15"),'THE KHO'!$E$7=TH!F530),"x","")</f>
        <v/>
      </c>
      <c r="AG530" s="66" t="str">
        <f>IF(AND(N530="1521",MONTH(C530)='BK NL'!$M$11),"x","")</f>
        <v/>
      </c>
    </row>
    <row r="531" spans="1:33" s="411" customFormat="1" ht="15.75" customHeight="1">
      <c r="A531" s="398" t="str">
        <f>IF(B531&lt;&gt;"",IF(AND(B531&gt;=_TM1,B531&lt;=_TM2,OR(TH!N531="1111",TH!O531="1111")),TH!D531,""),"")</f>
        <v/>
      </c>
      <c r="B531" s="63" t="str">
        <f t="shared" si="40"/>
        <v/>
      </c>
      <c r="C531" s="362"/>
      <c r="D531" s="362"/>
      <c r="E531" s="362"/>
      <c r="F531" s="363"/>
      <c r="G531" s="380"/>
      <c r="H531" s="364"/>
      <c r="I531" s="515"/>
      <c r="J531" s="515"/>
      <c r="K531" s="507"/>
      <c r="L531" s="515"/>
      <c r="M531" s="65"/>
      <c r="N531" s="365"/>
      <c r="O531" s="365"/>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41"/>
        <v/>
      </c>
      <c r="AD531" s="66" t="str">
        <f>IF(AND(MONTH(E531)&lt;='IN-NX'!$P$3,'IN-NX'!$D$7=D531,OR(LEFT(TH!N531,2)="15",LEFT(TH!O531,2)="15")),"x","")</f>
        <v/>
      </c>
      <c r="AE531" s="66" t="str">
        <f>IF(AND(OR(LEFT(TH!N531,2)="15",LEFT(TH!O531,2)="15"),'152-CT'!$J$8=TH!F531),"x","")</f>
        <v/>
      </c>
      <c r="AF531" s="66" t="str">
        <f>IF(AND(OR(LEFT(TH!N531,2)="15",LEFT(TH!O531,2)="15"),'THE KHO'!$E$7=TH!F531),"x","")</f>
        <v/>
      </c>
      <c r="AG531" s="66" t="str">
        <f>IF(AND(N531="1521",MONTH(C531)='BK NL'!$M$11),"x","")</f>
        <v/>
      </c>
    </row>
    <row r="532" spans="1:33" s="411" customFormat="1" ht="15.75" customHeight="1">
      <c r="A532" s="398" t="str">
        <f>IF(B532&lt;&gt;"",IF(AND(B532&gt;=_TM1,B532&lt;=_TM2,OR(TH!N532="1111",TH!O532="1111")),TH!D532,""),"")</f>
        <v/>
      </c>
      <c r="B532" s="63" t="str">
        <f t="shared" si="40"/>
        <v/>
      </c>
      <c r="C532" s="362"/>
      <c r="D532" s="362"/>
      <c r="E532" s="362"/>
      <c r="F532" s="363"/>
      <c r="G532" s="380"/>
      <c r="H532" s="364"/>
      <c r="I532" s="515"/>
      <c r="J532" s="515"/>
      <c r="K532" s="507"/>
      <c r="L532" s="515"/>
      <c r="M532" s="65"/>
      <c r="N532" s="365"/>
      <c r="O532" s="365"/>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41"/>
        <v/>
      </c>
      <c r="AD532" s="66" t="str">
        <f>IF(AND(MONTH(E532)&lt;='IN-NX'!$P$3,'IN-NX'!$D$7=D532,OR(LEFT(TH!N532,2)="15",LEFT(TH!O532,2)="15")),"x","")</f>
        <v/>
      </c>
      <c r="AE532" s="66" t="str">
        <f>IF(AND(OR(LEFT(TH!N532,2)="15",LEFT(TH!O532,2)="15"),'152-CT'!$J$8=TH!F532),"x","")</f>
        <v/>
      </c>
      <c r="AF532" s="66" t="str">
        <f>IF(AND(OR(LEFT(TH!N532,2)="15",LEFT(TH!O532,2)="15"),'THE KHO'!$E$7=TH!F532),"x","")</f>
        <v/>
      </c>
      <c r="AG532" s="66" t="str">
        <f>IF(AND(N532="1521",MONTH(C532)='BK NL'!$M$11),"x","")</f>
        <v/>
      </c>
    </row>
    <row r="533" spans="1:33" s="411" customFormat="1" ht="15.75" customHeight="1">
      <c r="A533" s="398" t="str">
        <f>IF(B533&lt;&gt;"",IF(AND(B533&gt;=_TM1,B533&lt;=_TM2,OR(TH!N533="1111",TH!O533="1111")),TH!D533,""),"")</f>
        <v/>
      </c>
      <c r="B533" s="96" t="str">
        <f t="shared" si="40"/>
        <v/>
      </c>
      <c r="C533" s="382"/>
      <c r="D533" s="362"/>
      <c r="E533" s="382"/>
      <c r="F533" s="383"/>
      <c r="G533" s="384"/>
      <c r="H533" s="385"/>
      <c r="I533" s="520"/>
      <c r="J533" s="520"/>
      <c r="K533" s="512"/>
      <c r="L533" s="520"/>
      <c r="M533" s="100"/>
      <c r="N533" s="386"/>
      <c r="O533" s="386"/>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41"/>
        <v/>
      </c>
      <c r="AD533" s="66" t="str">
        <f>IF(AND(MONTH(E533)&lt;='IN-NX'!$P$3,'IN-NX'!$D$7=D533,OR(LEFT(TH!N533,2)="15",LEFT(TH!O533,2)="15")),"x","")</f>
        <v/>
      </c>
      <c r="AE533" s="66" t="str">
        <f>IF(AND(OR(LEFT(TH!N533,2)="15",LEFT(TH!O533,2)="15"),'152-CT'!$J$8=TH!F533),"x","")</f>
        <v/>
      </c>
      <c r="AF533" s="66" t="str">
        <f>IF(AND(OR(LEFT(TH!N533,2)="15",LEFT(TH!O533,2)="15"),'THE KHO'!$E$7=TH!F533),"x","")</f>
        <v/>
      </c>
      <c r="AG533" s="66" t="str">
        <f>IF(AND(N533="1521",MONTH(C533)='BK NL'!$M$11),"x","")</f>
        <v/>
      </c>
    </row>
    <row r="534" spans="1:33" s="411" customFormat="1" ht="15.75" customHeight="1">
      <c r="A534" s="398" t="str">
        <f>IF(B534&lt;&gt;"",IF(AND(B534&gt;=_TM1,B534&lt;=_TM2,OR(TH!N534="1111",TH!O534="1111")),TH!D534,""),"")</f>
        <v/>
      </c>
      <c r="B534" s="96" t="str">
        <f t="shared" si="40"/>
        <v/>
      </c>
      <c r="C534" s="382"/>
      <c r="D534" s="362"/>
      <c r="E534" s="382"/>
      <c r="F534" s="383"/>
      <c r="G534" s="384"/>
      <c r="H534" s="385"/>
      <c r="I534" s="520"/>
      <c r="J534" s="520"/>
      <c r="K534" s="512"/>
      <c r="L534" s="520"/>
      <c r="M534" s="100"/>
      <c r="N534" s="386"/>
      <c r="O534" s="386"/>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41"/>
        <v/>
      </c>
      <c r="AD534" s="66" t="str">
        <f>IF(AND(MONTH(E534)&lt;='IN-NX'!$P$3,'IN-NX'!$D$7=D534,OR(LEFT(TH!N534,2)="15",LEFT(TH!O534,2)="15")),"x","")</f>
        <v/>
      </c>
      <c r="AE534" s="66" t="str">
        <f>IF(AND(OR(LEFT(TH!N534,2)="15",LEFT(TH!O534,2)="15"),'152-CT'!$J$8=TH!F534),"x","")</f>
        <v/>
      </c>
      <c r="AF534" s="66" t="str">
        <f>IF(AND(OR(LEFT(TH!N534,2)="15",LEFT(TH!O534,2)="15"),'THE KHO'!$E$7=TH!F534),"x","")</f>
        <v/>
      </c>
      <c r="AG534" s="66" t="str">
        <f>IF(AND(N534="1521",MONTH(C534)='BK NL'!$M$11),"x","")</f>
        <v/>
      </c>
    </row>
    <row r="535" spans="1:33" s="411" customFormat="1" ht="15.75" customHeight="1">
      <c r="A535" s="398" t="str">
        <f>IF(B535&lt;&gt;"",IF(AND(B535&gt;=_TM1,B535&lt;=_TM2,OR(TH!N535="1111",TH!O535="1111")),TH!D535,""),"")</f>
        <v/>
      </c>
      <c r="B535" s="63" t="str">
        <f t="shared" si="40"/>
        <v/>
      </c>
      <c r="C535" s="362"/>
      <c r="D535" s="362"/>
      <c r="E535" s="362"/>
      <c r="F535" s="363"/>
      <c r="G535" s="380"/>
      <c r="H535" s="364"/>
      <c r="I535" s="515"/>
      <c r="J535" s="515"/>
      <c r="K535" s="507"/>
      <c r="L535" s="515"/>
      <c r="M535" s="65"/>
      <c r="N535" s="365"/>
      <c r="O535" s="365"/>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41"/>
        <v/>
      </c>
      <c r="AD535" s="66" t="str">
        <f>IF(AND(MONTH(E535)&lt;='IN-NX'!$P$3,'IN-NX'!$D$7=D535,OR(LEFT(TH!N535,2)="15",LEFT(TH!O535,2)="15")),"x","")</f>
        <v/>
      </c>
      <c r="AE535" s="66" t="str">
        <f>IF(AND(OR(LEFT(TH!N535,2)="15",LEFT(TH!O535,2)="15"),'152-CT'!$J$8=TH!F535),"x","")</f>
        <v/>
      </c>
      <c r="AF535" s="66" t="str">
        <f>IF(AND(OR(LEFT(TH!N535,2)="15",LEFT(TH!O535,2)="15"),'THE KHO'!$E$7=TH!F535),"x","")</f>
        <v/>
      </c>
      <c r="AG535" s="66" t="str">
        <f>IF(AND(N535="1521",MONTH(C535)='BK NL'!$M$11),"x","")</f>
        <v/>
      </c>
    </row>
    <row r="536" spans="1:33" s="411" customFormat="1" ht="15.75" customHeight="1">
      <c r="A536" s="398" t="str">
        <f>IF(B536&lt;&gt;"",IF(AND(B536&gt;=_TM1,B536&lt;=_TM2,OR(TH!N536="1111",TH!O536="1111")),TH!D536,""),"")</f>
        <v/>
      </c>
      <c r="B536" s="63" t="str">
        <f t="shared" si="40"/>
        <v/>
      </c>
      <c r="C536" s="362"/>
      <c r="D536" s="362"/>
      <c r="E536" s="362"/>
      <c r="F536" s="363"/>
      <c r="G536" s="380"/>
      <c r="H536" s="364"/>
      <c r="I536" s="515"/>
      <c r="J536" s="515"/>
      <c r="K536" s="507"/>
      <c r="L536" s="515"/>
      <c r="M536" s="65"/>
      <c r="N536" s="365"/>
      <c r="O536" s="365"/>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41"/>
        <v/>
      </c>
      <c r="AD536" s="66" t="str">
        <f>IF(AND(MONTH(E536)&lt;='IN-NX'!$P$3,'IN-NX'!$D$7=D536,OR(LEFT(TH!N536,2)="15",LEFT(TH!O536,2)="15")),"x","")</f>
        <v/>
      </c>
      <c r="AE536" s="66" t="str">
        <f>IF(AND(OR(LEFT(TH!N536,2)="15",LEFT(TH!O536,2)="15"),'152-CT'!$J$8=TH!F536),"x","")</f>
        <v/>
      </c>
      <c r="AF536" s="66" t="str">
        <f>IF(AND(OR(LEFT(TH!N536,2)="15",LEFT(TH!O536,2)="15"),'THE KHO'!$E$7=TH!F536),"x","")</f>
        <v/>
      </c>
      <c r="AG536" s="66" t="str">
        <f>IF(AND(N536="1521",MONTH(C536)='BK NL'!$M$11),"x","")</f>
        <v/>
      </c>
    </row>
    <row r="537" spans="1:33" ht="15.75" customHeight="1">
      <c r="A537" s="398" t="str">
        <f>IF(B537&lt;&gt;"",IF(AND(B537&gt;=_TM1,B537&lt;=_TM2,OR(TH!N537="1111",TH!O537="1111")),TH!D537,""),"")</f>
        <v/>
      </c>
      <c r="B537" s="63" t="str">
        <f t="shared" si="40"/>
        <v/>
      </c>
      <c r="C537" s="64"/>
      <c r="D537" s="362"/>
      <c r="E537" s="64"/>
      <c r="F537" s="67"/>
      <c r="G537" s="375"/>
      <c r="H537" s="364"/>
      <c r="I537" s="515"/>
      <c r="J537" s="515"/>
      <c r="K537" s="507"/>
      <c r="L537" s="515"/>
      <c r="M537" s="65"/>
      <c r="N537" s="66"/>
      <c r="O537" s="66"/>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41"/>
        <v/>
      </c>
      <c r="AD537" s="66" t="str">
        <f>IF(AND(MONTH(E537)&lt;='IN-NX'!$P$3,'IN-NX'!$D$7=D537,OR(LEFT(TH!N537,2)="15",LEFT(TH!O537,2)="15")),"x","")</f>
        <v/>
      </c>
      <c r="AE537" s="66" t="str">
        <f>IF(AND(OR(LEFT(TH!N537,2)="15",LEFT(TH!O537,2)="15"),'152-CT'!$J$8=TH!F537),"x","")</f>
        <v/>
      </c>
      <c r="AF537" s="66" t="str">
        <f>IF(AND(OR(LEFT(TH!N537,2)="15",LEFT(TH!O537,2)="15"),'THE KHO'!$E$7=TH!F537),"x","")</f>
        <v/>
      </c>
      <c r="AG537" s="66" t="str">
        <f>IF(AND(N537="1521",MONTH(C537)='BK NL'!$M$11),"x","")</f>
        <v/>
      </c>
    </row>
    <row r="538" spans="1:33" ht="15.75" customHeight="1">
      <c r="A538" s="398" t="str">
        <f>IF(B538&lt;&gt;"",IF(AND(B538&gt;=_TM1,B538&lt;=_TM2,OR(TH!N538="1111",TH!O538="1111")),TH!D538,""),"")</f>
        <v/>
      </c>
      <c r="B538" s="63" t="str">
        <f t="shared" si="40"/>
        <v/>
      </c>
      <c r="C538" s="64"/>
      <c r="D538" s="64"/>
      <c r="E538" s="64"/>
      <c r="F538" s="67"/>
      <c r="G538" s="375"/>
      <c r="H538" s="364"/>
      <c r="I538" s="515"/>
      <c r="J538" s="515"/>
      <c r="K538" s="507"/>
      <c r="L538" s="515"/>
      <c r="M538" s="65"/>
      <c r="N538" s="66"/>
      <c r="O538" s="66"/>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41"/>
        <v/>
      </c>
      <c r="AD538" s="66" t="str">
        <f>IF(AND(MONTH(E538)&lt;='IN-NX'!$P$3,'IN-NX'!$D$7=D538,OR(LEFT(TH!N538,2)="15",LEFT(TH!O538,2)="15")),"x","")</f>
        <v/>
      </c>
      <c r="AE538" s="66" t="str">
        <f>IF(AND(OR(LEFT(TH!N538,2)="15",LEFT(TH!O538,2)="15"),'152-CT'!$J$8=TH!F538),"x","")</f>
        <v/>
      </c>
      <c r="AF538" s="66" t="str">
        <f>IF(AND(OR(LEFT(TH!N538,2)="15",LEFT(TH!O538,2)="15"),'THE KHO'!$E$7=TH!F538),"x","")</f>
        <v/>
      </c>
      <c r="AG538" s="66" t="str">
        <f>IF(AND(N538="1521",MONTH(C538)='BK NL'!$M$11),"x","")</f>
        <v/>
      </c>
    </row>
    <row r="539" spans="1:33" s="410" customFormat="1" ht="15.75" customHeight="1">
      <c r="A539" s="398" t="str">
        <f>IF(B539&lt;&gt;"",IF(AND(B539&gt;=_TM1,B539&lt;=_TM2,OR(TH!N539="1111",TH!O539="1111")),TH!D539,""),"")</f>
        <v/>
      </c>
      <c r="B539" s="63" t="str">
        <f t="shared" si="40"/>
        <v/>
      </c>
      <c r="C539" s="64"/>
      <c r="D539" s="64"/>
      <c r="E539" s="64"/>
      <c r="F539" s="67"/>
      <c r="G539" s="375"/>
      <c r="H539" s="364"/>
      <c r="I539" s="515"/>
      <c r="J539" s="515"/>
      <c r="K539" s="507"/>
      <c r="L539" s="515"/>
      <c r="M539" s="65"/>
      <c r="N539" s="66"/>
      <c r="O539" s="66"/>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41"/>
        <v/>
      </c>
      <c r="AD539" s="66" t="str">
        <f>IF(AND(MONTH(E539)&lt;='IN-NX'!$P$3,'IN-NX'!$D$7=D539,OR(LEFT(TH!N539,2)="15",LEFT(TH!O539,2)="15")),"x","")</f>
        <v/>
      </c>
      <c r="AE539" s="66" t="str">
        <f>IF(AND(OR(LEFT(TH!N539,2)="15",LEFT(TH!O539,2)="15"),'152-CT'!$J$8=TH!F539),"x","")</f>
        <v/>
      </c>
      <c r="AF539" s="66" t="str">
        <f>IF(AND(OR(LEFT(TH!N539,2)="15",LEFT(TH!O539,2)="15"),'THE KHO'!$E$7=TH!F539),"x","")</f>
        <v/>
      </c>
      <c r="AG539" s="66" t="str">
        <f>IF(AND(N539="1521",MONTH(C539)='BK NL'!$M$11),"x","")</f>
        <v/>
      </c>
    </row>
    <row r="540" spans="1:33" s="410" customFormat="1" ht="15.75" customHeight="1">
      <c r="A540" s="398" t="str">
        <f>IF(B540&lt;&gt;"",IF(AND(B540&gt;=_TM1,B540&lt;=_TM2,OR(TH!N540="1111",TH!O540="1111")),TH!D540,""),"")</f>
        <v/>
      </c>
      <c r="B540" s="63" t="str">
        <f t="shared" si="40"/>
        <v/>
      </c>
      <c r="C540" s="64"/>
      <c r="D540" s="64"/>
      <c r="E540" s="64"/>
      <c r="F540" s="67"/>
      <c r="G540" s="375"/>
      <c r="H540" s="364"/>
      <c r="I540" s="515"/>
      <c r="J540" s="515"/>
      <c r="K540" s="507"/>
      <c r="L540" s="515"/>
      <c r="M540" s="65"/>
      <c r="N540" s="66"/>
      <c r="O540" s="66"/>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41"/>
        <v/>
      </c>
      <c r="AD540" s="66" t="str">
        <f>IF(AND(MONTH(E540)&lt;='IN-NX'!$P$3,'IN-NX'!$D$7=D540,OR(LEFT(TH!N540,2)="15",LEFT(TH!O540,2)="15")),"x","")</f>
        <v/>
      </c>
      <c r="AE540" s="66" t="str">
        <f>IF(AND(OR(LEFT(TH!N540,2)="15",LEFT(TH!O540,2)="15"),'152-CT'!$J$8=TH!F540),"x","")</f>
        <v/>
      </c>
      <c r="AF540" s="66" t="str">
        <f>IF(AND(OR(LEFT(TH!N540,2)="15",LEFT(TH!O540,2)="15"),'THE KHO'!$E$7=TH!F540),"x","")</f>
        <v/>
      </c>
      <c r="AG540" s="66" t="str">
        <f>IF(AND(N540="1521",MONTH(C540)='BK NL'!$M$11),"x","")</f>
        <v/>
      </c>
    </row>
    <row r="541" spans="1:33" ht="15.75" customHeight="1">
      <c r="A541" s="398" t="str">
        <f>IF(B541&lt;&gt;"",IF(AND(B541&gt;=_TM1,B541&lt;=_TM2,OR(TH!N541="1111",TH!O541="1111")),TH!D541,""),"")</f>
        <v/>
      </c>
      <c r="B541" s="63" t="str">
        <f t="shared" si="40"/>
        <v/>
      </c>
      <c r="C541" s="64"/>
      <c r="D541" s="64"/>
      <c r="E541" s="64"/>
      <c r="F541" s="67"/>
      <c r="G541" s="375"/>
      <c r="H541" s="74"/>
      <c r="I541" s="515"/>
      <c r="J541" s="515"/>
      <c r="K541" s="507"/>
      <c r="L541" s="515"/>
      <c r="M541" s="65"/>
      <c r="N541" s="66"/>
      <c r="O541" s="66"/>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41"/>
        <v/>
      </c>
      <c r="AD541" s="66" t="str">
        <f>IF(AND(MONTH(E541)&lt;='IN-NX'!$P$3,'IN-NX'!$D$7=D541,OR(LEFT(TH!N541,2)="15",LEFT(TH!O541,2)="15")),"x","")</f>
        <v/>
      </c>
      <c r="AE541" s="66" t="str">
        <f>IF(AND(OR(LEFT(TH!N541,2)="15",LEFT(TH!O541,2)="15"),'152-CT'!$J$8=TH!F541),"x","")</f>
        <v/>
      </c>
      <c r="AF541" s="66" t="str">
        <f>IF(AND(OR(LEFT(TH!N541,2)="15",LEFT(TH!O541,2)="15"),'THE KHO'!$E$7=TH!F541),"x","")</f>
        <v/>
      </c>
      <c r="AG541" s="66" t="str">
        <f>IF(AND(N541="1521",MONTH(C541)='BK NL'!$M$11),"x","")</f>
        <v/>
      </c>
    </row>
    <row r="542" spans="1:33" ht="15.75" customHeight="1">
      <c r="A542" s="398" t="str">
        <f>IF(B542&lt;&gt;"",IF(AND(B542&gt;=_TM1,B542&lt;=_TM2,OR(TH!N542="1111",TH!O542="1111")),TH!D542,""),"")</f>
        <v/>
      </c>
      <c r="B542" s="63" t="str">
        <f t="shared" si="40"/>
        <v/>
      </c>
      <c r="C542" s="64"/>
      <c r="D542" s="64"/>
      <c r="E542" s="64"/>
      <c r="F542" s="67"/>
      <c r="G542" s="375"/>
      <c r="H542" s="74"/>
      <c r="I542" s="515"/>
      <c r="J542" s="515"/>
      <c r="K542" s="507"/>
      <c r="L542" s="515"/>
      <c r="M542" s="65"/>
      <c r="N542" s="66"/>
      <c r="O542" s="66"/>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41"/>
        <v/>
      </c>
      <c r="AD542" s="66" t="str">
        <f>IF(AND(MONTH(E542)&lt;='IN-NX'!$P$3,'IN-NX'!$D$7=D542,OR(LEFT(TH!N542,2)="15",LEFT(TH!O542,2)="15")),"x","")</f>
        <v/>
      </c>
      <c r="AE542" s="66" t="str">
        <f>IF(AND(OR(LEFT(TH!N542,2)="15",LEFT(TH!O542,2)="15"),'152-CT'!$J$8=TH!F542),"x","")</f>
        <v/>
      </c>
      <c r="AF542" s="66" t="str">
        <f>IF(AND(OR(LEFT(TH!N542,2)="15",LEFT(TH!O542,2)="15"),'THE KHO'!$E$7=TH!F542),"x","")</f>
        <v/>
      </c>
      <c r="AG542" s="66" t="str">
        <f>IF(AND(N542="1521",MONTH(C542)='BK NL'!$M$11),"x","")</f>
        <v/>
      </c>
    </row>
    <row r="543" spans="1:33" ht="15.75" customHeight="1">
      <c r="A543" s="398" t="str">
        <f>IF(B543&lt;&gt;"",IF(AND(B543&gt;=_TM1,B543&lt;=_TM2,OR(TH!N543="1111",TH!O543="1111")),TH!D543,""),"")</f>
        <v/>
      </c>
      <c r="B543" s="96" t="str">
        <f t="shared" si="40"/>
        <v/>
      </c>
      <c r="C543" s="382"/>
      <c r="D543" s="64"/>
      <c r="E543" s="382"/>
      <c r="F543" s="383"/>
      <c r="G543" s="384"/>
      <c r="H543" s="385"/>
      <c r="I543" s="520"/>
      <c r="J543" s="520"/>
      <c r="K543" s="512"/>
      <c r="L543" s="520"/>
      <c r="M543" s="100"/>
      <c r="N543" s="386"/>
      <c r="O543" s="386"/>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41"/>
        <v/>
      </c>
      <c r="AD543" s="66" t="str">
        <f>IF(AND(MONTH(E543)&lt;='IN-NX'!$P$3,'IN-NX'!$D$7=D543,OR(LEFT(TH!N543,2)="15",LEFT(TH!O543,2)="15")),"x","")</f>
        <v/>
      </c>
      <c r="AE543" s="66" t="str">
        <f>IF(AND(OR(LEFT(TH!N543,2)="15",LEFT(TH!O543,2)="15"),'152-CT'!$J$8=TH!F543),"x","")</f>
        <v/>
      </c>
      <c r="AF543" s="66" t="str">
        <f>IF(AND(OR(LEFT(TH!N543,2)="15",LEFT(TH!O543,2)="15"),'THE KHO'!$E$7=TH!F543),"x","")</f>
        <v/>
      </c>
      <c r="AG543" s="66" t="str">
        <f>IF(AND(N543="1521",MONTH(C543)='BK NL'!$M$11),"x","")</f>
        <v/>
      </c>
    </row>
    <row r="544" spans="1:33" ht="15.75" customHeight="1">
      <c r="A544" s="398" t="str">
        <f>IF(B544&lt;&gt;"",IF(AND(B544&gt;=_TM1,B544&lt;=_TM2,OR(TH!N544="1111",TH!O544="1111")),TH!D544,""),"")</f>
        <v/>
      </c>
      <c r="B544" s="96" t="str">
        <f t="shared" si="40"/>
        <v/>
      </c>
      <c r="C544" s="382"/>
      <c r="D544" s="64"/>
      <c r="E544" s="382"/>
      <c r="F544" s="383"/>
      <c r="G544" s="384"/>
      <c r="H544" s="385"/>
      <c r="I544" s="520"/>
      <c r="J544" s="520"/>
      <c r="K544" s="512"/>
      <c r="L544" s="520"/>
      <c r="M544" s="100"/>
      <c r="N544" s="386"/>
      <c r="O544" s="386"/>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41"/>
        <v/>
      </c>
      <c r="AD544" s="66" t="str">
        <f>IF(AND(MONTH(E544)&lt;='IN-NX'!$P$3,'IN-NX'!$D$7=D544,OR(LEFT(TH!N544,2)="15",LEFT(TH!O544,2)="15")),"x","")</f>
        <v/>
      </c>
      <c r="AE544" s="66" t="str">
        <f>IF(AND(OR(LEFT(TH!N544,2)="15",LEFT(TH!O544,2)="15"),'152-CT'!$J$8=TH!F544),"x","")</f>
        <v/>
      </c>
      <c r="AF544" s="66" t="str">
        <f>IF(AND(OR(LEFT(TH!N544,2)="15",LEFT(TH!O544,2)="15"),'THE KHO'!$E$7=TH!F544),"x","")</f>
        <v/>
      </c>
      <c r="AG544" s="66" t="str">
        <f>IF(AND(N544="1521",MONTH(C544)='BK NL'!$M$11),"x","")</f>
        <v/>
      </c>
    </row>
    <row r="545" spans="1:33" ht="15.75" customHeight="1">
      <c r="A545" s="398" t="str">
        <f>IF(B545&lt;&gt;"",IF(AND(B545&gt;=_TM1,B545&lt;=_TM2,OR(TH!N545="1111",TH!O545="1111")),TH!D545,""),"")</f>
        <v/>
      </c>
      <c r="B545" s="81" t="str">
        <f t="shared" si="40"/>
        <v/>
      </c>
      <c r="C545" s="82"/>
      <c r="D545" s="82"/>
      <c r="E545" s="82"/>
      <c r="F545" s="83"/>
      <c r="G545" s="377"/>
      <c r="H545" s="366"/>
      <c r="I545" s="513"/>
      <c r="J545" s="513"/>
      <c r="K545" s="505"/>
      <c r="L545" s="513"/>
      <c r="M545" s="85"/>
      <c r="N545" s="86"/>
      <c r="O545" s="86"/>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41"/>
        <v/>
      </c>
      <c r="AD545" s="66" t="str">
        <f>IF(AND(MONTH(E545)&lt;='IN-NX'!$P$3,'IN-NX'!$D$7=D545,OR(LEFT(TH!N545,2)="15",LEFT(TH!O545,2)="15")),"x","")</f>
        <v/>
      </c>
      <c r="AE545" s="66" t="str">
        <f>IF(AND(OR(LEFT(TH!N545,2)="15",LEFT(TH!O545,2)="15"),'152-CT'!$J$8=TH!F545),"x","")</f>
        <v/>
      </c>
      <c r="AF545" s="66" t="str">
        <f>IF(AND(OR(LEFT(TH!N545,2)="15",LEFT(TH!O545,2)="15"),'THE KHO'!$E$7=TH!F545),"x","")</f>
        <v/>
      </c>
      <c r="AG545" s="66" t="str">
        <f>IF(AND(N545="1521",MONTH(C545)='BK NL'!$M$11),"x","")</f>
        <v/>
      </c>
    </row>
    <row r="546" spans="1:33" ht="15.75" customHeight="1">
      <c r="A546" s="398" t="str">
        <f>IF(B546&lt;&gt;"",IF(AND(B546&gt;=_TM1,B546&lt;=_TM2,OR(TH!N546="1111",TH!O546="1111")),TH!D546,""),"")</f>
        <v/>
      </c>
      <c r="B546" s="63" t="str">
        <f t="shared" si="40"/>
        <v/>
      </c>
      <c r="C546" s="64"/>
      <c r="D546" s="64"/>
      <c r="E546" s="64"/>
      <c r="F546" s="67"/>
      <c r="G546" s="361"/>
      <c r="H546" s="74"/>
      <c r="I546" s="515"/>
      <c r="J546" s="515"/>
      <c r="K546" s="507"/>
      <c r="L546" s="515"/>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ref="AC546:AC609" si="42">IF(AND(1&lt;=$B546,$B546&lt;=3),"1",IF(AND(4&lt;=$B546,$B546&lt;=6),"2",IF(AND(7&lt;=$B546,$B546&lt;=9),"3",IF(AND(10&lt;=$B546,$B546&lt;=12),"4",""))))</f>
        <v/>
      </c>
      <c r="AD546" s="66" t="str">
        <f>IF(AND(MONTH(E546)&lt;='IN-NX'!$P$3,'IN-NX'!$D$7=D546,OR(LEFT(TH!N546,2)="15",LEFT(TH!O546,2)="15")),"x","")</f>
        <v/>
      </c>
      <c r="AE546" s="66" t="str">
        <f>IF(AND(OR(LEFT(TH!N546,2)="15",LEFT(TH!O546,2)="15"),'152-CT'!$J$8=TH!F546),"x","")</f>
        <v/>
      </c>
      <c r="AF546" s="66" t="str">
        <f>IF(AND(OR(LEFT(TH!N546,2)="15",LEFT(TH!O546,2)="15"),'THE KHO'!$E$7=TH!F546),"x","")</f>
        <v/>
      </c>
      <c r="AG546" s="66" t="str">
        <f>IF(AND(N546="1521",MONTH(C546)='BK NL'!$M$11),"x","")</f>
        <v/>
      </c>
    </row>
    <row r="547" spans="1:33" ht="15.75" customHeight="1">
      <c r="A547" s="398" t="str">
        <f>IF(B547&lt;&gt;"",IF(AND(B547&gt;=_TM1,B547&lt;=_TM2,OR(TH!N547="1111",TH!O547="1111")),TH!D547,""),"")</f>
        <v/>
      </c>
      <c r="B547" s="63" t="str">
        <f t="shared" si="40"/>
        <v/>
      </c>
      <c r="C547" s="64"/>
      <c r="D547" s="64"/>
      <c r="E547" s="64"/>
      <c r="F547" s="67"/>
      <c r="G547" s="361"/>
      <c r="H547" s="74"/>
      <c r="I547" s="515"/>
      <c r="J547" s="515"/>
      <c r="K547" s="507"/>
      <c r="L547" s="515"/>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42"/>
        <v/>
      </c>
      <c r="AD547" s="66" t="str">
        <f>IF(AND(MONTH(E547)&lt;='IN-NX'!$P$3,'IN-NX'!$D$7=D547,OR(LEFT(TH!N547,2)="15",LEFT(TH!O547,2)="15")),"x","")</f>
        <v/>
      </c>
      <c r="AE547" s="66" t="str">
        <f>IF(AND(OR(LEFT(TH!N547,2)="15",LEFT(TH!O547,2)="15"),'152-CT'!$J$8=TH!F547),"x","")</f>
        <v/>
      </c>
      <c r="AF547" s="66" t="str">
        <f>IF(AND(OR(LEFT(TH!N547,2)="15",LEFT(TH!O547,2)="15"),'THE KHO'!$E$7=TH!F547),"x","")</f>
        <v/>
      </c>
      <c r="AG547" s="66" t="str">
        <f>IF(AND(N547="1521",MONTH(C547)='BK NL'!$M$11),"x","")</f>
        <v/>
      </c>
    </row>
    <row r="548" spans="1:33" ht="15.75" customHeight="1">
      <c r="A548" s="398" t="str">
        <f>IF(B548&lt;&gt;"",IF(AND(B548&gt;=_TM1,B548&lt;=_TM2,OR(TH!N548="1111",TH!O548="1111")),TH!D548,""),"")</f>
        <v/>
      </c>
      <c r="B548" s="63" t="str">
        <f t="shared" si="40"/>
        <v/>
      </c>
      <c r="C548" s="64"/>
      <c r="D548" s="64"/>
      <c r="E548" s="64"/>
      <c r="F548" s="67"/>
      <c r="G548" s="361"/>
      <c r="H548" s="74"/>
      <c r="I548" s="515"/>
      <c r="J548" s="515"/>
      <c r="K548" s="507"/>
      <c r="L548" s="515"/>
      <c r="M548" s="65"/>
      <c r="N548" s="66"/>
      <c r="O548" s="66"/>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42"/>
        <v/>
      </c>
      <c r="AD548" s="66" t="str">
        <f>IF(AND(MONTH(E548)&lt;='IN-NX'!$P$3,'IN-NX'!$D$7=D548,OR(LEFT(TH!N548,2)="15",LEFT(TH!O548,2)="15")),"x","")</f>
        <v/>
      </c>
      <c r="AE548" s="66" t="str">
        <f>IF(AND(OR(LEFT(TH!N548,2)="15",LEFT(TH!O548,2)="15"),'152-CT'!$J$8=TH!F548),"x","")</f>
        <v/>
      </c>
      <c r="AF548" s="66" t="str">
        <f>IF(AND(OR(LEFT(TH!N548,2)="15",LEFT(TH!O548,2)="15"),'THE KHO'!$E$7=TH!F548),"x","")</f>
        <v/>
      </c>
      <c r="AG548" s="66" t="str">
        <f>IF(AND(N548="1521",MONTH(C548)='BK NL'!$M$11),"x","")</f>
        <v/>
      </c>
    </row>
    <row r="549" spans="1:33" ht="15.75" customHeight="1">
      <c r="A549" s="398" t="str">
        <f>IF(B549&lt;&gt;"",IF(AND(B549&gt;=_TM1,B549&lt;=_TM2,OR(TH!N549="1111",TH!O549="1111")),TH!D549,""),"")</f>
        <v/>
      </c>
      <c r="B549" s="63" t="str">
        <f t="shared" si="40"/>
        <v/>
      </c>
      <c r="C549" s="64"/>
      <c r="D549" s="64"/>
      <c r="E549" s="64"/>
      <c r="F549" s="67"/>
      <c r="G549" s="361"/>
      <c r="H549" s="74"/>
      <c r="I549" s="515"/>
      <c r="J549" s="515"/>
      <c r="K549" s="507"/>
      <c r="L549" s="515"/>
      <c r="M549" s="65"/>
      <c r="N549" s="66"/>
      <c r="O549" s="66"/>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42"/>
        <v/>
      </c>
      <c r="AD549" s="66" t="str">
        <f>IF(AND(MONTH(E549)&lt;='IN-NX'!$P$3,'IN-NX'!$D$7=D549,OR(LEFT(TH!N549,2)="15",LEFT(TH!O549,2)="15")),"x","")</f>
        <v/>
      </c>
      <c r="AE549" s="66" t="str">
        <f>IF(AND(OR(LEFT(TH!N549,2)="15",LEFT(TH!O549,2)="15"),'152-CT'!$J$8=TH!F549),"x","")</f>
        <v/>
      </c>
      <c r="AF549" s="66" t="str">
        <f>IF(AND(OR(LEFT(TH!N549,2)="15",LEFT(TH!O549,2)="15"),'THE KHO'!$E$7=TH!F549),"x","")</f>
        <v/>
      </c>
      <c r="AG549" s="66" t="str">
        <f>IF(AND(N549="1521",MONTH(C549)='BK NL'!$M$11),"x","")</f>
        <v/>
      </c>
    </row>
    <row r="550" spans="1:33" ht="15.75" customHeight="1">
      <c r="A550" s="398" t="str">
        <f>IF(B550&lt;&gt;"",IF(AND(B550&gt;=_TM1,B550&lt;=_TM2,OR(TH!N550="1111",TH!O550="1111")),TH!D550,""),"")</f>
        <v/>
      </c>
      <c r="B550" s="63" t="str">
        <f t="shared" si="40"/>
        <v/>
      </c>
      <c r="C550" s="64"/>
      <c r="D550" s="64"/>
      <c r="E550" s="64"/>
      <c r="F550" s="67"/>
      <c r="G550" s="361"/>
      <c r="H550" s="74"/>
      <c r="I550" s="515"/>
      <c r="J550" s="515"/>
      <c r="K550" s="507"/>
      <c r="L550" s="515"/>
      <c r="M550" s="65"/>
      <c r="N550" s="66"/>
      <c r="O550" s="6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42"/>
        <v/>
      </c>
      <c r="AD550" s="66" t="str">
        <f>IF(AND(MONTH(E550)&lt;='IN-NX'!$P$3,'IN-NX'!$D$7=D550,OR(LEFT(TH!N550,2)="15",LEFT(TH!O550,2)="15")),"x","")</f>
        <v/>
      </c>
      <c r="AE550" s="66" t="str">
        <f>IF(AND(OR(LEFT(TH!N550,2)="15",LEFT(TH!O550,2)="15"),'152-CT'!$J$8=TH!F550),"x","")</f>
        <v/>
      </c>
      <c r="AF550" s="66" t="str">
        <f>IF(AND(OR(LEFT(TH!N550,2)="15",LEFT(TH!O550,2)="15"),'THE KHO'!$E$7=TH!F550),"x","")</f>
        <v/>
      </c>
      <c r="AG550" s="66" t="str">
        <f>IF(AND(N550="1521",MONTH(C550)='BK NL'!$M$11),"x","")</f>
        <v/>
      </c>
    </row>
    <row r="551" spans="1:33" ht="15.75" customHeight="1">
      <c r="A551" s="398" t="str">
        <f>IF(B551&lt;&gt;"",IF(AND(B551&gt;=_TM1,B551&lt;=_TM2,OR(TH!N551="1111",TH!O551="1111")),TH!D551,""),"")</f>
        <v/>
      </c>
      <c r="B551" s="63" t="str">
        <f t="shared" si="40"/>
        <v/>
      </c>
      <c r="C551" s="64"/>
      <c r="D551" s="64"/>
      <c r="E551" s="64"/>
      <c r="F551" s="67"/>
      <c r="G551" s="361"/>
      <c r="H551" s="74"/>
      <c r="I551" s="515"/>
      <c r="J551" s="515"/>
      <c r="K551" s="507"/>
      <c r="L551" s="515"/>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42"/>
        <v/>
      </c>
      <c r="AD551" s="66" t="str">
        <f>IF(AND(MONTH(E551)&lt;='IN-NX'!$P$3,'IN-NX'!$D$7=D551,OR(LEFT(TH!N551,2)="15",LEFT(TH!O551,2)="15")),"x","")</f>
        <v/>
      </c>
      <c r="AE551" s="66" t="str">
        <f>IF(AND(OR(LEFT(TH!N551,2)="15",LEFT(TH!O551,2)="15"),'152-CT'!$J$8=TH!F551),"x","")</f>
        <v/>
      </c>
      <c r="AF551" s="66" t="str">
        <f>IF(AND(OR(LEFT(TH!N551,2)="15",LEFT(TH!O551,2)="15"),'THE KHO'!$E$7=TH!F551),"x","")</f>
        <v/>
      </c>
      <c r="AG551" s="66" t="str">
        <f>IF(AND(N551="1521",MONTH(C551)='BK NL'!$M$11),"x","")</f>
        <v/>
      </c>
    </row>
    <row r="552" spans="1:33" ht="15.75" customHeight="1">
      <c r="A552" s="398" t="str">
        <f>IF(B552&lt;&gt;"",IF(AND(B552&gt;=_TM1,B552&lt;=_TM2,OR(TH!N552="1111",TH!O552="1111")),TH!D552,""),"")</f>
        <v/>
      </c>
      <c r="B552" s="63" t="str">
        <f t="shared" si="40"/>
        <v/>
      </c>
      <c r="C552" s="64"/>
      <c r="D552" s="64"/>
      <c r="E552" s="64"/>
      <c r="F552" s="67"/>
      <c r="G552" s="361"/>
      <c r="H552" s="74"/>
      <c r="I552" s="515"/>
      <c r="J552" s="515"/>
      <c r="K552" s="507"/>
      <c r="L552" s="515"/>
      <c r="M552" s="65"/>
      <c r="N552" s="66"/>
      <c r="O552" s="66"/>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42"/>
        <v/>
      </c>
      <c r="AD552" s="66" t="str">
        <f>IF(AND(MONTH(E552)&lt;='IN-NX'!$P$3,'IN-NX'!$D$7=D552,OR(LEFT(TH!N552,2)="15",LEFT(TH!O552,2)="15")),"x","")</f>
        <v/>
      </c>
      <c r="AE552" s="66" t="str">
        <f>IF(AND(OR(LEFT(TH!N552,2)="15",LEFT(TH!O552,2)="15"),'152-CT'!$J$8=TH!F552),"x","")</f>
        <v/>
      </c>
      <c r="AF552" s="66" t="str">
        <f>IF(AND(OR(LEFT(TH!N552,2)="15",LEFT(TH!O552,2)="15"),'THE KHO'!$E$7=TH!F552),"x","")</f>
        <v/>
      </c>
      <c r="AG552" s="66" t="str">
        <f>IF(AND(N552="1521",MONTH(C552)='BK NL'!$M$11),"x","")</f>
        <v/>
      </c>
    </row>
    <row r="553" spans="1:33" ht="15.75" customHeight="1">
      <c r="A553" s="398" t="str">
        <f>IF(B553&lt;&gt;"",IF(AND(B553&gt;=_TM1,B553&lt;=_TM2,OR(TH!N553="1111",TH!O553="1111")),TH!D553,""),"")</f>
        <v/>
      </c>
      <c r="B553" s="63" t="str">
        <f t="shared" si="40"/>
        <v/>
      </c>
      <c r="C553" s="64"/>
      <c r="D553" s="64"/>
      <c r="E553" s="64"/>
      <c r="F553" s="67"/>
      <c r="G553" s="361"/>
      <c r="H553" s="74"/>
      <c r="I553" s="515"/>
      <c r="J553" s="515"/>
      <c r="K553" s="507"/>
      <c r="L553" s="515"/>
      <c r="M553" s="65"/>
      <c r="N553" s="66"/>
      <c r="O553" s="66"/>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42"/>
        <v/>
      </c>
      <c r="AD553" s="66" t="str">
        <f>IF(AND(MONTH(E553)&lt;='IN-NX'!$P$3,'IN-NX'!$D$7=D553,OR(LEFT(TH!N553,2)="15",LEFT(TH!O553,2)="15")),"x","")</f>
        <v/>
      </c>
      <c r="AE553" s="66" t="str">
        <f>IF(AND(OR(LEFT(TH!N553,2)="15",LEFT(TH!O553,2)="15"),'152-CT'!$J$8=TH!F553),"x","")</f>
        <v/>
      </c>
      <c r="AF553" s="66" t="str">
        <f>IF(AND(OR(LEFT(TH!N553,2)="15",LEFT(TH!O553,2)="15"),'THE KHO'!$E$7=TH!F553),"x","")</f>
        <v/>
      </c>
      <c r="AG553" s="66" t="str">
        <f>IF(AND(N553="1521",MONTH(C553)='BK NL'!$M$11),"x","")</f>
        <v/>
      </c>
    </row>
    <row r="554" spans="1:33" ht="15.75" customHeight="1">
      <c r="A554" s="398" t="str">
        <f>IF(B554&lt;&gt;"",IF(AND(B554&gt;=_TM1,B554&lt;=_TM2,OR(TH!N554="1111",TH!O554="1111")),TH!D554,""),"")</f>
        <v/>
      </c>
      <c r="B554" s="63" t="str">
        <f t="shared" si="40"/>
        <v/>
      </c>
      <c r="C554" s="64"/>
      <c r="D554" s="64"/>
      <c r="E554" s="64"/>
      <c r="F554" s="67"/>
      <c r="G554" s="361"/>
      <c r="H554" s="74"/>
      <c r="I554" s="515"/>
      <c r="J554" s="515"/>
      <c r="K554" s="507"/>
      <c r="L554" s="515"/>
      <c r="M554" s="65"/>
      <c r="N554" s="66"/>
      <c r="O554" s="6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42"/>
        <v/>
      </c>
      <c r="AD554" s="66" t="str">
        <f>IF(AND(MONTH(E554)&lt;='IN-NX'!$P$3,'IN-NX'!$D$7=D554,OR(LEFT(TH!N554,2)="15",LEFT(TH!O554,2)="15")),"x","")</f>
        <v/>
      </c>
      <c r="AE554" s="66" t="str">
        <f>IF(AND(OR(LEFT(TH!N554,2)="15",LEFT(TH!O554,2)="15"),'152-CT'!$J$8=TH!F554),"x","")</f>
        <v/>
      </c>
      <c r="AF554" s="66" t="str">
        <f>IF(AND(OR(LEFT(TH!N554,2)="15",LEFT(TH!O554,2)="15"),'THE KHO'!$E$7=TH!F554),"x","")</f>
        <v/>
      </c>
      <c r="AG554" s="66" t="str">
        <f>IF(AND(N554="1521",MONTH(C554)='BK NL'!$M$11),"x","")</f>
        <v/>
      </c>
    </row>
    <row r="555" spans="1:33" ht="15.75" customHeight="1">
      <c r="A555" s="398" t="str">
        <f>IF(B555&lt;&gt;"",IF(AND(B555&gt;=_TM1,B555&lt;=_TM2,OR(TH!N555="1111",TH!O555="1111")),TH!D555,""),"")</f>
        <v/>
      </c>
      <c r="B555" s="63" t="str">
        <f t="shared" si="40"/>
        <v/>
      </c>
      <c r="C555" s="64"/>
      <c r="D555" s="64"/>
      <c r="E555" s="64"/>
      <c r="F555" s="67"/>
      <c r="G555" s="361"/>
      <c r="H555" s="74"/>
      <c r="I555" s="515"/>
      <c r="J555" s="515"/>
      <c r="K555" s="507"/>
      <c r="L555" s="515"/>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42"/>
        <v/>
      </c>
      <c r="AD555" s="66" t="str">
        <f>IF(AND(MONTH(E555)&lt;='IN-NX'!$P$3,'IN-NX'!$D$7=D555,OR(LEFT(TH!N555,2)="15",LEFT(TH!O555,2)="15")),"x","")</f>
        <v/>
      </c>
      <c r="AE555" s="66" t="str">
        <f>IF(AND(OR(LEFT(TH!N555,2)="15",LEFT(TH!O555,2)="15"),'152-CT'!$J$8=TH!F555),"x","")</f>
        <v/>
      </c>
      <c r="AF555" s="66" t="str">
        <f>IF(AND(OR(LEFT(TH!N555,2)="15",LEFT(TH!O555,2)="15"),'THE KHO'!$E$7=TH!F555),"x","")</f>
        <v/>
      </c>
      <c r="AG555" s="66" t="str">
        <f>IF(AND(N555="1521",MONTH(C555)='BK NL'!$M$11),"x","")</f>
        <v/>
      </c>
    </row>
    <row r="556" spans="1:33" ht="15.75" customHeight="1">
      <c r="A556" s="398" t="str">
        <f>IF(B556&lt;&gt;"",IF(AND(B556&gt;=_TM1,B556&lt;=_TM2,OR(TH!N556="1111",TH!O556="1111")),TH!D556,""),"")</f>
        <v/>
      </c>
      <c r="B556" s="63" t="str">
        <f t="shared" si="40"/>
        <v/>
      </c>
      <c r="C556" s="64"/>
      <c r="D556" s="64"/>
      <c r="E556" s="64"/>
      <c r="F556" s="67"/>
      <c r="G556" s="375"/>
      <c r="H556" s="74"/>
      <c r="I556" s="515"/>
      <c r="J556" s="515"/>
      <c r="K556" s="507"/>
      <c r="L556" s="515"/>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42"/>
        <v/>
      </c>
      <c r="AD556" s="66" t="str">
        <f>IF(AND(MONTH(E556)&lt;='IN-NX'!$P$3,'IN-NX'!$D$7=D556,OR(LEFT(TH!N556,2)="15",LEFT(TH!O556,2)="15")),"x","")</f>
        <v/>
      </c>
      <c r="AE556" s="66" t="str">
        <f>IF(AND(OR(LEFT(TH!N556,2)="15",LEFT(TH!O556,2)="15"),'152-CT'!$J$8=TH!F556),"x","")</f>
        <v/>
      </c>
      <c r="AF556" s="66" t="str">
        <f>IF(AND(OR(LEFT(TH!N556,2)="15",LEFT(TH!O556,2)="15"),'THE KHO'!$E$7=TH!F556),"x","")</f>
        <v/>
      </c>
      <c r="AG556" s="66" t="str">
        <f>IF(AND(N556="1521",MONTH(C556)='BK NL'!$M$11),"x","")</f>
        <v/>
      </c>
    </row>
    <row r="557" spans="1:33" ht="15.75" customHeight="1">
      <c r="A557" s="398" t="str">
        <f>IF(B557&lt;&gt;"",IF(AND(B557&gt;=_TM1,B557&lt;=_TM2,OR(TH!N557="1111",TH!O557="1111")),TH!D557,""),"")</f>
        <v/>
      </c>
      <c r="B557" s="63" t="str">
        <f t="shared" si="40"/>
        <v/>
      </c>
      <c r="C557" s="64"/>
      <c r="D557" s="64"/>
      <c r="E557" s="64"/>
      <c r="F557" s="67"/>
      <c r="G557" s="375"/>
      <c r="H557" s="74"/>
      <c r="I557" s="515"/>
      <c r="J557" s="515"/>
      <c r="K557" s="507"/>
      <c r="L557" s="515"/>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42"/>
        <v/>
      </c>
      <c r="AD557" s="66" t="str">
        <f>IF(AND(MONTH(E557)&lt;='IN-NX'!$P$3,'IN-NX'!$D$7=D557,OR(LEFT(TH!N557,2)="15",LEFT(TH!O557,2)="15")),"x","")</f>
        <v/>
      </c>
      <c r="AE557" s="66" t="str">
        <f>IF(AND(OR(LEFT(TH!N557,2)="15",LEFT(TH!O557,2)="15"),'152-CT'!$J$8=TH!F557),"x","")</f>
        <v/>
      </c>
      <c r="AF557" s="66" t="str">
        <f>IF(AND(OR(LEFT(TH!N557,2)="15",LEFT(TH!O557,2)="15"),'THE KHO'!$E$7=TH!F557),"x","")</f>
        <v/>
      </c>
      <c r="AG557" s="66" t="str">
        <f>IF(AND(N557="1521",MONTH(C557)='BK NL'!$M$11),"x","")</f>
        <v/>
      </c>
    </row>
    <row r="558" spans="1:33" ht="15.75" customHeight="1">
      <c r="A558" s="398" t="str">
        <f>IF(B558&lt;&gt;"",IF(AND(B558&gt;=_TM1,B558&lt;=_TM2,OR(TH!N558="1111",TH!O558="1111")),TH!D558,""),"")</f>
        <v/>
      </c>
      <c r="B558" s="63" t="str">
        <f t="shared" si="40"/>
        <v/>
      </c>
      <c r="C558" s="64"/>
      <c r="D558" s="64"/>
      <c r="E558" s="64"/>
      <c r="F558" s="67"/>
      <c r="G558" s="375"/>
      <c r="H558" s="74"/>
      <c r="I558" s="515"/>
      <c r="J558" s="515"/>
      <c r="K558" s="507"/>
      <c r="L558" s="515"/>
      <c r="M558" s="65"/>
      <c r="N558" s="38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42"/>
        <v/>
      </c>
      <c r="AD558" s="66" t="str">
        <f>IF(AND(MONTH(E558)&lt;='IN-NX'!$P$3,'IN-NX'!$D$7=D558,OR(LEFT(TH!N558,2)="15",LEFT(TH!O558,2)="15")),"x","")</f>
        <v/>
      </c>
      <c r="AE558" s="66" t="str">
        <f>IF(AND(OR(LEFT(TH!N558,2)="15",LEFT(TH!O558,2)="15"),'152-CT'!$J$8=TH!F558),"x","")</f>
        <v/>
      </c>
      <c r="AF558" s="66" t="str">
        <f>IF(AND(OR(LEFT(TH!N558,2)="15",LEFT(TH!O558,2)="15"),'THE KHO'!$E$7=TH!F558),"x","")</f>
        <v/>
      </c>
      <c r="AG558" s="66" t="str">
        <f>IF(AND(N558="1521",MONTH(C558)='BK NL'!$M$11),"x","")</f>
        <v/>
      </c>
    </row>
    <row r="559" spans="1:33" ht="15.75" customHeight="1">
      <c r="A559" s="398" t="str">
        <f>IF(B559&lt;&gt;"",IF(AND(B559&gt;=_TM1,B559&lt;=_TM2,OR(TH!N559="1111",TH!O559="1111")),TH!D559,""),"")</f>
        <v/>
      </c>
      <c r="B559" s="63" t="str">
        <f t="shared" si="40"/>
        <v/>
      </c>
      <c r="C559" s="64"/>
      <c r="D559" s="64"/>
      <c r="E559" s="64"/>
      <c r="F559" s="67"/>
      <c r="G559" s="375"/>
      <c r="H559" s="74"/>
      <c r="I559" s="515"/>
      <c r="J559" s="515"/>
      <c r="K559" s="507"/>
      <c r="L559" s="515"/>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42"/>
        <v/>
      </c>
      <c r="AD559" s="66" t="str">
        <f>IF(AND(MONTH(E559)&lt;='IN-NX'!$P$3,'IN-NX'!$D$7=D559,OR(LEFT(TH!N559,2)="15",LEFT(TH!O559,2)="15")),"x","")</f>
        <v/>
      </c>
      <c r="AE559" s="66" t="str">
        <f>IF(AND(OR(LEFT(TH!N559,2)="15",LEFT(TH!O559,2)="15"),'152-CT'!$J$8=TH!F559),"x","")</f>
        <v/>
      </c>
      <c r="AF559" s="66" t="str">
        <f>IF(AND(OR(LEFT(TH!N559,2)="15",LEFT(TH!O559,2)="15"),'THE KHO'!$E$7=TH!F559),"x","")</f>
        <v/>
      </c>
      <c r="AG559" s="66" t="str">
        <f>IF(AND(N559="1521",MONTH(C559)='BK NL'!$M$11),"x","")</f>
        <v/>
      </c>
    </row>
    <row r="560" spans="1:33" ht="15.75" customHeight="1">
      <c r="A560" s="398" t="str">
        <f>IF(B560&lt;&gt;"",IF(AND(B560&gt;=_TM1,B560&lt;=_TM2,OR(TH!N560="1111",TH!O560="1111")),TH!D560,""),"")</f>
        <v/>
      </c>
      <c r="B560" s="63" t="str">
        <f t="shared" si="40"/>
        <v/>
      </c>
      <c r="C560" s="64"/>
      <c r="D560" s="64"/>
      <c r="E560" s="64"/>
      <c r="F560" s="67"/>
      <c r="G560" s="375"/>
      <c r="H560" s="366"/>
      <c r="I560" s="513"/>
      <c r="J560" s="513"/>
      <c r="K560" s="505"/>
      <c r="L560" s="513"/>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42"/>
        <v/>
      </c>
      <c r="AD560" s="66" t="str">
        <f>IF(AND(MONTH(E560)&lt;='IN-NX'!$P$3,'IN-NX'!$D$7=D560,OR(LEFT(TH!N560,2)="15",LEFT(TH!O560,2)="15")),"x","")</f>
        <v/>
      </c>
      <c r="AE560" s="66" t="str">
        <f>IF(AND(OR(LEFT(TH!N560,2)="15",LEFT(TH!O560,2)="15"),'152-CT'!$J$8=TH!F560),"x","")</f>
        <v/>
      </c>
      <c r="AF560" s="66" t="str">
        <f>IF(AND(OR(LEFT(TH!N560,2)="15",LEFT(TH!O560,2)="15"),'THE KHO'!$E$7=TH!F560),"x","")</f>
        <v/>
      </c>
      <c r="AG560" s="66" t="str">
        <f>IF(AND(N560="1521",MONTH(C560)='BK NL'!$M$11),"x","")</f>
        <v/>
      </c>
    </row>
    <row r="561" spans="1:33" ht="15.75" customHeight="1">
      <c r="A561" s="398" t="str">
        <f>IF(B561&lt;&gt;"",IF(AND(B561&gt;=_TM1,B561&lt;=_TM2,OR(TH!N561="1111",TH!O561="1111")),TH!D561,""),"")</f>
        <v/>
      </c>
      <c r="B561" s="63" t="str">
        <f t="shared" si="40"/>
        <v/>
      </c>
      <c r="C561" s="64"/>
      <c r="D561" s="64"/>
      <c r="E561" s="64"/>
      <c r="F561" s="67"/>
      <c r="G561" s="375"/>
      <c r="H561" s="366"/>
      <c r="I561" s="513"/>
      <c r="J561" s="513"/>
      <c r="K561" s="505"/>
      <c r="L561" s="513"/>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42"/>
        <v/>
      </c>
      <c r="AD561" s="66" t="str">
        <f>IF(AND(MONTH(E561)&lt;='IN-NX'!$P$3,'IN-NX'!$D$7=D561,OR(LEFT(TH!N561,2)="15",LEFT(TH!O561,2)="15")),"x","")</f>
        <v/>
      </c>
      <c r="AE561" s="66" t="str">
        <f>IF(AND(OR(LEFT(TH!N561,2)="15",LEFT(TH!O561,2)="15"),'152-CT'!$J$8=TH!F561),"x","")</f>
        <v/>
      </c>
      <c r="AF561" s="66" t="str">
        <f>IF(AND(OR(LEFT(TH!N561,2)="15",LEFT(TH!O561,2)="15"),'THE KHO'!$E$7=TH!F561),"x","")</f>
        <v/>
      </c>
      <c r="AG561" s="66" t="str">
        <f>IF(AND(N561="1521",MONTH(C561)='BK NL'!$M$11),"x","")</f>
        <v/>
      </c>
    </row>
    <row r="562" spans="1:33" ht="15.75" customHeight="1">
      <c r="A562" s="398" t="str">
        <f>IF(B562&lt;&gt;"",IF(AND(B562&gt;=_TM1,B562&lt;=_TM2,OR(TH!N562="1111",TH!O562="1111")),TH!D562,""),"")</f>
        <v/>
      </c>
      <c r="B562" s="63" t="str">
        <f t="shared" si="40"/>
        <v/>
      </c>
      <c r="C562" s="64"/>
      <c r="D562" s="64"/>
      <c r="E562" s="64"/>
      <c r="F562" s="67"/>
      <c r="G562" s="361"/>
      <c r="H562" s="74"/>
      <c r="I562" s="515"/>
      <c r="J562" s="515"/>
      <c r="K562" s="507"/>
      <c r="L562" s="515"/>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42"/>
        <v/>
      </c>
      <c r="AD562" s="66" t="str">
        <f>IF(AND(MONTH(E562)&lt;='IN-NX'!$P$3,'IN-NX'!$D$7=D562,OR(LEFT(TH!N562,2)="15",LEFT(TH!O562,2)="15")),"x","")</f>
        <v/>
      </c>
      <c r="AE562" s="66" t="str">
        <f>IF(AND(OR(LEFT(TH!N562,2)="15",LEFT(TH!O562,2)="15"),'152-CT'!$J$8=TH!F562),"x","")</f>
        <v/>
      </c>
      <c r="AF562" s="66" t="str">
        <f>IF(AND(OR(LEFT(TH!N562,2)="15",LEFT(TH!O562,2)="15"),'THE KHO'!$E$7=TH!F562),"x","")</f>
        <v/>
      </c>
      <c r="AG562" s="66" t="str">
        <f>IF(AND(N562="1521",MONTH(C562)='BK NL'!$M$11),"x","")</f>
        <v/>
      </c>
    </row>
    <row r="563" spans="1:33" ht="15.75" customHeight="1">
      <c r="A563" s="398" t="str">
        <f>IF(B563&lt;&gt;"",IF(AND(B563&gt;=_TM1,B563&lt;=_TM2,OR(TH!N563="1111",TH!O563="1111")),TH!D563,""),"")</f>
        <v/>
      </c>
      <c r="B563" s="63" t="str">
        <f t="shared" si="40"/>
        <v/>
      </c>
      <c r="C563" s="64"/>
      <c r="D563" s="64"/>
      <c r="E563" s="64"/>
      <c r="F563" s="67"/>
      <c r="G563" s="361"/>
      <c r="H563" s="74"/>
      <c r="I563" s="515"/>
      <c r="J563" s="515"/>
      <c r="K563" s="507"/>
      <c r="L563" s="515"/>
      <c r="M563" s="65"/>
      <c r="N563" s="66"/>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42"/>
        <v/>
      </c>
      <c r="AD563" s="66" t="str">
        <f>IF(AND(MONTH(E563)&lt;='IN-NX'!$P$3,'IN-NX'!$D$7=D563,OR(LEFT(TH!N563,2)="15",LEFT(TH!O563,2)="15")),"x","")</f>
        <v/>
      </c>
      <c r="AE563" s="66" t="str">
        <f>IF(AND(OR(LEFT(TH!N563,2)="15",LEFT(TH!O563,2)="15"),'152-CT'!$J$8=TH!F563),"x","")</f>
        <v/>
      </c>
      <c r="AF563" s="66" t="str">
        <f>IF(AND(OR(LEFT(TH!N563,2)="15",LEFT(TH!O563,2)="15"),'THE KHO'!$E$7=TH!F563),"x","")</f>
        <v/>
      </c>
      <c r="AG563" s="66" t="str">
        <f>IF(AND(N563="1521",MONTH(C563)='BK NL'!$M$11),"x","")</f>
        <v/>
      </c>
    </row>
    <row r="564" spans="1:33" ht="15.75" customHeight="1">
      <c r="A564" s="398" t="str">
        <f>IF(B564&lt;&gt;"",IF(AND(B564&gt;=_TM1,B564&lt;=_TM2,OR(TH!N564="1111",TH!O564="1111")),TH!D564,""),"")</f>
        <v/>
      </c>
      <c r="B564" s="63" t="str">
        <f t="shared" si="40"/>
        <v/>
      </c>
      <c r="C564" s="64"/>
      <c r="D564" s="64"/>
      <c r="E564" s="64"/>
      <c r="F564" s="67"/>
      <c r="G564" s="361"/>
      <c r="H564" s="74"/>
      <c r="I564" s="515"/>
      <c r="J564" s="515"/>
      <c r="K564" s="507"/>
      <c r="L564" s="515"/>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42"/>
        <v/>
      </c>
      <c r="AD564" s="66" t="str">
        <f>IF(AND(MONTH(E564)&lt;='IN-NX'!$P$3,'IN-NX'!$D$7=D564,OR(LEFT(TH!N564,2)="15",LEFT(TH!O564,2)="15")),"x","")</f>
        <v/>
      </c>
      <c r="AE564" s="66" t="str">
        <f>IF(AND(OR(LEFT(TH!N564,2)="15",LEFT(TH!O564,2)="15"),'152-CT'!$J$8=TH!F564),"x","")</f>
        <v/>
      </c>
      <c r="AF564" s="66" t="str">
        <f>IF(AND(OR(LEFT(TH!N564,2)="15",LEFT(TH!O564,2)="15"),'THE KHO'!$E$7=TH!F564),"x","")</f>
        <v/>
      </c>
      <c r="AG564" s="66" t="str">
        <f>IF(AND(N564="1521",MONTH(C564)='BK NL'!$M$11),"x","")</f>
        <v/>
      </c>
    </row>
    <row r="565" spans="1:33" ht="15.75" customHeight="1">
      <c r="A565" s="398" t="str">
        <f>IF(B565&lt;&gt;"",IF(AND(B565&gt;=_TM1,B565&lt;=_TM2,OR(TH!N565="1111",TH!O565="1111")),TH!D565,""),"")</f>
        <v/>
      </c>
      <c r="B565" s="63" t="str">
        <f t="shared" si="40"/>
        <v/>
      </c>
      <c r="C565" s="64"/>
      <c r="D565" s="64"/>
      <c r="E565" s="64"/>
      <c r="F565" s="67"/>
      <c r="G565" s="361"/>
      <c r="H565" s="74"/>
      <c r="I565" s="515"/>
      <c r="J565" s="515"/>
      <c r="K565" s="507"/>
      <c r="L565" s="515"/>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42"/>
        <v/>
      </c>
      <c r="AD565" s="66" t="str">
        <f>IF(AND(MONTH(E565)&lt;='IN-NX'!$P$3,'IN-NX'!$D$7=D565,OR(LEFT(TH!N565,2)="15",LEFT(TH!O565,2)="15")),"x","")</f>
        <v/>
      </c>
      <c r="AE565" s="66" t="str">
        <f>IF(AND(OR(LEFT(TH!N565,2)="15",LEFT(TH!O565,2)="15"),'152-CT'!$J$8=TH!F565),"x","")</f>
        <v/>
      </c>
      <c r="AF565" s="66" t="str">
        <f>IF(AND(OR(LEFT(TH!N565,2)="15",LEFT(TH!O565,2)="15"),'THE KHO'!$E$7=TH!F565),"x","")</f>
        <v/>
      </c>
      <c r="AG565" s="66" t="str">
        <f>IF(AND(N565="1521",MONTH(C565)='BK NL'!$M$11),"x","")</f>
        <v/>
      </c>
    </row>
    <row r="566" spans="1:33" ht="15.75" customHeight="1">
      <c r="A566" s="398" t="str">
        <f>IF(B566&lt;&gt;"",IF(AND(B566&gt;=_TM1,B566&lt;=_TM2,OR(TH!N566="1111",TH!O566="1111")),TH!D566,""),"")</f>
        <v/>
      </c>
      <c r="B566" s="63" t="str">
        <f t="shared" si="40"/>
        <v/>
      </c>
      <c r="C566" s="64"/>
      <c r="D566" s="64"/>
      <c r="E566" s="64"/>
      <c r="F566" s="67"/>
      <c r="G566" s="361"/>
      <c r="H566" s="74"/>
      <c r="I566" s="515"/>
      <c r="J566" s="515"/>
      <c r="K566" s="507"/>
      <c r="L566" s="515"/>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42"/>
        <v/>
      </c>
      <c r="AD566" s="66" t="str">
        <f>IF(AND(MONTH(E566)&lt;='IN-NX'!$P$3,'IN-NX'!$D$7=D566,OR(LEFT(TH!N566,2)="15",LEFT(TH!O566,2)="15")),"x","")</f>
        <v/>
      </c>
      <c r="AE566" s="66" t="str">
        <f>IF(AND(OR(LEFT(TH!N566,2)="15",LEFT(TH!O566,2)="15"),'152-CT'!$J$8=TH!F566),"x","")</f>
        <v/>
      </c>
      <c r="AF566" s="66" t="str">
        <f>IF(AND(OR(LEFT(TH!N566,2)="15",LEFT(TH!O566,2)="15"),'THE KHO'!$E$7=TH!F566),"x","")</f>
        <v/>
      </c>
      <c r="AG566" s="66" t="str">
        <f>IF(AND(N566="1521",MONTH(C566)='BK NL'!$M$11),"x","")</f>
        <v/>
      </c>
    </row>
    <row r="567" spans="1:33" ht="15.75" customHeight="1">
      <c r="A567" s="398" t="str">
        <f>IF(B567&lt;&gt;"",IF(AND(B567&gt;=_TM1,B567&lt;=_TM2,OR(TH!N567="1111",TH!O567="1111")),TH!D567,""),"")</f>
        <v/>
      </c>
      <c r="B567" s="63" t="str">
        <f t="shared" si="40"/>
        <v/>
      </c>
      <c r="C567" s="64"/>
      <c r="D567" s="64"/>
      <c r="E567" s="64"/>
      <c r="F567" s="67"/>
      <c r="G567" s="361"/>
      <c r="H567" s="74"/>
      <c r="I567" s="515"/>
      <c r="J567" s="515"/>
      <c r="K567" s="507"/>
      <c r="L567" s="515"/>
      <c r="M567" s="65"/>
      <c r="N567" s="66"/>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42"/>
        <v/>
      </c>
      <c r="AD567" s="66" t="str">
        <f>IF(AND(MONTH(E567)&lt;='IN-NX'!$P$3,'IN-NX'!$D$7=D567,OR(LEFT(TH!N567,2)="15",LEFT(TH!O567,2)="15")),"x","")</f>
        <v/>
      </c>
      <c r="AE567" s="66" t="str">
        <f>IF(AND(OR(LEFT(TH!N567,2)="15",LEFT(TH!O567,2)="15"),'152-CT'!$J$8=TH!F567),"x","")</f>
        <v/>
      </c>
      <c r="AF567" s="66" t="str">
        <f>IF(AND(OR(LEFT(TH!N567,2)="15",LEFT(TH!O567,2)="15"),'THE KHO'!$E$7=TH!F567),"x","")</f>
        <v/>
      </c>
      <c r="AG567" s="66" t="str">
        <f>IF(AND(N567="1521",MONTH(C567)='BK NL'!$M$11),"x","")</f>
        <v/>
      </c>
    </row>
    <row r="568" spans="1:33" ht="15.75" customHeight="1">
      <c r="A568" s="398" t="str">
        <f>IF(B568&lt;&gt;"",IF(AND(B568&gt;=_TM1,B568&lt;=_TM2,OR(TH!N568="1111",TH!O568="1111")),TH!D568,""),"")</f>
        <v/>
      </c>
      <c r="B568" s="63" t="str">
        <f t="shared" si="40"/>
        <v/>
      </c>
      <c r="C568" s="64"/>
      <c r="D568" s="64"/>
      <c r="E568" s="64"/>
      <c r="F568" s="67"/>
      <c r="G568" s="361"/>
      <c r="H568" s="74"/>
      <c r="I568" s="515"/>
      <c r="J568" s="515"/>
      <c r="K568" s="507"/>
      <c r="L568" s="515"/>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42"/>
        <v/>
      </c>
      <c r="AD568" s="66" t="str">
        <f>IF(AND(MONTH(E568)&lt;='IN-NX'!$P$3,'IN-NX'!$D$7=D568,OR(LEFT(TH!N568,2)="15",LEFT(TH!O568,2)="15")),"x","")</f>
        <v/>
      </c>
      <c r="AE568" s="66" t="str">
        <f>IF(AND(OR(LEFT(TH!N568,2)="15",LEFT(TH!O568,2)="15"),'152-CT'!$J$8=TH!F568),"x","")</f>
        <v/>
      </c>
      <c r="AF568" s="66" t="str">
        <f>IF(AND(OR(LEFT(TH!N568,2)="15",LEFT(TH!O568,2)="15"),'THE KHO'!$E$7=TH!F568),"x","")</f>
        <v/>
      </c>
      <c r="AG568" s="66" t="str">
        <f>IF(AND(N568="1521",MONTH(C568)='BK NL'!$M$11),"x","")</f>
        <v/>
      </c>
    </row>
    <row r="569" spans="1:33" ht="15.75" customHeight="1">
      <c r="A569" s="398" t="str">
        <f>IF(B569&lt;&gt;"",IF(AND(B569&gt;=_TM1,B569&lt;=_TM2,OR(TH!N569="1111",TH!O569="1111")),TH!D569,""),"")</f>
        <v/>
      </c>
      <c r="B569" s="63" t="str">
        <f t="shared" si="40"/>
        <v/>
      </c>
      <c r="C569" s="64"/>
      <c r="D569" s="64"/>
      <c r="E569" s="64"/>
      <c r="F569" s="67"/>
      <c r="G569" s="361"/>
      <c r="H569" s="74"/>
      <c r="I569" s="515"/>
      <c r="J569" s="515"/>
      <c r="K569" s="507"/>
      <c r="L569" s="515"/>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42"/>
        <v/>
      </c>
      <c r="AD569" s="66" t="str">
        <f>IF(AND(MONTH(E569)&lt;='IN-NX'!$P$3,'IN-NX'!$D$7=D569,OR(LEFT(TH!N569,2)="15",LEFT(TH!O569,2)="15")),"x","")</f>
        <v/>
      </c>
      <c r="AE569" s="66" t="str">
        <f>IF(AND(OR(LEFT(TH!N569,2)="15",LEFT(TH!O569,2)="15"),'152-CT'!$J$8=TH!F569),"x","")</f>
        <v/>
      </c>
      <c r="AF569" s="66" t="str">
        <f>IF(AND(OR(LEFT(TH!N569,2)="15",LEFT(TH!O569,2)="15"),'THE KHO'!$E$7=TH!F569),"x","")</f>
        <v/>
      </c>
      <c r="AG569" s="66" t="str">
        <f>IF(AND(N569="1521",MONTH(C569)='BK NL'!$M$11),"x","")</f>
        <v/>
      </c>
    </row>
    <row r="570" spans="1:33" ht="15.75" customHeight="1">
      <c r="A570" s="398" t="str">
        <f>IF(B570&lt;&gt;"",IF(AND(B570&gt;=_TM1,B570&lt;=_TM2,OR(TH!N570="1111",TH!O570="1111")),TH!D570,""),"")</f>
        <v/>
      </c>
      <c r="B570" s="63" t="str">
        <f t="shared" si="40"/>
        <v/>
      </c>
      <c r="C570" s="64"/>
      <c r="D570" s="64"/>
      <c r="E570" s="64"/>
      <c r="F570" s="67"/>
      <c r="G570" s="361"/>
      <c r="H570" s="74"/>
      <c r="I570" s="515"/>
      <c r="J570" s="515"/>
      <c r="K570" s="507"/>
      <c r="L570" s="515"/>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42"/>
        <v/>
      </c>
      <c r="AD570" s="66" t="str">
        <f>IF(AND(MONTH(E570)&lt;='IN-NX'!$P$3,'IN-NX'!$D$7=D570,OR(LEFT(TH!N570,2)="15",LEFT(TH!O570,2)="15")),"x","")</f>
        <v/>
      </c>
      <c r="AE570" s="66" t="str">
        <f>IF(AND(OR(LEFT(TH!N570,2)="15",LEFT(TH!O570,2)="15"),'152-CT'!$J$8=TH!F570),"x","")</f>
        <v/>
      </c>
      <c r="AF570" s="66" t="str">
        <f>IF(AND(OR(LEFT(TH!N570,2)="15",LEFT(TH!O570,2)="15"),'THE KHO'!$E$7=TH!F570),"x","")</f>
        <v/>
      </c>
      <c r="AG570" s="66" t="str">
        <f>IF(AND(N570="1521",MONTH(C570)='BK NL'!$M$11),"x","")</f>
        <v/>
      </c>
    </row>
    <row r="571" spans="1:33" ht="15.75" customHeight="1">
      <c r="A571" s="398" t="str">
        <f>IF(B571&lt;&gt;"",IF(AND(B571&gt;=_TM1,B571&lt;=_TM2,OR(TH!N571="1111",TH!O571="1111")),TH!D571,""),"")</f>
        <v/>
      </c>
      <c r="B571" s="63" t="str">
        <f t="shared" si="40"/>
        <v/>
      </c>
      <c r="C571" s="64"/>
      <c r="D571" s="64"/>
      <c r="E571" s="64"/>
      <c r="F571" s="67"/>
      <c r="G571" s="361"/>
      <c r="H571" s="74"/>
      <c r="I571" s="515"/>
      <c r="J571" s="515"/>
      <c r="K571" s="507"/>
      <c r="L571" s="515"/>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42"/>
        <v/>
      </c>
      <c r="AD571" s="66" t="str">
        <f>IF(AND(MONTH(E571)&lt;='IN-NX'!$P$3,'IN-NX'!$D$7=D571,OR(LEFT(TH!N571,2)="15",LEFT(TH!O571,2)="15")),"x","")</f>
        <v/>
      </c>
      <c r="AE571" s="66" t="str">
        <f>IF(AND(OR(LEFT(TH!N571,2)="15",LEFT(TH!O571,2)="15"),'152-CT'!$J$8=TH!F571),"x","")</f>
        <v/>
      </c>
      <c r="AF571" s="66" t="str">
        <f>IF(AND(OR(LEFT(TH!N571,2)="15",LEFT(TH!O571,2)="15"),'THE KHO'!$E$7=TH!F571),"x","")</f>
        <v/>
      </c>
      <c r="AG571" s="66" t="str">
        <f>IF(AND(N571="1521",MONTH(C571)='BK NL'!$M$11),"x","")</f>
        <v/>
      </c>
    </row>
    <row r="572" spans="1:33" ht="15.75" customHeight="1">
      <c r="A572" s="398" t="str">
        <f>IF(B572&lt;&gt;"",IF(AND(B572&gt;=_TM1,B572&lt;=_TM2,OR(TH!N572="1111",TH!O572="1111")),TH!D572,""),"")</f>
        <v/>
      </c>
      <c r="B572" s="63" t="str">
        <f t="shared" si="40"/>
        <v/>
      </c>
      <c r="C572" s="64"/>
      <c r="D572" s="64"/>
      <c r="E572" s="64"/>
      <c r="F572" s="67"/>
      <c r="G572" s="361"/>
      <c r="H572" s="74"/>
      <c r="I572" s="515"/>
      <c r="J572" s="515"/>
      <c r="K572" s="507"/>
      <c r="L572" s="515"/>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42"/>
        <v/>
      </c>
      <c r="AD572" s="66" t="str">
        <f>IF(AND(MONTH(E572)&lt;='IN-NX'!$P$3,'IN-NX'!$D$7=D572,OR(LEFT(TH!N572,2)="15",LEFT(TH!O572,2)="15")),"x","")</f>
        <v/>
      </c>
      <c r="AE572" s="66" t="str">
        <f>IF(AND(OR(LEFT(TH!N572,2)="15",LEFT(TH!O572,2)="15"),'152-CT'!$J$8=TH!F572),"x","")</f>
        <v/>
      </c>
      <c r="AF572" s="66" t="str">
        <f>IF(AND(OR(LEFT(TH!N572,2)="15",LEFT(TH!O572,2)="15"),'THE KHO'!$E$7=TH!F572),"x","")</f>
        <v/>
      </c>
      <c r="AG572" s="66" t="str">
        <f>IF(AND(N572="1521",MONTH(C572)='BK NL'!$M$11),"x","")</f>
        <v/>
      </c>
    </row>
    <row r="573" spans="1:33" ht="15.75" customHeight="1">
      <c r="A573" s="398" t="str">
        <f>IF(B573&lt;&gt;"",IF(AND(B573&gt;=_TM1,B573&lt;=_TM2,OR(TH!N573="1111",TH!O573="1111")),TH!D573,""),"")</f>
        <v/>
      </c>
      <c r="B573" s="63" t="str">
        <f t="shared" si="40"/>
        <v/>
      </c>
      <c r="C573" s="64"/>
      <c r="D573" s="64"/>
      <c r="E573" s="64"/>
      <c r="F573" s="67"/>
      <c r="G573" s="361"/>
      <c r="H573" s="74"/>
      <c r="I573" s="515"/>
      <c r="J573" s="515"/>
      <c r="K573" s="507"/>
      <c r="L573" s="515"/>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42"/>
        <v/>
      </c>
      <c r="AD573" s="66" t="str">
        <f>IF(AND(MONTH(E573)&lt;='IN-NX'!$P$3,'IN-NX'!$D$7=D573,OR(LEFT(TH!N573,2)="15",LEFT(TH!O573,2)="15")),"x","")</f>
        <v/>
      </c>
      <c r="AE573" s="66" t="str">
        <f>IF(AND(OR(LEFT(TH!N573,2)="15",LEFT(TH!O573,2)="15"),'152-CT'!$J$8=TH!F573),"x","")</f>
        <v/>
      </c>
      <c r="AF573" s="66" t="str">
        <f>IF(AND(OR(LEFT(TH!N573,2)="15",LEFT(TH!O573,2)="15"),'THE KHO'!$E$7=TH!F573),"x","")</f>
        <v/>
      </c>
      <c r="AG573" s="66" t="str">
        <f>IF(AND(N573="1521",MONTH(C573)='BK NL'!$M$11),"x","")</f>
        <v/>
      </c>
    </row>
    <row r="574" spans="1:33" ht="15.75" customHeight="1">
      <c r="A574" s="398" t="str">
        <f>IF(B574&lt;&gt;"",IF(AND(B574&gt;=_TM1,B574&lt;=_TM2,OR(TH!N574="1111",TH!O574="1111")),TH!D574,""),"")</f>
        <v/>
      </c>
      <c r="B574" s="63" t="str">
        <f t="shared" si="40"/>
        <v/>
      </c>
      <c r="C574" s="64"/>
      <c r="D574" s="64"/>
      <c r="E574" s="64"/>
      <c r="F574" s="67"/>
      <c r="G574" s="361"/>
      <c r="H574" s="74"/>
      <c r="I574" s="515"/>
      <c r="J574" s="515"/>
      <c r="K574" s="507"/>
      <c r="L574" s="515"/>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42"/>
        <v/>
      </c>
      <c r="AD574" s="66" t="str">
        <f>IF(AND(MONTH(E574)&lt;='IN-NX'!$P$3,'IN-NX'!$D$7=D574,OR(LEFT(TH!N574,2)="15",LEFT(TH!O574,2)="15")),"x","")</f>
        <v/>
      </c>
      <c r="AE574" s="66" t="str">
        <f>IF(AND(OR(LEFT(TH!N574,2)="15",LEFT(TH!O574,2)="15"),'152-CT'!$J$8=TH!F574),"x","")</f>
        <v/>
      </c>
      <c r="AF574" s="66" t="str">
        <f>IF(AND(OR(LEFT(TH!N574,2)="15",LEFT(TH!O574,2)="15"),'THE KHO'!$E$7=TH!F574),"x","")</f>
        <v/>
      </c>
      <c r="AG574" s="66" t="str">
        <f>IF(AND(N574="1521",MONTH(C574)='BK NL'!$M$11),"x","")</f>
        <v/>
      </c>
    </row>
    <row r="575" spans="1:33" ht="15.75" customHeight="1">
      <c r="A575" s="398" t="str">
        <f>IF(B575&lt;&gt;"",IF(AND(B575&gt;=_TM1,B575&lt;=_TM2,OR(TH!N575="1111",TH!O575="1111")),TH!D575,""),"")</f>
        <v/>
      </c>
      <c r="B575" s="63" t="str">
        <f t="shared" si="40"/>
        <v/>
      </c>
      <c r="C575" s="64"/>
      <c r="D575" s="64"/>
      <c r="E575" s="64"/>
      <c r="F575" s="67"/>
      <c r="G575" s="361"/>
      <c r="H575" s="74"/>
      <c r="I575" s="515"/>
      <c r="J575" s="515"/>
      <c r="K575" s="507"/>
      <c r="L575" s="515"/>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42"/>
        <v/>
      </c>
      <c r="AD575" s="66" t="str">
        <f>IF(AND(MONTH(E575)&lt;='IN-NX'!$P$3,'IN-NX'!$D$7=D575,OR(LEFT(TH!N575,2)="15",LEFT(TH!O575,2)="15")),"x","")</f>
        <v/>
      </c>
      <c r="AE575" s="66" t="str">
        <f>IF(AND(OR(LEFT(TH!N575,2)="15",LEFT(TH!O575,2)="15"),'152-CT'!$J$8=TH!F575),"x","")</f>
        <v/>
      </c>
      <c r="AF575" s="66" t="str">
        <f>IF(AND(OR(LEFT(TH!N575,2)="15",LEFT(TH!O575,2)="15"),'THE KHO'!$E$7=TH!F575),"x","")</f>
        <v/>
      </c>
      <c r="AG575" s="66" t="str">
        <f>IF(AND(N575="1521",MONTH(C575)='BK NL'!$M$11),"x","")</f>
        <v/>
      </c>
    </row>
    <row r="576" spans="1:33" s="411" customFormat="1" ht="15.75" customHeight="1">
      <c r="A576" s="398" t="str">
        <f>IF(B576&lt;&gt;"",IF(AND(B576&gt;=_TM1,B576&lt;=_TM2,OR(TH!N576="1111",TH!O576="1111")),TH!D576,""),"")</f>
        <v/>
      </c>
      <c r="B576" s="63" t="str">
        <f t="shared" si="40"/>
        <v/>
      </c>
      <c r="C576" s="64"/>
      <c r="D576" s="64"/>
      <c r="E576" s="64"/>
      <c r="F576" s="67"/>
      <c r="G576" s="375"/>
      <c r="H576" s="74"/>
      <c r="I576" s="515"/>
      <c r="J576" s="515"/>
      <c r="K576" s="507"/>
      <c r="L576" s="515"/>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42"/>
        <v/>
      </c>
      <c r="AD576" s="66" t="str">
        <f>IF(AND(MONTH(E576)&lt;='IN-NX'!$P$3,'IN-NX'!$D$7=D576,OR(LEFT(TH!N576,2)="15",LEFT(TH!O576,2)="15")),"x","")</f>
        <v/>
      </c>
      <c r="AE576" s="66" t="str">
        <f>IF(AND(OR(LEFT(TH!N576,2)="15",LEFT(TH!O576,2)="15"),'152-CT'!$J$8=TH!F576),"x","")</f>
        <v/>
      </c>
      <c r="AF576" s="66" t="str">
        <f>IF(AND(OR(LEFT(TH!N576,2)="15",LEFT(TH!O576,2)="15"),'THE KHO'!$E$7=TH!F576),"x","")</f>
        <v/>
      </c>
      <c r="AG576" s="66" t="str">
        <f>IF(AND(N576="1521",MONTH(C576)='BK NL'!$M$11),"x","")</f>
        <v/>
      </c>
    </row>
    <row r="577" spans="1:33" ht="15.75" customHeight="1">
      <c r="A577" s="398" t="str">
        <f>IF(B577&lt;&gt;"",IF(AND(B577&gt;=_TM1,B577&lt;=_TM2,OR(TH!N577="1111",TH!O577="1111")),TH!D577,""),"")</f>
        <v/>
      </c>
      <c r="B577" s="63" t="str">
        <f t="shared" si="40"/>
        <v/>
      </c>
      <c r="C577" s="64"/>
      <c r="D577" s="64"/>
      <c r="E577" s="64"/>
      <c r="F577" s="67"/>
      <c r="G577" s="375"/>
      <c r="H577" s="74"/>
      <c r="I577" s="515"/>
      <c r="J577" s="515"/>
      <c r="K577" s="507"/>
      <c r="L577" s="515"/>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42"/>
        <v/>
      </c>
      <c r="AD577" s="66" t="str">
        <f>IF(AND(MONTH(E577)&lt;='IN-NX'!$P$3,'IN-NX'!$D$7=D577,OR(LEFT(TH!N577,2)="15",LEFT(TH!O577,2)="15")),"x","")</f>
        <v/>
      </c>
      <c r="AE577" s="66" t="str">
        <f>IF(AND(OR(LEFT(TH!N577,2)="15",LEFT(TH!O577,2)="15"),'152-CT'!$J$8=TH!F577),"x","")</f>
        <v/>
      </c>
      <c r="AF577" s="66" t="str">
        <f>IF(AND(OR(LEFT(TH!N577,2)="15",LEFT(TH!O577,2)="15"),'THE KHO'!$E$7=TH!F577),"x","")</f>
        <v/>
      </c>
      <c r="AG577" s="66" t="str">
        <f>IF(AND(N577="1521",MONTH(C577)='BK NL'!$M$11),"x","")</f>
        <v/>
      </c>
    </row>
    <row r="578" spans="1:33" ht="15.75" customHeight="1">
      <c r="A578" s="398" t="str">
        <f>IF(B578&lt;&gt;"",IF(AND(B578&gt;=_TM1,B578&lt;=_TM2,OR(TH!N578="1111",TH!O578="1111")),TH!D578,""),"")</f>
        <v/>
      </c>
      <c r="B578" s="63" t="str">
        <f t="shared" si="40"/>
        <v/>
      </c>
      <c r="C578" s="64"/>
      <c r="D578" s="64"/>
      <c r="E578" s="64"/>
      <c r="F578" s="67"/>
      <c r="G578" s="361"/>
      <c r="H578" s="74"/>
      <c r="I578" s="515"/>
      <c r="J578" s="515"/>
      <c r="K578" s="507"/>
      <c r="L578" s="515"/>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42"/>
        <v/>
      </c>
      <c r="AD578" s="66" t="str">
        <f>IF(AND(MONTH(E578)&lt;='IN-NX'!$P$3,'IN-NX'!$D$7=D578,OR(LEFT(TH!N578,2)="15",LEFT(TH!O578,2)="15")),"x","")</f>
        <v/>
      </c>
      <c r="AE578" s="66" t="str">
        <f>IF(AND(OR(LEFT(TH!N578,2)="15",LEFT(TH!O578,2)="15"),'152-CT'!$J$8=TH!F578),"x","")</f>
        <v/>
      </c>
      <c r="AF578" s="66" t="str">
        <f>IF(AND(OR(LEFT(TH!N578,2)="15",LEFT(TH!O578,2)="15"),'THE KHO'!$E$7=TH!F578),"x","")</f>
        <v/>
      </c>
      <c r="AG578" s="66" t="str">
        <f>IF(AND(N578="1521",MONTH(C578)='BK NL'!$M$11),"x","")</f>
        <v/>
      </c>
    </row>
    <row r="579" spans="1:33" ht="15.75" customHeight="1">
      <c r="A579" s="398" t="str">
        <f>IF(B579&lt;&gt;"",IF(AND(B579&gt;=_TM1,B579&lt;=_TM2,OR(TH!N579="1111",TH!O579="1111")),TH!D579,""),"")</f>
        <v/>
      </c>
      <c r="B579" s="63" t="str">
        <f t="shared" si="40"/>
        <v/>
      </c>
      <c r="C579" s="64"/>
      <c r="D579" s="64"/>
      <c r="E579" s="64"/>
      <c r="F579" s="67"/>
      <c r="G579" s="361"/>
      <c r="H579" s="74"/>
      <c r="I579" s="515"/>
      <c r="J579" s="515"/>
      <c r="K579" s="507"/>
      <c r="L579" s="515"/>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42"/>
        <v/>
      </c>
      <c r="AD579" s="66" t="str">
        <f>IF(AND(MONTH(E579)&lt;='IN-NX'!$P$3,'IN-NX'!$D$7=D579,OR(LEFT(TH!N579,2)="15",LEFT(TH!O579,2)="15")),"x","")</f>
        <v/>
      </c>
      <c r="AE579" s="66" t="str">
        <f>IF(AND(OR(LEFT(TH!N579,2)="15",LEFT(TH!O579,2)="15"),'152-CT'!$J$8=TH!F579),"x","")</f>
        <v/>
      </c>
      <c r="AF579" s="66" t="str">
        <f>IF(AND(OR(LEFT(TH!N579,2)="15",LEFT(TH!O579,2)="15"),'THE KHO'!$E$7=TH!F579),"x","")</f>
        <v/>
      </c>
      <c r="AG579" s="66" t="str">
        <f>IF(AND(N579="1521",MONTH(C579)='BK NL'!$M$11),"x","")</f>
        <v/>
      </c>
    </row>
    <row r="580" spans="1:33" ht="15.75" customHeight="1">
      <c r="A580" s="398" t="str">
        <f>IF(B580&lt;&gt;"",IF(AND(B580&gt;=_TM1,B580&lt;=_TM2,OR(TH!N580="1111",TH!O580="1111")),TH!D580,""),"")</f>
        <v/>
      </c>
      <c r="B580" s="63" t="str">
        <f t="shared" si="40"/>
        <v/>
      </c>
      <c r="C580" s="64"/>
      <c r="D580" s="64"/>
      <c r="E580" s="64"/>
      <c r="F580" s="67"/>
      <c r="G580" s="361"/>
      <c r="H580" s="74"/>
      <c r="I580" s="515"/>
      <c r="J580" s="515"/>
      <c r="K580" s="507"/>
      <c r="L580" s="515"/>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42"/>
        <v/>
      </c>
      <c r="AD580" s="66" t="str">
        <f>IF(AND(MONTH(E580)&lt;='IN-NX'!$P$3,'IN-NX'!$D$7=D580,OR(LEFT(TH!N580,2)="15",LEFT(TH!O580,2)="15")),"x","")</f>
        <v/>
      </c>
      <c r="AE580" s="66" t="str">
        <f>IF(AND(OR(LEFT(TH!N580,2)="15",LEFT(TH!O580,2)="15"),'152-CT'!$J$8=TH!F580),"x","")</f>
        <v/>
      </c>
      <c r="AF580" s="66" t="str">
        <f>IF(AND(OR(LEFT(TH!N580,2)="15",LEFT(TH!O580,2)="15"),'THE KHO'!$E$7=TH!F580),"x","")</f>
        <v/>
      </c>
      <c r="AG580" s="66" t="str">
        <f>IF(AND(N580="1521",MONTH(C580)='BK NL'!$M$11),"x","")</f>
        <v/>
      </c>
    </row>
    <row r="581" spans="1:33" ht="15.75" customHeight="1">
      <c r="A581" s="398" t="str">
        <f>IF(B581&lt;&gt;"",IF(AND(B581&gt;=_TM1,B581&lt;=_TM2,OR(TH!N581="1111",TH!O581="1111")),TH!D581,""),"")</f>
        <v/>
      </c>
      <c r="B581" s="63" t="str">
        <f t="shared" si="40"/>
        <v/>
      </c>
      <c r="C581" s="64"/>
      <c r="D581" s="64"/>
      <c r="E581" s="64"/>
      <c r="F581" s="67"/>
      <c r="G581" s="375"/>
      <c r="H581" s="74"/>
      <c r="I581" s="515"/>
      <c r="J581" s="515"/>
      <c r="K581" s="507"/>
      <c r="L581" s="515"/>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42"/>
        <v/>
      </c>
      <c r="AD581" s="66" t="str">
        <f>IF(AND(MONTH(E581)&lt;='IN-NX'!$P$3,'IN-NX'!$D$7=D581,OR(LEFT(TH!N581,2)="15",LEFT(TH!O581,2)="15")),"x","")</f>
        <v/>
      </c>
      <c r="AE581" s="66" t="str">
        <f>IF(AND(OR(LEFT(TH!N581,2)="15",LEFT(TH!O581,2)="15"),'152-CT'!$J$8=TH!F581),"x","")</f>
        <v/>
      </c>
      <c r="AF581" s="66" t="str">
        <f>IF(AND(OR(LEFT(TH!N581,2)="15",LEFT(TH!O581,2)="15"),'THE KHO'!$E$7=TH!F581),"x","")</f>
        <v/>
      </c>
      <c r="AG581" s="66" t="str">
        <f>IF(AND(N581="1521",MONTH(C581)='BK NL'!$M$11),"x","")</f>
        <v/>
      </c>
    </row>
    <row r="582" spans="1:33" ht="15.75" customHeight="1">
      <c r="A582" s="398" t="str">
        <f>IF(B582&lt;&gt;"",IF(AND(B582&gt;=_TM1,B582&lt;=_TM2,OR(TH!N582="1111",TH!O582="1111")),TH!D582,""),"")</f>
        <v/>
      </c>
      <c r="B582" s="63" t="str">
        <f t="shared" si="40"/>
        <v/>
      </c>
      <c r="C582" s="64"/>
      <c r="D582" s="64"/>
      <c r="E582" s="64"/>
      <c r="F582" s="67"/>
      <c r="G582" s="375"/>
      <c r="H582" s="74"/>
      <c r="I582" s="515"/>
      <c r="J582" s="515"/>
      <c r="K582" s="507"/>
      <c r="L582" s="515"/>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42"/>
        <v/>
      </c>
      <c r="AD582" s="66" t="str">
        <f>IF(AND(MONTH(E582)&lt;='IN-NX'!$P$3,'IN-NX'!$D$7=D582,OR(LEFT(TH!N582,2)="15",LEFT(TH!O582,2)="15")),"x","")</f>
        <v/>
      </c>
      <c r="AE582" s="66" t="str">
        <f>IF(AND(OR(LEFT(TH!N582,2)="15",LEFT(TH!O582,2)="15"),'152-CT'!$J$8=TH!F582),"x","")</f>
        <v/>
      </c>
      <c r="AF582" s="66" t="str">
        <f>IF(AND(OR(LEFT(TH!N582,2)="15",LEFT(TH!O582,2)="15"),'THE KHO'!$E$7=TH!F582),"x","")</f>
        <v/>
      </c>
      <c r="AG582" s="66" t="str">
        <f>IF(AND(N582="1521",MONTH(C582)='BK NL'!$M$11),"x","")</f>
        <v/>
      </c>
    </row>
    <row r="583" spans="1:33" ht="15.75" customHeight="1">
      <c r="A583" s="398" t="str">
        <f>IF(B583&lt;&gt;"",IF(AND(B583&gt;=_TM1,B583&lt;=_TM2,OR(TH!N583="1111",TH!O583="1111")),TH!D583,""),"")</f>
        <v/>
      </c>
      <c r="B583" s="63" t="str">
        <f t="shared" si="40"/>
        <v/>
      </c>
      <c r="C583" s="64"/>
      <c r="D583" s="64"/>
      <c r="E583" s="64"/>
      <c r="F583" s="67"/>
      <c r="G583" s="375"/>
      <c r="H583" s="74"/>
      <c r="I583" s="515"/>
      <c r="J583" s="515"/>
      <c r="K583" s="507"/>
      <c r="L583" s="515"/>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42"/>
        <v/>
      </c>
      <c r="AD583" s="66" t="str">
        <f>IF(AND(MONTH(E583)&lt;='IN-NX'!$P$3,'IN-NX'!$D$7=D583,OR(LEFT(TH!N583,2)="15",LEFT(TH!O583,2)="15")),"x","")</f>
        <v/>
      </c>
      <c r="AE583" s="66" t="str">
        <f>IF(AND(OR(LEFT(TH!N583,2)="15",LEFT(TH!O583,2)="15"),'152-CT'!$J$8=TH!F583),"x","")</f>
        <v/>
      </c>
      <c r="AF583" s="66" t="str">
        <f>IF(AND(OR(LEFT(TH!N583,2)="15",LEFT(TH!O583,2)="15"),'THE KHO'!$E$7=TH!F583),"x","")</f>
        <v/>
      </c>
      <c r="AG583" s="66" t="str">
        <f>IF(AND(N583="1521",MONTH(C583)='BK NL'!$M$11),"x","")</f>
        <v/>
      </c>
    </row>
    <row r="584" spans="1:33" ht="15.75" customHeight="1">
      <c r="A584" s="398" t="str">
        <f>IF(B584&lt;&gt;"",IF(AND(B584&gt;=_TM1,B584&lt;=_TM2,OR(TH!N584="1111",TH!O584="1111")),TH!D584,""),"")</f>
        <v/>
      </c>
      <c r="B584" s="63" t="str">
        <f t="shared" ref="B584:B647" si="43">IF(C584&lt;&gt;"",MONTH(C584),"")</f>
        <v/>
      </c>
      <c r="C584" s="64"/>
      <c r="D584" s="64"/>
      <c r="E584" s="64"/>
      <c r="F584" s="67"/>
      <c r="G584" s="375"/>
      <c r="H584" s="74"/>
      <c r="I584" s="515"/>
      <c r="J584" s="515"/>
      <c r="K584" s="507"/>
      <c r="L584" s="515"/>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42"/>
        <v/>
      </c>
      <c r="AD584" s="66" t="str">
        <f>IF(AND(MONTH(E584)&lt;='IN-NX'!$P$3,'IN-NX'!$D$7=D584,OR(LEFT(TH!N584,2)="15",LEFT(TH!O584,2)="15")),"x","")</f>
        <v/>
      </c>
      <c r="AE584" s="66" t="str">
        <f>IF(AND(OR(LEFT(TH!N584,2)="15",LEFT(TH!O584,2)="15"),'152-CT'!$J$8=TH!F584),"x","")</f>
        <v/>
      </c>
      <c r="AF584" s="66" t="str">
        <f>IF(AND(OR(LEFT(TH!N584,2)="15",LEFT(TH!O584,2)="15"),'THE KHO'!$E$7=TH!F584),"x","")</f>
        <v/>
      </c>
      <c r="AG584" s="66" t="str">
        <f>IF(AND(N584="1521",MONTH(C584)='BK NL'!$M$11),"x","")</f>
        <v/>
      </c>
    </row>
    <row r="585" spans="1:33" ht="15.75" customHeight="1">
      <c r="A585" s="398" t="str">
        <f>IF(B585&lt;&gt;"",IF(AND(B585&gt;=_TM1,B585&lt;=_TM2,OR(TH!N585="1111",TH!O585="1111")),TH!D585,""),"")</f>
        <v/>
      </c>
      <c r="B585" s="63" t="str">
        <f t="shared" si="43"/>
        <v/>
      </c>
      <c r="C585" s="64"/>
      <c r="D585" s="64"/>
      <c r="E585" s="64"/>
      <c r="F585" s="67"/>
      <c r="G585" s="361"/>
      <c r="H585" s="74"/>
      <c r="I585" s="515"/>
      <c r="J585" s="515"/>
      <c r="K585" s="507"/>
      <c r="L585" s="515"/>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42"/>
        <v/>
      </c>
      <c r="AD585" s="66" t="str">
        <f>IF(AND(MONTH(E585)&lt;='IN-NX'!$P$3,'IN-NX'!$D$7=D585,OR(LEFT(TH!N585,2)="15",LEFT(TH!O585,2)="15")),"x","")</f>
        <v/>
      </c>
      <c r="AE585" s="66" t="str">
        <f>IF(AND(OR(LEFT(TH!N585,2)="15",LEFT(TH!O585,2)="15"),'152-CT'!$J$8=TH!F585),"x","")</f>
        <v/>
      </c>
      <c r="AF585" s="66" t="str">
        <f>IF(AND(OR(LEFT(TH!N585,2)="15",LEFT(TH!O585,2)="15"),'THE KHO'!$E$7=TH!F585),"x","")</f>
        <v/>
      </c>
      <c r="AG585" s="66" t="str">
        <f>IF(AND(N585="1521",MONTH(C585)='BK NL'!$M$11),"x","")</f>
        <v/>
      </c>
    </row>
    <row r="586" spans="1:33" ht="15.75" customHeight="1">
      <c r="A586" s="398" t="str">
        <f>IF(B586&lt;&gt;"",IF(AND(B586&gt;=_TM1,B586&lt;=_TM2,OR(TH!N586="1111",TH!O586="1111")),TH!D586,""),"")</f>
        <v/>
      </c>
      <c r="B586" s="63" t="str">
        <f t="shared" si="43"/>
        <v/>
      </c>
      <c r="C586" s="64"/>
      <c r="D586" s="64"/>
      <c r="E586" s="64"/>
      <c r="F586" s="67"/>
      <c r="G586" s="361"/>
      <c r="H586" s="74"/>
      <c r="I586" s="515"/>
      <c r="J586" s="515"/>
      <c r="K586" s="507"/>
      <c r="L586" s="515"/>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42"/>
        <v/>
      </c>
      <c r="AD586" s="66" t="str">
        <f>IF(AND(MONTH(E586)&lt;='IN-NX'!$P$3,'IN-NX'!$D$7=D586,OR(LEFT(TH!N586,2)="15",LEFT(TH!O586,2)="15")),"x","")</f>
        <v/>
      </c>
      <c r="AE586" s="66" t="str">
        <f>IF(AND(OR(LEFT(TH!N586,2)="15",LEFT(TH!O586,2)="15"),'152-CT'!$J$8=TH!F586),"x","")</f>
        <v/>
      </c>
      <c r="AF586" s="66" t="str">
        <f>IF(AND(OR(LEFT(TH!N586,2)="15",LEFT(TH!O586,2)="15"),'THE KHO'!$E$7=TH!F586),"x","")</f>
        <v/>
      </c>
      <c r="AG586" s="66" t="str">
        <f>IF(AND(N586="1521",MONTH(C586)='BK NL'!$M$11),"x","")</f>
        <v/>
      </c>
    </row>
    <row r="587" spans="1:33" ht="15.75" customHeight="1">
      <c r="A587" s="398" t="str">
        <f>IF(B587&lt;&gt;"",IF(AND(B587&gt;=_TM1,B587&lt;=_TM2,OR(TH!N587="1111",TH!O587="1111")),TH!D587,""),"")</f>
        <v/>
      </c>
      <c r="B587" s="63" t="str">
        <f t="shared" si="43"/>
        <v/>
      </c>
      <c r="C587" s="64"/>
      <c r="D587" s="64"/>
      <c r="E587" s="64"/>
      <c r="F587" s="67"/>
      <c r="G587" s="361"/>
      <c r="H587" s="74"/>
      <c r="I587" s="515"/>
      <c r="J587" s="515"/>
      <c r="K587" s="507"/>
      <c r="L587" s="515"/>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42"/>
        <v/>
      </c>
      <c r="AD587" s="66" t="str">
        <f>IF(AND(MONTH(E587)&lt;='IN-NX'!$P$3,'IN-NX'!$D$7=D587,OR(LEFT(TH!N587,2)="15",LEFT(TH!O587,2)="15")),"x","")</f>
        <v/>
      </c>
      <c r="AE587" s="66" t="str">
        <f>IF(AND(OR(LEFT(TH!N587,2)="15",LEFT(TH!O587,2)="15"),'152-CT'!$J$8=TH!F587),"x","")</f>
        <v/>
      </c>
      <c r="AF587" s="66" t="str">
        <f>IF(AND(OR(LEFT(TH!N587,2)="15",LEFT(TH!O587,2)="15"),'THE KHO'!$E$7=TH!F587),"x","")</f>
        <v/>
      </c>
      <c r="AG587" s="66" t="str">
        <f>IF(AND(N587="1521",MONTH(C587)='BK NL'!$M$11),"x","")</f>
        <v/>
      </c>
    </row>
    <row r="588" spans="1:33" ht="15.75" customHeight="1">
      <c r="A588" s="398" t="str">
        <f>IF(B588&lt;&gt;"",IF(AND(B588&gt;=_TM1,B588&lt;=_TM2,OR(TH!N588="1111",TH!O588="1111")),TH!D588,""),"")</f>
        <v/>
      </c>
      <c r="B588" s="63" t="str">
        <f t="shared" si="43"/>
        <v/>
      </c>
      <c r="C588" s="64"/>
      <c r="D588" s="64"/>
      <c r="E588" s="64"/>
      <c r="F588" s="67"/>
      <c r="G588" s="375"/>
      <c r="H588" s="74"/>
      <c r="I588" s="515"/>
      <c r="J588" s="515"/>
      <c r="K588" s="507"/>
      <c r="L588" s="515"/>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42"/>
        <v/>
      </c>
      <c r="AD588" s="66" t="str">
        <f>IF(AND(MONTH(E588)&lt;='IN-NX'!$P$3,'IN-NX'!$D$7=D588,OR(LEFT(TH!N588,2)="15",LEFT(TH!O588,2)="15")),"x","")</f>
        <v/>
      </c>
      <c r="AE588" s="66" t="str">
        <f>IF(AND(OR(LEFT(TH!N588,2)="15",LEFT(TH!O588,2)="15"),'152-CT'!$J$8=TH!F588),"x","")</f>
        <v/>
      </c>
      <c r="AF588" s="66" t="str">
        <f>IF(AND(OR(LEFT(TH!N588,2)="15",LEFT(TH!O588,2)="15"),'THE KHO'!$E$7=TH!F588),"x","")</f>
        <v/>
      </c>
      <c r="AG588" s="66" t="str">
        <f>IF(AND(N588="1521",MONTH(C588)='BK NL'!$M$11),"x","")</f>
        <v/>
      </c>
    </row>
    <row r="589" spans="1:33" ht="15.75" customHeight="1">
      <c r="A589" s="398" t="str">
        <f>IF(B589&lt;&gt;"",IF(AND(B589&gt;=_TM1,B589&lt;=_TM2,OR(TH!N589="1111",TH!O589="1111")),TH!D589,""),"")</f>
        <v/>
      </c>
      <c r="B589" s="63" t="str">
        <f t="shared" si="43"/>
        <v/>
      </c>
      <c r="C589" s="64"/>
      <c r="D589" s="64"/>
      <c r="E589" s="64"/>
      <c r="F589" s="67"/>
      <c r="G589" s="375"/>
      <c r="H589" s="74"/>
      <c r="I589" s="515"/>
      <c r="J589" s="515"/>
      <c r="K589" s="507"/>
      <c r="L589" s="515"/>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42"/>
        <v/>
      </c>
      <c r="AD589" s="66" t="str">
        <f>IF(AND(MONTH(E589)&lt;='IN-NX'!$P$3,'IN-NX'!$D$7=D589,OR(LEFT(TH!N589,2)="15",LEFT(TH!O589,2)="15")),"x","")</f>
        <v/>
      </c>
      <c r="AE589" s="66" t="str">
        <f>IF(AND(OR(LEFT(TH!N589,2)="15",LEFT(TH!O589,2)="15"),'152-CT'!$J$8=TH!F589),"x","")</f>
        <v/>
      </c>
      <c r="AF589" s="66" t="str">
        <f>IF(AND(OR(LEFT(TH!N589,2)="15",LEFT(TH!O589,2)="15"),'THE KHO'!$E$7=TH!F589),"x","")</f>
        <v/>
      </c>
      <c r="AG589" s="66" t="str">
        <f>IF(AND(N589="1521",MONTH(C589)='BK NL'!$M$11),"x","")</f>
        <v/>
      </c>
    </row>
    <row r="590" spans="1:33" ht="15.75" customHeight="1">
      <c r="A590" s="398" t="str">
        <f>IF(B590&lt;&gt;"",IF(AND(B590&gt;=_TM1,B590&lt;=_TM2,OR(TH!N590="1111",TH!O590="1111")),TH!D590,""),"")</f>
        <v/>
      </c>
      <c r="B590" s="63" t="str">
        <f t="shared" si="43"/>
        <v/>
      </c>
      <c r="C590" s="64"/>
      <c r="D590" s="64"/>
      <c r="E590" s="64"/>
      <c r="F590" s="67"/>
      <c r="G590" s="375"/>
      <c r="H590" s="74"/>
      <c r="I590" s="515"/>
      <c r="J590" s="515"/>
      <c r="K590" s="507"/>
      <c r="L590" s="515"/>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42"/>
        <v/>
      </c>
      <c r="AD590" s="66" t="str">
        <f>IF(AND(MONTH(E590)&lt;='IN-NX'!$P$3,'IN-NX'!$D$7=D590,OR(LEFT(TH!N590,2)="15",LEFT(TH!O590,2)="15")),"x","")</f>
        <v/>
      </c>
      <c r="AE590" s="66" t="str">
        <f>IF(AND(OR(LEFT(TH!N590,2)="15",LEFT(TH!O590,2)="15"),'152-CT'!$J$8=TH!F590),"x","")</f>
        <v/>
      </c>
      <c r="AF590" s="66" t="str">
        <f>IF(AND(OR(LEFT(TH!N590,2)="15",LEFT(TH!O590,2)="15"),'THE KHO'!$E$7=TH!F590),"x","")</f>
        <v/>
      </c>
      <c r="AG590" s="66" t="str">
        <f>IF(AND(N590="1521",MONTH(C590)='BK NL'!$M$11),"x","")</f>
        <v/>
      </c>
    </row>
    <row r="591" spans="1:33" ht="15.75" customHeight="1">
      <c r="A591" s="398" t="str">
        <f>IF(B591&lt;&gt;"",IF(AND(B591&gt;=_TM1,B591&lt;=_TM2,OR(TH!N591="1111",TH!O591="1111")),TH!D591,""),"")</f>
        <v/>
      </c>
      <c r="B591" s="63" t="str">
        <f t="shared" si="43"/>
        <v/>
      </c>
      <c r="C591" s="64"/>
      <c r="D591" s="64"/>
      <c r="E591" s="64"/>
      <c r="F591" s="67"/>
      <c r="G591" s="375"/>
      <c r="H591" s="74"/>
      <c r="I591" s="515"/>
      <c r="J591" s="515"/>
      <c r="K591" s="507"/>
      <c r="L591" s="515"/>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42"/>
        <v/>
      </c>
      <c r="AD591" s="66" t="str">
        <f>IF(AND(MONTH(E591)&lt;='IN-NX'!$P$3,'IN-NX'!$D$7=D591,OR(LEFT(TH!N591,2)="15",LEFT(TH!O591,2)="15")),"x","")</f>
        <v/>
      </c>
      <c r="AE591" s="66" t="str">
        <f>IF(AND(OR(LEFT(TH!N591,2)="15",LEFT(TH!O591,2)="15"),'152-CT'!$J$8=TH!F591),"x","")</f>
        <v/>
      </c>
      <c r="AF591" s="66" t="str">
        <f>IF(AND(OR(LEFT(TH!N591,2)="15",LEFT(TH!O591,2)="15"),'THE KHO'!$E$7=TH!F591),"x","")</f>
        <v/>
      </c>
      <c r="AG591" s="66" t="str">
        <f>IF(AND(N591="1521",MONTH(C591)='BK NL'!$M$11),"x","")</f>
        <v/>
      </c>
    </row>
    <row r="592" spans="1:33" ht="15.75" customHeight="1">
      <c r="A592" s="398" t="str">
        <f>IF(B592&lt;&gt;"",IF(AND(B592&gt;=_TM1,B592&lt;=_TM2,OR(TH!N592="1111",TH!O592="1111")),TH!D592,""),"")</f>
        <v/>
      </c>
      <c r="B592" s="63" t="str">
        <f t="shared" si="43"/>
        <v/>
      </c>
      <c r="C592" s="64"/>
      <c r="D592" s="64"/>
      <c r="E592" s="64"/>
      <c r="F592" s="67"/>
      <c r="G592" s="361"/>
      <c r="H592" s="74"/>
      <c r="I592" s="515"/>
      <c r="J592" s="515"/>
      <c r="K592" s="507"/>
      <c r="L592" s="515"/>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42"/>
        <v/>
      </c>
      <c r="AD592" s="66" t="str">
        <f>IF(AND(MONTH(E592)&lt;='IN-NX'!$P$3,'IN-NX'!$D$7=D592,OR(LEFT(TH!N592,2)="15",LEFT(TH!O592,2)="15")),"x","")</f>
        <v/>
      </c>
      <c r="AE592" s="66" t="str">
        <f>IF(AND(OR(LEFT(TH!N592,2)="15",LEFT(TH!O592,2)="15"),'152-CT'!$J$8=TH!F592),"x","")</f>
        <v/>
      </c>
      <c r="AF592" s="66" t="str">
        <f>IF(AND(OR(LEFT(TH!N592,2)="15",LEFT(TH!O592,2)="15"),'THE KHO'!$E$7=TH!F592),"x","")</f>
        <v/>
      </c>
      <c r="AG592" s="66" t="str">
        <f>IF(AND(N592="1521",MONTH(C592)='BK NL'!$M$11),"x","")</f>
        <v/>
      </c>
    </row>
    <row r="593" spans="1:33" ht="15.75" customHeight="1">
      <c r="A593" s="398" t="str">
        <f>IF(B593&lt;&gt;"",IF(AND(B593&gt;=_TM1,B593&lt;=_TM2,OR(TH!N593="1111",TH!O593="1111")),TH!D593,""),"")</f>
        <v/>
      </c>
      <c r="B593" s="63" t="str">
        <f t="shared" si="43"/>
        <v/>
      </c>
      <c r="C593" s="64"/>
      <c r="D593" s="64"/>
      <c r="E593" s="64"/>
      <c r="F593" s="67"/>
      <c r="G593" s="361"/>
      <c r="H593" s="74"/>
      <c r="I593" s="515"/>
      <c r="J593" s="515"/>
      <c r="K593" s="507"/>
      <c r="L593" s="515"/>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42"/>
        <v/>
      </c>
      <c r="AD593" s="66" t="str">
        <f>IF(AND(MONTH(E593)&lt;='IN-NX'!$P$3,'IN-NX'!$D$7=D593,OR(LEFT(TH!N593,2)="15",LEFT(TH!O593,2)="15")),"x","")</f>
        <v/>
      </c>
      <c r="AE593" s="66" t="str">
        <f>IF(AND(OR(LEFT(TH!N593,2)="15",LEFT(TH!O593,2)="15"),'152-CT'!$J$8=TH!F593),"x","")</f>
        <v/>
      </c>
      <c r="AF593" s="66" t="str">
        <f>IF(AND(OR(LEFT(TH!N593,2)="15",LEFT(TH!O593,2)="15"),'THE KHO'!$E$7=TH!F593),"x","")</f>
        <v/>
      </c>
      <c r="AG593" s="66" t="str">
        <f>IF(AND(N593="1521",MONTH(C593)='BK NL'!$M$11),"x","")</f>
        <v/>
      </c>
    </row>
    <row r="594" spans="1:33" ht="15.75" customHeight="1">
      <c r="A594" s="398" t="str">
        <f>IF(B594&lt;&gt;"",IF(AND(B594&gt;=_TM1,B594&lt;=_TM2,OR(TH!N594="1111",TH!O594="1111")),TH!D594,""),"")</f>
        <v/>
      </c>
      <c r="B594" s="63" t="str">
        <f t="shared" si="43"/>
        <v/>
      </c>
      <c r="C594" s="64"/>
      <c r="D594" s="64"/>
      <c r="E594" s="64"/>
      <c r="F594" s="67"/>
      <c r="G594" s="361"/>
      <c r="H594" s="74"/>
      <c r="I594" s="515"/>
      <c r="J594" s="515"/>
      <c r="K594" s="507"/>
      <c r="L594" s="515"/>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42"/>
        <v/>
      </c>
      <c r="AD594" s="66" t="str">
        <f>IF(AND(MONTH(E594)&lt;='IN-NX'!$P$3,'IN-NX'!$D$7=D594,OR(LEFT(TH!N594,2)="15",LEFT(TH!O594,2)="15")),"x","")</f>
        <v/>
      </c>
      <c r="AE594" s="66" t="str">
        <f>IF(AND(OR(LEFT(TH!N594,2)="15",LEFT(TH!O594,2)="15"),'152-CT'!$J$8=TH!F594),"x","")</f>
        <v/>
      </c>
      <c r="AF594" s="66" t="str">
        <f>IF(AND(OR(LEFT(TH!N594,2)="15",LEFT(TH!O594,2)="15"),'THE KHO'!$E$7=TH!F594),"x","")</f>
        <v/>
      </c>
      <c r="AG594" s="66" t="str">
        <f>IF(AND(N594="1521",MONTH(C594)='BK NL'!$M$11),"x","")</f>
        <v/>
      </c>
    </row>
    <row r="595" spans="1:33" ht="15.75" customHeight="1">
      <c r="A595" s="398" t="str">
        <f>IF(B595&lt;&gt;"",IF(AND(B595&gt;=_TM1,B595&lt;=_TM2,OR(TH!N595="1111",TH!O595="1111")),TH!D595,""),"")</f>
        <v/>
      </c>
      <c r="B595" s="63" t="str">
        <f t="shared" si="43"/>
        <v/>
      </c>
      <c r="C595" s="64"/>
      <c r="D595" s="64"/>
      <c r="E595" s="64"/>
      <c r="F595" s="67"/>
      <c r="G595" s="361"/>
      <c r="H595" s="74"/>
      <c r="I595" s="515"/>
      <c r="J595" s="515"/>
      <c r="K595" s="507"/>
      <c r="L595" s="515"/>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42"/>
        <v/>
      </c>
      <c r="AD595" s="66" t="str">
        <f>IF(AND(MONTH(E595)&lt;='IN-NX'!$P$3,'IN-NX'!$D$7=D595,OR(LEFT(TH!N595,2)="15",LEFT(TH!O595,2)="15")),"x","")</f>
        <v/>
      </c>
      <c r="AE595" s="66" t="str">
        <f>IF(AND(OR(LEFT(TH!N595,2)="15",LEFT(TH!O595,2)="15"),'152-CT'!$J$8=TH!F595),"x","")</f>
        <v/>
      </c>
      <c r="AF595" s="66" t="str">
        <f>IF(AND(OR(LEFT(TH!N595,2)="15",LEFT(TH!O595,2)="15"),'THE KHO'!$E$7=TH!F595),"x","")</f>
        <v/>
      </c>
      <c r="AG595" s="66" t="str">
        <f>IF(AND(N595="1521",MONTH(C595)='BK NL'!$M$11),"x","")</f>
        <v/>
      </c>
    </row>
    <row r="596" spans="1:33" ht="15.75" customHeight="1">
      <c r="A596" s="398" t="str">
        <f>IF(B596&lt;&gt;"",IF(AND(B596&gt;=_TM1,B596&lt;=_TM2,OR(TH!N596="1111",TH!O596="1111")),TH!D596,""),"")</f>
        <v/>
      </c>
      <c r="B596" s="63" t="str">
        <f t="shared" si="43"/>
        <v/>
      </c>
      <c r="C596" s="64"/>
      <c r="D596" s="64"/>
      <c r="E596" s="64"/>
      <c r="F596" s="67"/>
      <c r="G596" s="375"/>
      <c r="H596" s="74"/>
      <c r="I596" s="515"/>
      <c r="J596" s="515"/>
      <c r="K596" s="507"/>
      <c r="L596" s="515"/>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42"/>
        <v/>
      </c>
      <c r="AD596" s="66" t="str">
        <f>IF(AND(MONTH(E596)&lt;='IN-NX'!$P$3,'IN-NX'!$D$7=D596,OR(LEFT(TH!N596,2)="15",LEFT(TH!O596,2)="15")),"x","")</f>
        <v/>
      </c>
      <c r="AE596" s="66" t="str">
        <f>IF(AND(OR(LEFT(TH!N596,2)="15",LEFT(TH!O596,2)="15"),'152-CT'!$J$8=TH!F596),"x","")</f>
        <v/>
      </c>
      <c r="AF596" s="66" t="str">
        <f>IF(AND(OR(LEFT(TH!N596,2)="15",LEFT(TH!O596,2)="15"),'THE KHO'!$E$7=TH!F596),"x","")</f>
        <v/>
      </c>
      <c r="AG596" s="66" t="str">
        <f>IF(AND(N596="1521",MONTH(C596)='BK NL'!$M$11),"x","")</f>
        <v/>
      </c>
    </row>
    <row r="597" spans="1:33" ht="15.75" customHeight="1">
      <c r="A597" s="398" t="str">
        <f>IF(B597&lt;&gt;"",IF(AND(B597&gt;=_TM1,B597&lt;=_TM2,OR(TH!N597="1111",TH!O597="1111")),TH!D597,""),"")</f>
        <v/>
      </c>
      <c r="B597" s="63" t="str">
        <f t="shared" si="43"/>
        <v/>
      </c>
      <c r="C597" s="64"/>
      <c r="D597" s="64"/>
      <c r="E597" s="64"/>
      <c r="F597" s="67"/>
      <c r="G597" s="375"/>
      <c r="H597" s="74"/>
      <c r="I597" s="515"/>
      <c r="J597" s="515"/>
      <c r="K597" s="507"/>
      <c r="L597" s="515"/>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42"/>
        <v/>
      </c>
      <c r="AD597" s="66" t="str">
        <f>IF(AND(MONTH(E597)&lt;='IN-NX'!$P$3,'IN-NX'!$D$7=D597,OR(LEFT(TH!N597,2)="15",LEFT(TH!O597,2)="15")),"x","")</f>
        <v/>
      </c>
      <c r="AE597" s="66" t="str">
        <f>IF(AND(OR(LEFT(TH!N597,2)="15",LEFT(TH!O597,2)="15"),'152-CT'!$J$8=TH!F597),"x","")</f>
        <v/>
      </c>
      <c r="AF597" s="66" t="str">
        <f>IF(AND(OR(LEFT(TH!N597,2)="15",LEFT(TH!O597,2)="15"),'THE KHO'!$E$7=TH!F597),"x","")</f>
        <v/>
      </c>
      <c r="AG597" s="66" t="str">
        <f>IF(AND(N597="1521",MONTH(C597)='BK NL'!$M$11),"x","")</f>
        <v/>
      </c>
    </row>
    <row r="598" spans="1:33" ht="15.75" customHeight="1">
      <c r="A598" s="398" t="str">
        <f>IF(B598&lt;&gt;"",IF(AND(B598&gt;=_TM1,B598&lt;=_TM2,OR(TH!N598="1111",TH!O598="1111")),TH!D598,""),"")</f>
        <v/>
      </c>
      <c r="B598" s="63" t="str">
        <f t="shared" si="43"/>
        <v/>
      </c>
      <c r="C598" s="64"/>
      <c r="D598" s="64"/>
      <c r="E598" s="64"/>
      <c r="F598" s="67"/>
      <c r="G598" s="361"/>
      <c r="H598" s="74"/>
      <c r="I598" s="515"/>
      <c r="J598" s="515"/>
      <c r="K598" s="507"/>
      <c r="L598" s="515"/>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42"/>
        <v/>
      </c>
      <c r="AD598" s="66" t="str">
        <f>IF(AND(MONTH(E598)&lt;='IN-NX'!$P$3,'IN-NX'!$D$7=D598,OR(LEFT(TH!N598,2)="15",LEFT(TH!O598,2)="15")),"x","")</f>
        <v/>
      </c>
      <c r="AE598" s="66" t="str">
        <f>IF(AND(OR(LEFT(TH!N598,2)="15",LEFT(TH!O598,2)="15"),'152-CT'!$J$8=TH!F598),"x","")</f>
        <v/>
      </c>
      <c r="AF598" s="66" t="str">
        <f>IF(AND(OR(LEFT(TH!N598,2)="15",LEFT(TH!O598,2)="15"),'THE KHO'!$E$7=TH!F598),"x","")</f>
        <v/>
      </c>
      <c r="AG598" s="66" t="str">
        <f>IF(AND(N598="1521",MONTH(C598)='BK NL'!$M$11),"x","")</f>
        <v/>
      </c>
    </row>
    <row r="599" spans="1:33" ht="15.75" customHeight="1">
      <c r="A599" s="398" t="str">
        <f>IF(B599&lt;&gt;"",IF(AND(B599&gt;=_TM1,B599&lt;=_TM2,OR(TH!N599="1111",TH!O599="1111")),TH!D599,""),"")</f>
        <v/>
      </c>
      <c r="B599" s="63" t="str">
        <f t="shared" si="43"/>
        <v/>
      </c>
      <c r="C599" s="64"/>
      <c r="D599" s="64"/>
      <c r="E599" s="64"/>
      <c r="F599" s="67"/>
      <c r="G599" s="361"/>
      <c r="H599" s="74"/>
      <c r="I599" s="515"/>
      <c r="J599" s="515"/>
      <c r="K599" s="507"/>
      <c r="L599" s="515"/>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42"/>
        <v/>
      </c>
      <c r="AD599" s="66" t="str">
        <f>IF(AND(MONTH(E599)&lt;='IN-NX'!$P$3,'IN-NX'!$D$7=D599,OR(LEFT(TH!N599,2)="15",LEFT(TH!O599,2)="15")),"x","")</f>
        <v/>
      </c>
      <c r="AE599" s="66" t="str">
        <f>IF(AND(OR(LEFT(TH!N599,2)="15",LEFT(TH!O599,2)="15"),'152-CT'!$J$8=TH!F599),"x","")</f>
        <v/>
      </c>
      <c r="AF599" s="66" t="str">
        <f>IF(AND(OR(LEFT(TH!N599,2)="15",LEFT(TH!O599,2)="15"),'THE KHO'!$E$7=TH!F599),"x","")</f>
        <v/>
      </c>
      <c r="AG599" s="66" t="str">
        <f>IF(AND(N599="1521",MONTH(C599)='BK NL'!$M$11),"x","")</f>
        <v/>
      </c>
    </row>
    <row r="600" spans="1:33" ht="15.75" customHeight="1">
      <c r="A600" s="398" t="str">
        <f>IF(B600&lt;&gt;"",IF(AND(B600&gt;=_TM1,B600&lt;=_TM2,OR(TH!N600="1111",TH!O600="1111")),TH!D600,""),"")</f>
        <v/>
      </c>
      <c r="B600" s="63" t="str">
        <f t="shared" si="43"/>
        <v/>
      </c>
      <c r="C600" s="64"/>
      <c r="D600" s="64"/>
      <c r="E600" s="64"/>
      <c r="F600" s="67"/>
      <c r="G600" s="361"/>
      <c r="H600" s="74"/>
      <c r="I600" s="515"/>
      <c r="J600" s="515"/>
      <c r="K600" s="507"/>
      <c r="L600" s="515"/>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42"/>
        <v/>
      </c>
      <c r="AD600" s="66" t="str">
        <f>IF(AND(MONTH(E600)&lt;='IN-NX'!$P$3,'IN-NX'!$D$7=D600,OR(LEFT(TH!N600,2)="15",LEFT(TH!O600,2)="15")),"x","")</f>
        <v/>
      </c>
      <c r="AE600" s="66" t="str">
        <f>IF(AND(OR(LEFT(TH!N600,2)="15",LEFT(TH!O600,2)="15"),'152-CT'!$J$8=TH!F600),"x","")</f>
        <v/>
      </c>
      <c r="AF600" s="66" t="str">
        <f>IF(AND(OR(LEFT(TH!N600,2)="15",LEFT(TH!O600,2)="15"),'THE KHO'!$E$7=TH!F600),"x","")</f>
        <v/>
      </c>
      <c r="AG600" s="66" t="str">
        <f>IF(AND(N600="1521",MONTH(C600)='BK NL'!$M$11),"x","")</f>
        <v/>
      </c>
    </row>
    <row r="601" spans="1:33" ht="15.75" customHeight="1">
      <c r="A601" s="398" t="str">
        <f>IF(B601&lt;&gt;"",IF(AND(B601&gt;=_TM1,B601&lt;=_TM2,OR(TH!N601="1111",TH!O601="1111")),TH!D601,""),"")</f>
        <v/>
      </c>
      <c r="B601" s="63" t="str">
        <f t="shared" si="43"/>
        <v/>
      </c>
      <c r="C601" s="64"/>
      <c r="D601" s="64"/>
      <c r="E601" s="64"/>
      <c r="F601" s="67"/>
      <c r="G601" s="375"/>
      <c r="H601" s="74"/>
      <c r="I601" s="515"/>
      <c r="J601" s="515"/>
      <c r="K601" s="507"/>
      <c r="L601" s="515"/>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42"/>
        <v/>
      </c>
      <c r="AD601" s="66" t="str">
        <f>IF(AND(MONTH(E601)&lt;='IN-NX'!$P$3,'IN-NX'!$D$7=D601,OR(LEFT(TH!N601,2)="15",LEFT(TH!O601,2)="15")),"x","")</f>
        <v/>
      </c>
      <c r="AE601" s="66" t="str">
        <f>IF(AND(OR(LEFT(TH!N601,2)="15",LEFT(TH!O601,2)="15"),'152-CT'!$J$8=TH!F601),"x","")</f>
        <v/>
      </c>
      <c r="AF601" s="66" t="str">
        <f>IF(AND(OR(LEFT(TH!N601,2)="15",LEFT(TH!O601,2)="15"),'THE KHO'!$E$7=TH!F601),"x","")</f>
        <v/>
      </c>
      <c r="AG601" s="66" t="str">
        <f>IF(AND(N601="1521",MONTH(C601)='BK NL'!$M$11),"x","")</f>
        <v/>
      </c>
    </row>
    <row r="602" spans="1:33" ht="15.75" customHeight="1">
      <c r="A602" s="398" t="str">
        <f>IF(B602&lt;&gt;"",IF(AND(B602&gt;=_TM1,B602&lt;=_TM2,OR(TH!N602="1111",TH!O602="1111")),TH!D602,""),"")</f>
        <v/>
      </c>
      <c r="B602" s="63" t="str">
        <f t="shared" si="43"/>
        <v/>
      </c>
      <c r="C602" s="64"/>
      <c r="D602" s="64"/>
      <c r="E602" s="64"/>
      <c r="F602" s="67"/>
      <c r="G602" s="375"/>
      <c r="H602" s="74"/>
      <c r="I602" s="515"/>
      <c r="J602" s="515"/>
      <c r="K602" s="507"/>
      <c r="L602" s="515"/>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42"/>
        <v/>
      </c>
      <c r="AD602" s="66" t="str">
        <f>IF(AND(MONTH(E602)&lt;='IN-NX'!$P$3,'IN-NX'!$D$7=D602,OR(LEFT(TH!N602,2)="15",LEFT(TH!O602,2)="15")),"x","")</f>
        <v/>
      </c>
      <c r="AE602" s="66" t="str">
        <f>IF(AND(OR(LEFT(TH!N602,2)="15",LEFT(TH!O602,2)="15"),'152-CT'!$J$8=TH!F602),"x","")</f>
        <v/>
      </c>
      <c r="AF602" s="66" t="str">
        <f>IF(AND(OR(LEFT(TH!N602,2)="15",LEFT(TH!O602,2)="15"),'THE KHO'!$E$7=TH!F602),"x","")</f>
        <v/>
      </c>
      <c r="AG602" s="66" t="str">
        <f>IF(AND(N602="1521",MONTH(C602)='BK NL'!$M$11),"x","")</f>
        <v/>
      </c>
    </row>
    <row r="603" spans="1:33" ht="15.75" customHeight="1">
      <c r="A603" s="398" t="str">
        <f>IF(B603&lt;&gt;"",IF(AND(B603&gt;=_TM1,B603&lt;=_TM2,OR(TH!N603="1111",TH!O603="1111")),TH!D603,""),"")</f>
        <v/>
      </c>
      <c r="B603" s="63" t="str">
        <f t="shared" si="43"/>
        <v/>
      </c>
      <c r="C603" s="64"/>
      <c r="D603" s="64"/>
      <c r="E603" s="64"/>
      <c r="F603" s="67"/>
      <c r="G603" s="375"/>
      <c r="H603" s="74"/>
      <c r="I603" s="515"/>
      <c r="J603" s="515"/>
      <c r="K603" s="507"/>
      <c r="L603" s="515"/>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42"/>
        <v/>
      </c>
      <c r="AD603" s="66" t="str">
        <f>IF(AND(MONTH(E603)&lt;='IN-NX'!$P$3,'IN-NX'!$D$7=D603,OR(LEFT(TH!N603,2)="15",LEFT(TH!O603,2)="15")),"x","")</f>
        <v/>
      </c>
      <c r="AE603" s="66" t="str">
        <f>IF(AND(OR(LEFT(TH!N603,2)="15",LEFT(TH!O603,2)="15"),'152-CT'!$J$8=TH!F603),"x","")</f>
        <v/>
      </c>
      <c r="AF603" s="66" t="str">
        <f>IF(AND(OR(LEFT(TH!N603,2)="15",LEFT(TH!O603,2)="15"),'THE KHO'!$E$7=TH!F603),"x","")</f>
        <v/>
      </c>
      <c r="AG603" s="66" t="str">
        <f>IF(AND(N603="1521",MONTH(C603)='BK NL'!$M$11),"x","")</f>
        <v/>
      </c>
    </row>
    <row r="604" spans="1:33" ht="15.75" customHeight="1">
      <c r="A604" s="398" t="str">
        <f>IF(B604&lt;&gt;"",IF(AND(B604&gt;=_TM1,B604&lt;=_TM2,OR(TH!N604="1111",TH!O604="1111")),TH!D604,""),"")</f>
        <v/>
      </c>
      <c r="B604" s="63" t="str">
        <f t="shared" si="43"/>
        <v/>
      </c>
      <c r="C604" s="64"/>
      <c r="D604" s="64"/>
      <c r="E604" s="64"/>
      <c r="F604" s="67"/>
      <c r="G604" s="375"/>
      <c r="H604" s="74"/>
      <c r="I604" s="515"/>
      <c r="J604" s="515"/>
      <c r="K604" s="507"/>
      <c r="L604" s="515"/>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42"/>
        <v/>
      </c>
      <c r="AD604" s="66" t="str">
        <f>IF(AND(MONTH(E604)&lt;='IN-NX'!$P$3,'IN-NX'!$D$7=D604,OR(LEFT(TH!N604,2)="15",LEFT(TH!O604,2)="15")),"x","")</f>
        <v/>
      </c>
      <c r="AE604" s="66" t="str">
        <f>IF(AND(OR(LEFT(TH!N604,2)="15",LEFT(TH!O604,2)="15"),'152-CT'!$J$8=TH!F604),"x","")</f>
        <v/>
      </c>
      <c r="AF604" s="66" t="str">
        <f>IF(AND(OR(LEFT(TH!N604,2)="15",LEFT(TH!O604,2)="15"),'THE KHO'!$E$7=TH!F604),"x","")</f>
        <v/>
      </c>
      <c r="AG604" s="66" t="str">
        <f>IF(AND(N604="1521",MONTH(C604)='BK NL'!$M$11),"x","")</f>
        <v/>
      </c>
    </row>
    <row r="605" spans="1:33" ht="15.75" customHeight="1">
      <c r="A605" s="398" t="str">
        <f>IF(B605&lt;&gt;"",IF(AND(B605&gt;=_TM1,B605&lt;=_TM2,OR(TH!N605="1111",TH!O605="1111")),TH!D605,""),"")</f>
        <v/>
      </c>
      <c r="B605" s="63" t="str">
        <f t="shared" si="43"/>
        <v/>
      </c>
      <c r="C605" s="64"/>
      <c r="D605" s="64"/>
      <c r="E605" s="64"/>
      <c r="F605" s="67"/>
      <c r="G605" s="375"/>
      <c r="H605" s="74"/>
      <c r="I605" s="515"/>
      <c r="J605" s="515"/>
      <c r="K605" s="507"/>
      <c r="L605" s="515"/>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42"/>
        <v/>
      </c>
      <c r="AD605" s="66" t="str">
        <f>IF(AND(MONTH(E605)&lt;='IN-NX'!$P$3,'IN-NX'!$D$7=D605,OR(LEFT(TH!N605,2)="15",LEFT(TH!O605,2)="15")),"x","")</f>
        <v/>
      </c>
      <c r="AE605" s="66" t="str">
        <f>IF(AND(OR(LEFT(TH!N605,2)="15",LEFT(TH!O605,2)="15"),'152-CT'!$J$8=TH!F605),"x","")</f>
        <v/>
      </c>
      <c r="AF605" s="66" t="str">
        <f>IF(AND(OR(LEFT(TH!N605,2)="15",LEFT(TH!O605,2)="15"),'THE KHO'!$E$7=TH!F605),"x","")</f>
        <v/>
      </c>
      <c r="AG605" s="66" t="str">
        <f>IF(AND(N605="1521",MONTH(C605)='BK NL'!$M$11),"x","")</f>
        <v/>
      </c>
    </row>
    <row r="606" spans="1:33" ht="15.75" customHeight="1">
      <c r="A606" s="398" t="str">
        <f>IF(B606&lt;&gt;"",IF(AND(B606&gt;=_TM1,B606&lt;=_TM2,OR(TH!N606="1111",TH!O606="1111")),TH!D606,""),"")</f>
        <v/>
      </c>
      <c r="B606" s="63" t="str">
        <f t="shared" si="43"/>
        <v/>
      </c>
      <c r="C606" s="64"/>
      <c r="D606" s="64"/>
      <c r="E606" s="64"/>
      <c r="F606" s="67"/>
      <c r="G606" s="375"/>
      <c r="H606" s="74"/>
      <c r="I606" s="515"/>
      <c r="J606" s="515"/>
      <c r="K606" s="507"/>
      <c r="L606" s="515"/>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42"/>
        <v/>
      </c>
      <c r="AD606" s="66" t="str">
        <f>IF(AND(MONTH(E606)&lt;='IN-NX'!$P$3,'IN-NX'!$D$7=D606,OR(LEFT(TH!N606,2)="15",LEFT(TH!O606,2)="15")),"x","")</f>
        <v/>
      </c>
      <c r="AE606" s="66" t="str">
        <f>IF(AND(OR(LEFT(TH!N606,2)="15",LEFT(TH!O606,2)="15"),'152-CT'!$J$8=TH!F606),"x","")</f>
        <v/>
      </c>
      <c r="AF606" s="66" t="str">
        <f>IF(AND(OR(LEFT(TH!N606,2)="15",LEFT(TH!O606,2)="15"),'THE KHO'!$E$7=TH!F606),"x","")</f>
        <v/>
      </c>
      <c r="AG606" s="66" t="str">
        <f>IF(AND(N606="1521",MONTH(C606)='BK NL'!$M$11),"x","")</f>
        <v/>
      </c>
    </row>
    <row r="607" spans="1:33" ht="15.75" customHeight="1">
      <c r="A607" s="398" t="str">
        <f>IF(B607&lt;&gt;"",IF(AND(B607&gt;=_TM1,B607&lt;=_TM2,OR(TH!N607="1111",TH!O607="1111")),TH!D607,""),"")</f>
        <v/>
      </c>
      <c r="B607" s="63" t="str">
        <f t="shared" si="43"/>
        <v/>
      </c>
      <c r="C607" s="64"/>
      <c r="D607" s="64"/>
      <c r="E607" s="64"/>
      <c r="F607" s="67"/>
      <c r="G607" s="375"/>
      <c r="H607" s="74"/>
      <c r="I607" s="515"/>
      <c r="J607" s="515"/>
      <c r="K607" s="507"/>
      <c r="L607" s="515"/>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42"/>
        <v/>
      </c>
      <c r="AD607" s="66" t="str">
        <f>IF(AND(MONTH(E607)&lt;='IN-NX'!$P$3,'IN-NX'!$D$7=D607,OR(LEFT(TH!N607,2)="15",LEFT(TH!O607,2)="15")),"x","")</f>
        <v/>
      </c>
      <c r="AE607" s="66" t="str">
        <f>IF(AND(OR(LEFT(TH!N607,2)="15",LEFT(TH!O607,2)="15"),'152-CT'!$J$8=TH!F607),"x","")</f>
        <v/>
      </c>
      <c r="AF607" s="66" t="str">
        <f>IF(AND(OR(LEFT(TH!N607,2)="15",LEFT(TH!O607,2)="15"),'THE KHO'!$E$7=TH!F607),"x","")</f>
        <v/>
      </c>
      <c r="AG607" s="66" t="str">
        <f>IF(AND(N607="1521",MONTH(C607)='BK NL'!$M$11),"x","")</f>
        <v/>
      </c>
    </row>
    <row r="608" spans="1:33" ht="15.75" customHeight="1">
      <c r="A608" s="398" t="str">
        <f>IF(B608&lt;&gt;"",IF(AND(B608&gt;=_TM1,B608&lt;=_TM2,OR(TH!N608="1111",TH!O608="1111")),TH!D608,""),"")</f>
        <v/>
      </c>
      <c r="B608" s="63" t="str">
        <f t="shared" si="43"/>
        <v/>
      </c>
      <c r="C608" s="64"/>
      <c r="D608" s="64"/>
      <c r="E608" s="64"/>
      <c r="F608" s="67"/>
      <c r="G608" s="375"/>
      <c r="H608" s="74"/>
      <c r="I608" s="515"/>
      <c r="J608" s="515"/>
      <c r="K608" s="507"/>
      <c r="L608" s="515"/>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42"/>
        <v/>
      </c>
      <c r="AD608" s="66" t="str">
        <f>IF(AND(MONTH(E608)&lt;='IN-NX'!$P$3,'IN-NX'!$D$7=D608,OR(LEFT(TH!N608,2)="15",LEFT(TH!O608,2)="15")),"x","")</f>
        <v/>
      </c>
      <c r="AE608" s="66" t="str">
        <f>IF(AND(OR(LEFT(TH!N608,2)="15",LEFT(TH!O608,2)="15"),'152-CT'!$J$8=TH!F608),"x","")</f>
        <v/>
      </c>
      <c r="AF608" s="66" t="str">
        <f>IF(AND(OR(LEFT(TH!N608,2)="15",LEFT(TH!O608,2)="15"),'THE KHO'!$E$7=TH!F608),"x","")</f>
        <v/>
      </c>
      <c r="AG608" s="66" t="str">
        <f>IF(AND(N608="1521",MONTH(C608)='BK NL'!$M$11),"x","")</f>
        <v/>
      </c>
    </row>
    <row r="609" spans="1:33" ht="15.75" customHeight="1">
      <c r="A609" s="398" t="str">
        <f>IF(B609&lt;&gt;"",IF(AND(B609&gt;=_TM1,B609&lt;=_TM2,OR(TH!N609="1111",TH!O609="1111")),TH!D609,""),"")</f>
        <v/>
      </c>
      <c r="B609" s="63" t="str">
        <f t="shared" si="43"/>
        <v/>
      </c>
      <c r="C609" s="64"/>
      <c r="D609" s="64"/>
      <c r="E609" s="64"/>
      <c r="F609" s="67"/>
      <c r="G609" s="375"/>
      <c r="H609" s="74"/>
      <c r="I609" s="515"/>
      <c r="J609" s="515"/>
      <c r="K609" s="507"/>
      <c r="L609" s="515"/>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42"/>
        <v/>
      </c>
      <c r="AD609" s="66" t="str">
        <f>IF(AND(MONTH(E609)&lt;='IN-NX'!$P$3,'IN-NX'!$D$7=D609,OR(LEFT(TH!N609,2)="15",LEFT(TH!O609,2)="15")),"x","")</f>
        <v/>
      </c>
      <c r="AE609" s="66" t="str">
        <f>IF(AND(OR(LEFT(TH!N609,2)="15",LEFT(TH!O609,2)="15"),'152-CT'!$J$8=TH!F609),"x","")</f>
        <v/>
      </c>
      <c r="AF609" s="66" t="str">
        <f>IF(AND(OR(LEFT(TH!N609,2)="15",LEFT(TH!O609,2)="15"),'THE KHO'!$E$7=TH!F609),"x","")</f>
        <v/>
      </c>
      <c r="AG609" s="66" t="str">
        <f>IF(AND(N609="1521",MONTH(C609)='BK NL'!$M$11),"x","")</f>
        <v/>
      </c>
    </row>
    <row r="610" spans="1:33" ht="15.75" customHeight="1">
      <c r="A610" s="398" t="str">
        <f>IF(B610&lt;&gt;"",IF(AND(B610&gt;=_TM1,B610&lt;=_TM2,OR(TH!N610="1111",TH!O610="1111")),TH!D610,""),"")</f>
        <v/>
      </c>
      <c r="B610" s="63" t="str">
        <f t="shared" si="43"/>
        <v/>
      </c>
      <c r="C610" s="64"/>
      <c r="D610" s="64"/>
      <c r="E610" s="64"/>
      <c r="F610" s="67"/>
      <c r="G610" s="375"/>
      <c r="H610" s="74"/>
      <c r="I610" s="515"/>
      <c r="J610" s="515"/>
      <c r="K610" s="507"/>
      <c r="L610" s="515"/>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ref="AC610:AC617" si="44">IF(AND(1&lt;=$B610,$B610&lt;=3),"1",IF(AND(4&lt;=$B610,$B610&lt;=6),"2",IF(AND(7&lt;=$B610,$B610&lt;=9),"3",IF(AND(10&lt;=$B610,$B610&lt;=12),"4",""))))</f>
        <v/>
      </c>
      <c r="AD610" s="66" t="str">
        <f>IF(AND(MONTH(E610)&lt;='IN-NX'!$P$3,'IN-NX'!$D$7=D610,OR(LEFT(TH!N610,2)="15",LEFT(TH!O610,2)="15")),"x","")</f>
        <v/>
      </c>
      <c r="AE610" s="66" t="str">
        <f>IF(AND(OR(LEFT(TH!N610,2)="15",LEFT(TH!O610,2)="15"),'152-CT'!$J$8=TH!F610),"x","")</f>
        <v/>
      </c>
      <c r="AF610" s="66" t="str">
        <f>IF(AND(OR(LEFT(TH!N610,2)="15",LEFT(TH!O610,2)="15"),'THE KHO'!$E$7=TH!F610),"x","")</f>
        <v/>
      </c>
      <c r="AG610" s="66" t="str">
        <f>IF(AND(N610="1521",MONTH(C610)='BK NL'!$M$11),"x","")</f>
        <v/>
      </c>
    </row>
    <row r="611" spans="1:33" ht="15.75" customHeight="1">
      <c r="A611" s="398" t="str">
        <f>IF(B611&lt;&gt;"",IF(AND(B611&gt;=_TM1,B611&lt;=_TM2,OR(TH!N611="1111",TH!O611="1111")),TH!D611,""),"")</f>
        <v/>
      </c>
      <c r="B611" s="63" t="str">
        <f t="shared" si="43"/>
        <v/>
      </c>
      <c r="C611" s="64"/>
      <c r="D611" s="64"/>
      <c r="E611" s="64"/>
      <c r="F611" s="67"/>
      <c r="G611" s="375"/>
      <c r="H611" s="74"/>
      <c r="I611" s="515"/>
      <c r="J611" s="515"/>
      <c r="K611" s="507"/>
      <c r="L611" s="515"/>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44"/>
        <v/>
      </c>
      <c r="AD611" s="66" t="str">
        <f>IF(AND(MONTH(E611)&lt;='IN-NX'!$P$3,'IN-NX'!$D$7=D611,OR(LEFT(TH!N611,2)="15",LEFT(TH!O611,2)="15")),"x","")</f>
        <v/>
      </c>
      <c r="AE611" s="66" t="str">
        <f>IF(AND(OR(LEFT(TH!N611,2)="15",LEFT(TH!O611,2)="15"),'152-CT'!$J$8=TH!F611),"x","")</f>
        <v/>
      </c>
      <c r="AF611" s="66" t="str">
        <f>IF(AND(OR(LEFT(TH!N611,2)="15",LEFT(TH!O611,2)="15"),'THE KHO'!$E$7=TH!F611),"x","")</f>
        <v/>
      </c>
      <c r="AG611" s="66" t="str">
        <f>IF(AND(N611="1521",MONTH(C611)='BK NL'!$M$11),"x","")</f>
        <v/>
      </c>
    </row>
    <row r="612" spans="1:33" ht="15.75" customHeight="1">
      <c r="A612" s="398" t="str">
        <f>IF(B612&lt;&gt;"",IF(AND(B612&gt;=_TM1,B612&lt;=_TM2,OR(TH!N612="1111",TH!O612="1111")),TH!D612,""),"")</f>
        <v/>
      </c>
      <c r="B612" s="63" t="str">
        <f t="shared" si="43"/>
        <v/>
      </c>
      <c r="C612" s="64"/>
      <c r="D612" s="64"/>
      <c r="E612" s="64"/>
      <c r="F612" s="67"/>
      <c r="G612" s="375"/>
      <c r="H612" s="74"/>
      <c r="I612" s="515"/>
      <c r="J612" s="515"/>
      <c r="K612" s="507"/>
      <c r="L612" s="515"/>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44"/>
        <v/>
      </c>
      <c r="AD612" s="66" t="str">
        <f>IF(AND(MONTH(E612)&lt;='IN-NX'!$P$3,'IN-NX'!$D$7=D612,OR(LEFT(TH!N612,2)="15",LEFT(TH!O612,2)="15")),"x","")</f>
        <v/>
      </c>
      <c r="AE612" s="66" t="str">
        <f>IF(AND(OR(LEFT(TH!N612,2)="15",LEFT(TH!O612,2)="15"),'152-CT'!$J$8=TH!F612),"x","")</f>
        <v/>
      </c>
      <c r="AF612" s="66" t="str">
        <f>IF(AND(OR(LEFT(TH!N612,2)="15",LEFT(TH!O612,2)="15"),'THE KHO'!$E$7=TH!F612),"x","")</f>
        <v/>
      </c>
      <c r="AG612" s="66" t="str">
        <f>IF(AND(N612="1521",MONTH(C612)='BK NL'!$M$11),"x","")</f>
        <v/>
      </c>
    </row>
    <row r="613" spans="1:33" ht="15.75" customHeight="1">
      <c r="A613" s="398" t="str">
        <f>IF(B613&lt;&gt;"",IF(AND(B613&gt;=_TM1,B613&lt;=_TM2,OR(TH!N613="1111",TH!O613="1111")),TH!D613,""),"")</f>
        <v/>
      </c>
      <c r="B613" s="63" t="str">
        <f t="shared" si="43"/>
        <v/>
      </c>
      <c r="C613" s="64"/>
      <c r="D613" s="64"/>
      <c r="E613" s="64"/>
      <c r="F613" s="67"/>
      <c r="G613" s="375"/>
      <c r="H613" s="74"/>
      <c r="I613" s="515"/>
      <c r="J613" s="515"/>
      <c r="K613" s="507"/>
      <c r="L613" s="515"/>
      <c r="M613" s="65"/>
      <c r="N613" s="38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44"/>
        <v/>
      </c>
      <c r="AD613" s="66" t="str">
        <f>IF(AND(MONTH(E613)&lt;='IN-NX'!$P$3,'IN-NX'!$D$7=D613,OR(LEFT(TH!N613,2)="15",LEFT(TH!O613,2)="15")),"x","")</f>
        <v/>
      </c>
      <c r="AE613" s="66" t="str">
        <f>IF(AND(OR(LEFT(TH!N613,2)="15",LEFT(TH!O613,2)="15"),'152-CT'!$J$8=TH!F613),"x","")</f>
        <v/>
      </c>
      <c r="AF613" s="66" t="str">
        <f>IF(AND(OR(LEFT(TH!N613,2)="15",LEFT(TH!O613,2)="15"),'THE KHO'!$E$7=TH!F613),"x","")</f>
        <v/>
      </c>
      <c r="AG613" s="66" t="str">
        <f>IF(AND(N613="1521",MONTH(C613)='BK NL'!$M$11),"x","")</f>
        <v/>
      </c>
    </row>
    <row r="614" spans="1:33" ht="15.75" customHeight="1">
      <c r="A614" s="398" t="str">
        <f>IF(B614&lt;&gt;"",IF(AND(B614&gt;=_TM1,B614&lt;=_TM2,OR(TH!N614="1111",TH!O614="1111")),TH!D614,""),"")</f>
        <v/>
      </c>
      <c r="B614" s="63" t="str">
        <f t="shared" si="43"/>
        <v/>
      </c>
      <c r="C614" s="64"/>
      <c r="D614" s="64"/>
      <c r="E614" s="64"/>
      <c r="F614" s="67"/>
      <c r="G614" s="375"/>
      <c r="H614" s="74"/>
      <c r="I614" s="515"/>
      <c r="J614" s="515"/>
      <c r="K614" s="507"/>
      <c r="L614" s="515"/>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44"/>
        <v/>
      </c>
      <c r="AD614" s="66" t="str">
        <f>IF(AND(MONTH(E614)&lt;='IN-NX'!$P$3,'IN-NX'!$D$7=D614,OR(LEFT(TH!N614,2)="15",LEFT(TH!O614,2)="15")),"x","")</f>
        <v/>
      </c>
      <c r="AE614" s="66" t="str">
        <f>IF(AND(OR(LEFT(TH!N614,2)="15",LEFT(TH!O614,2)="15"),'152-CT'!$J$8=TH!F614),"x","")</f>
        <v/>
      </c>
      <c r="AF614" s="66" t="str">
        <f>IF(AND(OR(LEFT(TH!N614,2)="15",LEFT(TH!O614,2)="15"),'THE KHO'!$E$7=TH!F614),"x","")</f>
        <v/>
      </c>
      <c r="AG614" s="66" t="str">
        <f>IF(AND(N614="1521",MONTH(C614)='BK NL'!$M$11),"x","")</f>
        <v/>
      </c>
    </row>
    <row r="615" spans="1:33" ht="15.75" customHeight="1">
      <c r="A615" s="398" t="str">
        <f>IF(B615&lt;&gt;"",IF(AND(B615&gt;=_TM1,B615&lt;=_TM2,OR(TH!N615="1111",TH!O615="1111")),TH!D615,""),"")</f>
        <v/>
      </c>
      <c r="B615" s="63" t="str">
        <f t="shared" si="43"/>
        <v/>
      </c>
      <c r="C615" s="64"/>
      <c r="D615" s="64"/>
      <c r="E615" s="64"/>
      <c r="F615" s="67"/>
      <c r="G615" s="375"/>
      <c r="H615" s="74"/>
      <c r="I615" s="515"/>
      <c r="J615" s="515"/>
      <c r="K615" s="507"/>
      <c r="L615" s="515"/>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si="44"/>
        <v/>
      </c>
      <c r="AD615" s="66" t="str">
        <f>IF(AND(MONTH(E615)&lt;='IN-NX'!$P$3,'IN-NX'!$D$7=D615,OR(LEFT(TH!N615,2)="15",LEFT(TH!O615,2)="15")),"x","")</f>
        <v/>
      </c>
      <c r="AE615" s="66" t="str">
        <f>IF(AND(OR(LEFT(TH!N615,2)="15",LEFT(TH!O615,2)="15"),'152-CT'!$J$8=TH!F615),"x","")</f>
        <v/>
      </c>
      <c r="AF615" s="66" t="str">
        <f>IF(AND(OR(LEFT(TH!N615,2)="15",LEFT(TH!O615,2)="15"),'THE KHO'!$E$7=TH!F615),"x","")</f>
        <v/>
      </c>
      <c r="AG615" s="66" t="str">
        <f>IF(AND(N615="1521",MONTH(C615)='BK NL'!$M$11),"x","")</f>
        <v/>
      </c>
    </row>
    <row r="616" spans="1:33" ht="15.75" customHeight="1">
      <c r="A616" s="398" t="str">
        <f>IF(B616&lt;&gt;"",IF(AND(B616&gt;=_TM1,B616&lt;=_TM2,OR(TH!N616="1111",TH!O616="1111")),TH!D616,""),"")</f>
        <v/>
      </c>
      <c r="B616" s="63" t="str">
        <f t="shared" si="43"/>
        <v/>
      </c>
      <c r="C616" s="64"/>
      <c r="D616" s="64"/>
      <c r="E616" s="64"/>
      <c r="F616" s="67"/>
      <c r="G616" s="375"/>
      <c r="H616" s="74"/>
      <c r="I616" s="515"/>
      <c r="J616" s="515"/>
      <c r="K616" s="507"/>
      <c r="L616" s="515"/>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44"/>
        <v/>
      </c>
      <c r="AD616" s="66" t="str">
        <f>IF(AND(MONTH(E616)&lt;='IN-NX'!$P$3,'IN-NX'!$D$7=D616,OR(LEFT(TH!N616,2)="15",LEFT(TH!O616,2)="15")),"x","")</f>
        <v/>
      </c>
      <c r="AE616" s="66" t="str">
        <f>IF(AND(OR(LEFT(TH!N616,2)="15",LEFT(TH!O616,2)="15"),'152-CT'!$J$8=TH!F616),"x","")</f>
        <v/>
      </c>
      <c r="AF616" s="66" t="str">
        <f>IF(AND(OR(LEFT(TH!N616,2)="15",LEFT(TH!O616,2)="15"),'THE KHO'!$E$7=TH!F616),"x","")</f>
        <v/>
      </c>
      <c r="AG616" s="66" t="str">
        <f>IF(AND(N616="1521",MONTH(C616)='BK NL'!$M$11),"x","")</f>
        <v/>
      </c>
    </row>
    <row r="617" spans="1:33" ht="15.75" customHeight="1">
      <c r="A617" s="398" t="str">
        <f>IF(B617&lt;&gt;"",IF(AND(B617&gt;=_TM1,B617&lt;=_TM2,OR(TH!N617="1111",TH!O617="1111")),TH!D617,""),"")</f>
        <v/>
      </c>
      <c r="B617" s="63" t="str">
        <f t="shared" si="43"/>
        <v/>
      </c>
      <c r="C617" s="64"/>
      <c r="D617" s="64"/>
      <c r="E617" s="64"/>
      <c r="F617" s="67"/>
      <c r="G617" s="375"/>
      <c r="H617" s="74"/>
      <c r="I617" s="515"/>
      <c r="J617" s="515"/>
      <c r="K617" s="507"/>
      <c r="L617" s="515"/>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44"/>
        <v/>
      </c>
      <c r="AD617" s="66" t="str">
        <f>IF(AND(MONTH(E617)&lt;='IN-NX'!$P$3,'IN-NX'!$D$7=D617,OR(LEFT(TH!N617,2)="15",LEFT(TH!O617,2)="15")),"x","")</f>
        <v/>
      </c>
      <c r="AE617" s="66" t="str">
        <f>IF(AND(OR(LEFT(TH!N617,2)="15",LEFT(TH!O617,2)="15"),'152-CT'!$J$8=TH!F617),"x","")</f>
        <v/>
      </c>
      <c r="AF617" s="66" t="str">
        <f>IF(AND(OR(LEFT(TH!N617,2)="15",LEFT(TH!O617,2)="15"),'THE KHO'!$E$7=TH!F617),"x","")</f>
        <v/>
      </c>
      <c r="AG617" s="66" t="str">
        <f>IF(AND(N617="1521",MONTH(C617)='BK NL'!$M$11),"x","")</f>
        <v/>
      </c>
    </row>
    <row r="618" spans="1:33" ht="15.75" customHeight="1">
      <c r="A618" s="398" t="str">
        <f>IF(B618&lt;&gt;"",IF(AND(B618&gt;=_TM1,B618&lt;=_TM2,OR(TH!N618="1111",TH!O618="1111")),TH!D618,""),"")</f>
        <v/>
      </c>
      <c r="B618" s="63" t="str">
        <f t="shared" si="43"/>
        <v/>
      </c>
      <c r="C618" s="64"/>
      <c r="D618" s="64"/>
      <c r="E618" s="64"/>
      <c r="F618" s="67"/>
      <c r="G618" s="375"/>
      <c r="H618" s="74"/>
      <c r="I618" s="515"/>
      <c r="J618" s="515"/>
      <c r="K618" s="507"/>
      <c r="L618" s="515"/>
      <c r="M618" s="65"/>
      <c r="N618" s="66"/>
      <c r="O618" s="66"/>
      <c r="P618" s="86" t="str">
        <f>IF(AND('331-CT'!$E$7=TH!H618,OR(N618="331",O618="331")),"x","")</f>
        <v/>
      </c>
      <c r="Q618" s="86" t="str">
        <f>IF(AND($B618&gt;='111'!$N$11,$B618&lt;='111'!$O$11,OR($N618=$Q$7,$O618=$Q$7)),"x","")</f>
        <v/>
      </c>
      <c r="R618" s="86" t="str">
        <f>IF(AND($N618=$Q$7,$B618&lt;'111'!$N$11),"x","")</f>
        <v/>
      </c>
      <c r="S618" s="86" t="str">
        <f>IF(AND($O618=$Q$7,$B618&lt;'111'!$N$11),"x","")</f>
        <v/>
      </c>
      <c r="T618" s="86" t="str">
        <f>IF(AND($B618&gt;='112'!$M$9,$B618&lt;='112'!$N$9,OR($N618='112'!$I$6,$O618='112'!$I$6)),"x","")</f>
        <v/>
      </c>
      <c r="U618" s="86" t="str">
        <f>IF(AND($N618='112'!$I$6,$B618&lt;'112'!$M$9),"x","")</f>
        <v/>
      </c>
      <c r="V618" s="86" t="str">
        <f>IF(AND($O618='112'!$I$6,$B618&lt;'112'!$M$9),"x","")</f>
        <v/>
      </c>
      <c r="W618" s="86" t="str">
        <f>IF(AND('131-CT'!$H$9=TH!H618,OR(N618="131",O618="131")),"x","")</f>
        <v/>
      </c>
      <c r="X618" s="86" t="str">
        <f>IF(AND($B618&gt;='1331'!$I$9,$B618&lt;='1331'!$J$9,OR($N618=$X$7,$O618=$X$7)),"x","")</f>
        <v/>
      </c>
      <c r="Y618" s="86" t="str">
        <f>IF(AND($N618=$X$7,$B618&lt;'1331'!$I$9),"x","")</f>
        <v/>
      </c>
      <c r="Z618" s="86" t="str">
        <f>IF(AND($O618=$X$7,$B618&lt;'1331'!$I$9),"x","")</f>
        <v/>
      </c>
      <c r="AA618" s="86" t="str">
        <f>IF(AND('341-CT'!$H$9=H618,OR(LEFT(N618,3)=$AA$7,LEFT(O618,3)=$AA$7)),"x","")</f>
        <v/>
      </c>
      <c r="AB618" s="86" t="str">
        <f>IF(OR(TH!N618=TH!$AB$7,O618=TH!$AB$7),"x","")</f>
        <v/>
      </c>
      <c r="AC618" s="86" t="str">
        <f t="shared" ref="AC618:AC680" si="45">IF(AND(1&lt;=$B618,$B618&lt;=3),"1",IF(AND(4&lt;=$B618,$B618&lt;=6),"2",IF(AND(7&lt;=$B618,$B618&lt;=9),"3",IF(AND(10&lt;=$B618,$B618&lt;=12),"4",""))))</f>
        <v/>
      </c>
      <c r="AD618" s="86" t="str">
        <f>IF(AND(MONTH(E618)&lt;='IN-NX'!$P$3,'IN-NX'!$D$7=D618,OR(LEFT(TH!N618,2)="15",LEFT(TH!O618,2)="15")),"x","")</f>
        <v/>
      </c>
      <c r="AE618" s="86" t="str">
        <f>IF(AND(OR(LEFT(TH!N618,2)="15",LEFT(TH!O618,2)="15"),'152-CT'!$J$8=TH!F618),"x","")</f>
        <v/>
      </c>
      <c r="AF618" s="86" t="str">
        <f>IF(AND(OR(LEFT(TH!N618,2)="15",LEFT(TH!O618,2)="15"),'THE KHO'!$E$7=TH!F618),"x","")</f>
        <v/>
      </c>
      <c r="AG618" s="86" t="str">
        <f>IF(AND(N618="1521",MONTH(C618)='BK NL'!$M$11),"x","")</f>
        <v/>
      </c>
    </row>
    <row r="619" spans="1:33" ht="15.75" customHeight="1">
      <c r="A619" s="398" t="str">
        <f>IF(B619&lt;&gt;"",IF(AND(B619&gt;=_TM1,B619&lt;=_TM2,OR(TH!N619="1111",TH!O619="1111")),TH!D619,""),"")</f>
        <v/>
      </c>
      <c r="B619" s="63" t="str">
        <f t="shared" si="43"/>
        <v/>
      </c>
      <c r="C619" s="64"/>
      <c r="D619" s="64"/>
      <c r="E619" s="64"/>
      <c r="F619" s="67"/>
      <c r="G619" s="375"/>
      <c r="H619" s="74"/>
      <c r="I619" s="515"/>
      <c r="J619" s="515"/>
      <c r="K619" s="507"/>
      <c r="L619" s="515"/>
      <c r="M619" s="65"/>
      <c r="N619" s="66"/>
      <c r="O619" s="66"/>
      <c r="P619" s="86" t="str">
        <f>IF(AND('331-CT'!$E$7=TH!H619,OR(N619="331",O619="331")),"x","")</f>
        <v/>
      </c>
      <c r="Q619" s="86" t="str">
        <f>IF(AND($B619&gt;='111'!$N$11,$B619&lt;='111'!$O$11,OR($N619=$Q$7,$O619=$Q$7)),"x","")</f>
        <v/>
      </c>
      <c r="R619" s="86" t="str">
        <f>IF(AND($N619=$Q$7,$B619&lt;'111'!$N$11),"x","")</f>
        <v/>
      </c>
      <c r="S619" s="86" t="str">
        <f>IF(AND($O619=$Q$7,$B619&lt;'111'!$N$11),"x","")</f>
        <v/>
      </c>
      <c r="T619" s="86" t="str">
        <f>IF(AND($B619&gt;='112'!$M$9,$B619&lt;='112'!$N$9,OR($N619='112'!$I$6,$O619='112'!$I$6)),"x","")</f>
        <v/>
      </c>
      <c r="U619" s="86" t="str">
        <f>IF(AND($N619='112'!$I$6,$B619&lt;'112'!$M$9),"x","")</f>
        <v/>
      </c>
      <c r="V619" s="86" t="str">
        <f>IF(AND($O619='112'!$I$6,$B619&lt;'112'!$M$9),"x","")</f>
        <v/>
      </c>
      <c r="W619" s="86" t="str">
        <f>IF(AND('131-CT'!$H$9=TH!H619,OR(N619="131",O619="131")),"x","")</f>
        <v/>
      </c>
      <c r="X619" s="86" t="str">
        <f>IF(AND($B619&gt;='1331'!$I$9,$B619&lt;='1331'!$J$9,OR($N619=$X$7,$O619=$X$7)),"x","")</f>
        <v/>
      </c>
      <c r="Y619" s="86" t="str">
        <f>IF(AND($N619=$X$7,$B619&lt;'1331'!$I$9),"x","")</f>
        <v/>
      </c>
      <c r="Z619" s="86" t="str">
        <f>IF(AND($O619=$X$7,$B619&lt;'1331'!$I$9),"x","")</f>
        <v/>
      </c>
      <c r="AA619" s="86" t="str">
        <f>IF(AND('341-CT'!$H$9=H619,OR(LEFT(N619,3)=$AA$7,LEFT(O619,3)=$AA$7)),"x","")</f>
        <v/>
      </c>
      <c r="AB619" s="86" t="str">
        <f>IF(OR(TH!N619=TH!$AB$7,O619=TH!$AB$7),"x","")</f>
        <v/>
      </c>
      <c r="AC619" s="86" t="str">
        <f t="shared" si="45"/>
        <v/>
      </c>
      <c r="AD619" s="86" t="str">
        <f>IF(AND(MONTH(E619)&lt;='IN-NX'!$P$3,'IN-NX'!$D$7=D619,OR(LEFT(TH!N619,2)="15",LEFT(TH!O619,2)="15")),"x","")</f>
        <v/>
      </c>
      <c r="AE619" s="86" t="str">
        <f>IF(AND(OR(LEFT(TH!N619,2)="15",LEFT(TH!O619,2)="15"),'152-CT'!$J$8=TH!F619),"x","")</f>
        <v/>
      </c>
      <c r="AF619" s="86" t="str">
        <f>IF(AND(OR(LEFT(TH!N619,2)="15",LEFT(TH!O619,2)="15"),'THE KHO'!$E$7=TH!F619),"x","")</f>
        <v/>
      </c>
      <c r="AG619" s="86" t="str">
        <f>IF(AND(N619="1521",MONTH(C619)='BK NL'!$M$11),"x","")</f>
        <v/>
      </c>
    </row>
    <row r="620" spans="1:33" ht="15.75" customHeight="1">
      <c r="A620" s="398" t="str">
        <f>IF(B620&lt;&gt;"",IF(AND(B620&gt;=_TM1,B620&lt;=_TM2,OR(TH!N620="1111",TH!O620="1111")),TH!D620,""),"")</f>
        <v/>
      </c>
      <c r="B620" s="63" t="str">
        <f t="shared" si="43"/>
        <v/>
      </c>
      <c r="C620" s="64"/>
      <c r="D620" s="64"/>
      <c r="E620" s="64"/>
      <c r="F620" s="67"/>
      <c r="G620" s="375"/>
      <c r="H620" s="74"/>
      <c r="I620" s="515"/>
      <c r="J620" s="515"/>
      <c r="K620" s="507"/>
      <c r="L620" s="515"/>
      <c r="M620" s="65"/>
      <c r="N620" s="66"/>
      <c r="O620" s="66"/>
      <c r="P620" s="86" t="str">
        <f>IF(AND('331-CT'!$E$7=TH!H620,OR(N620="331",O620="331")),"x","")</f>
        <v/>
      </c>
      <c r="Q620" s="86" t="str">
        <f>IF(AND($B620&gt;='111'!$N$11,$B620&lt;='111'!$O$11,OR($N620=$Q$7,$O620=$Q$7)),"x","")</f>
        <v/>
      </c>
      <c r="R620" s="86" t="str">
        <f>IF(AND($N620=$Q$7,$B620&lt;'111'!$N$11),"x","")</f>
        <v/>
      </c>
      <c r="S620" s="86" t="str">
        <f>IF(AND($O620=$Q$7,$B620&lt;'111'!$N$11),"x","")</f>
        <v/>
      </c>
      <c r="T620" s="86" t="str">
        <f>IF(AND($B620&gt;='112'!$M$9,$B620&lt;='112'!$N$9,OR($N620='112'!$I$6,$O620='112'!$I$6)),"x","")</f>
        <v/>
      </c>
      <c r="U620" s="86" t="str">
        <f>IF(AND($N620='112'!$I$6,$B620&lt;'112'!$M$9),"x","")</f>
        <v/>
      </c>
      <c r="V620" s="86" t="str">
        <f>IF(AND($O620='112'!$I$6,$B620&lt;'112'!$M$9),"x","")</f>
        <v/>
      </c>
      <c r="W620" s="86" t="str">
        <f>IF(AND('131-CT'!$H$9=TH!H620,OR(N620="131",O620="131")),"x","")</f>
        <v/>
      </c>
      <c r="X620" s="86" t="str">
        <f>IF(AND($B620&gt;='1331'!$I$9,$B620&lt;='1331'!$J$9,OR($N620=$X$7,$O620=$X$7)),"x","")</f>
        <v/>
      </c>
      <c r="Y620" s="86" t="str">
        <f>IF(AND($N620=$X$7,$B620&lt;'1331'!$I$9),"x","")</f>
        <v/>
      </c>
      <c r="Z620" s="86" t="str">
        <f>IF(AND($O620=$X$7,$B620&lt;'1331'!$I$9),"x","")</f>
        <v/>
      </c>
      <c r="AA620" s="86" t="str">
        <f>IF(AND('341-CT'!$H$9=H620,OR(LEFT(N620,3)=$AA$7,LEFT(O620,3)=$AA$7)),"x","")</f>
        <v/>
      </c>
      <c r="AB620" s="86" t="str">
        <f>IF(OR(TH!N620=TH!$AB$7,O620=TH!$AB$7),"x","")</f>
        <v/>
      </c>
      <c r="AC620" s="86" t="str">
        <f t="shared" si="45"/>
        <v/>
      </c>
      <c r="AD620" s="86" t="str">
        <f>IF(AND(MONTH(E620)&lt;='IN-NX'!$P$3,'IN-NX'!$D$7=D620,OR(LEFT(TH!N620,2)="15",LEFT(TH!O620,2)="15")),"x","")</f>
        <v/>
      </c>
      <c r="AE620" s="86" t="str">
        <f>IF(AND(OR(LEFT(TH!N620,2)="15",LEFT(TH!O620,2)="15"),'152-CT'!$J$8=TH!F620),"x","")</f>
        <v/>
      </c>
      <c r="AF620" s="86" t="str">
        <f>IF(AND(OR(LEFT(TH!N620,2)="15",LEFT(TH!O620,2)="15"),'THE KHO'!$E$7=TH!F620),"x","")</f>
        <v/>
      </c>
      <c r="AG620" s="86" t="str">
        <f>IF(AND(N620="1521",MONTH(C620)='BK NL'!$M$11),"x","")</f>
        <v/>
      </c>
    </row>
    <row r="621" spans="1:33" ht="15.75" customHeight="1">
      <c r="A621" s="398" t="str">
        <f>IF(B621&lt;&gt;"",IF(AND(B621&gt;=_TM1,B621&lt;=_TM2,OR(TH!N621="1111",TH!O621="1111")),TH!D621,""),"")</f>
        <v/>
      </c>
      <c r="B621" s="63" t="str">
        <f t="shared" si="43"/>
        <v/>
      </c>
      <c r="C621" s="64"/>
      <c r="D621" s="64"/>
      <c r="E621" s="64"/>
      <c r="F621" s="67"/>
      <c r="G621" s="361"/>
      <c r="H621" s="405"/>
      <c r="I621" s="516"/>
      <c r="J621" s="516"/>
      <c r="K621" s="508"/>
      <c r="L621" s="516"/>
      <c r="M621" s="65"/>
      <c r="N621" s="66"/>
      <c r="O621" s="66"/>
      <c r="P621" s="86" t="str">
        <f>IF(AND('331-CT'!$E$7=TH!H621,OR(N621="331",O621="331")),"x","")</f>
        <v/>
      </c>
      <c r="Q621" s="86" t="str">
        <f>IF(AND($B621&gt;='111'!$N$11,$B621&lt;='111'!$O$11,OR($N621=$Q$7,$O621=$Q$7)),"x","")</f>
        <v/>
      </c>
      <c r="R621" s="86" t="str">
        <f>IF(AND($N621=$Q$7,$B621&lt;'111'!$N$11),"x","")</f>
        <v/>
      </c>
      <c r="S621" s="86" t="str">
        <f>IF(AND($O621=$Q$7,$B621&lt;'111'!$N$11),"x","")</f>
        <v/>
      </c>
      <c r="T621" s="86" t="str">
        <f>IF(AND($B621&gt;='112'!$M$9,$B621&lt;='112'!$N$9,OR($N621='112'!$I$6,$O621='112'!$I$6)),"x","")</f>
        <v/>
      </c>
      <c r="U621" s="86" t="str">
        <f>IF(AND($N621='112'!$I$6,$B621&lt;'112'!$M$9),"x","")</f>
        <v/>
      </c>
      <c r="V621" s="86" t="str">
        <f>IF(AND($O621='112'!$I$6,$B621&lt;'112'!$M$9),"x","")</f>
        <v/>
      </c>
      <c r="W621" s="86" t="str">
        <f>IF(AND('131-CT'!$H$9=TH!H621,OR(N621="131",O621="131")),"x","")</f>
        <v/>
      </c>
      <c r="X621" s="86" t="str">
        <f>IF(AND($B621&gt;='1331'!$I$9,$B621&lt;='1331'!$J$9,OR($N621=$X$7,$O621=$X$7)),"x","")</f>
        <v/>
      </c>
      <c r="Y621" s="86" t="str">
        <f>IF(AND($N621=$X$7,$B621&lt;'1331'!$I$9),"x","")</f>
        <v/>
      </c>
      <c r="Z621" s="86" t="str">
        <f>IF(AND($O621=$X$7,$B621&lt;'1331'!$I$9),"x","")</f>
        <v/>
      </c>
      <c r="AA621" s="86" t="str">
        <f>IF(AND('341-CT'!$H$9=H621,OR(LEFT(N621,3)=$AA$7,LEFT(O621,3)=$AA$7)),"x","")</f>
        <v/>
      </c>
      <c r="AB621" s="86" t="str">
        <f>IF(OR(TH!N621=TH!$AB$7,O621=TH!$AB$7),"x","")</f>
        <v/>
      </c>
      <c r="AC621" s="86" t="str">
        <f t="shared" si="45"/>
        <v/>
      </c>
      <c r="AD621" s="86" t="str">
        <f>IF(AND(MONTH(E621)&lt;='IN-NX'!$P$3,'IN-NX'!$D$7=D621,OR(LEFT(TH!N621,2)="15",LEFT(TH!O621,2)="15")),"x","")</f>
        <v/>
      </c>
      <c r="AE621" s="86" t="str">
        <f>IF(AND(OR(LEFT(TH!N621,2)="15",LEFT(TH!O621,2)="15"),'152-CT'!$J$8=TH!F621),"x","")</f>
        <v/>
      </c>
      <c r="AF621" s="86" t="str">
        <f>IF(AND(OR(LEFT(TH!N621,2)="15",LEFT(TH!O621,2)="15"),'THE KHO'!$E$7=TH!F621),"x","")</f>
        <v/>
      </c>
      <c r="AG621" s="86" t="str">
        <f>IF(AND(N621="1521",MONTH(C621)='BK NL'!$M$11),"x","")</f>
        <v/>
      </c>
    </row>
    <row r="622" spans="1:33" ht="15.75" customHeight="1">
      <c r="A622" s="398" t="str">
        <f>IF(B622&lt;&gt;"",IF(AND(B622&gt;=_TM1,B622&lt;=_TM2,OR(TH!N622="1111",TH!O622="1111")),TH!D622,""),"")</f>
        <v/>
      </c>
      <c r="B622" s="63" t="str">
        <f t="shared" si="43"/>
        <v/>
      </c>
      <c r="C622" s="64"/>
      <c r="D622" s="64"/>
      <c r="E622" s="64"/>
      <c r="F622" s="67"/>
      <c r="G622" s="361"/>
      <c r="H622" s="74"/>
      <c r="I622" s="515"/>
      <c r="J622" s="515"/>
      <c r="K622" s="507"/>
      <c r="L622" s="515"/>
      <c r="M622" s="65"/>
      <c r="N622" s="66"/>
      <c r="O622" s="66"/>
      <c r="P622" s="86" t="str">
        <f>IF(AND('331-CT'!$E$7=TH!H622,OR(N622="331",O622="331")),"x","")</f>
        <v/>
      </c>
      <c r="Q622" s="86" t="str">
        <f>IF(AND($B622&gt;='111'!$N$11,$B622&lt;='111'!$O$11,OR($N622=$Q$7,$O622=$Q$7)),"x","")</f>
        <v/>
      </c>
      <c r="R622" s="86" t="str">
        <f>IF(AND($N622=$Q$7,$B622&lt;'111'!$N$11),"x","")</f>
        <v/>
      </c>
      <c r="S622" s="86" t="str">
        <f>IF(AND($O622=$Q$7,$B622&lt;'111'!$N$11),"x","")</f>
        <v/>
      </c>
      <c r="T622" s="86" t="str">
        <f>IF(AND($B622&gt;='112'!$M$9,$B622&lt;='112'!$N$9,OR($N622='112'!$I$6,$O622='112'!$I$6)),"x","")</f>
        <v/>
      </c>
      <c r="U622" s="86" t="str">
        <f>IF(AND($N622='112'!$I$6,$B622&lt;'112'!$M$9),"x","")</f>
        <v/>
      </c>
      <c r="V622" s="86" t="str">
        <f>IF(AND($O622='112'!$I$6,$B622&lt;'112'!$M$9),"x","")</f>
        <v/>
      </c>
      <c r="W622" s="86" t="str">
        <f>IF(AND('131-CT'!$H$9=TH!H622,OR(N622="131",O622="131")),"x","")</f>
        <v/>
      </c>
      <c r="X622" s="86" t="str">
        <f>IF(AND($B622&gt;='1331'!$I$9,$B622&lt;='1331'!$J$9,OR($N622=$X$7,$O622=$X$7)),"x","")</f>
        <v/>
      </c>
      <c r="Y622" s="86" t="str">
        <f>IF(AND($N622=$X$7,$B622&lt;'1331'!$I$9),"x","")</f>
        <v/>
      </c>
      <c r="Z622" s="86" t="str">
        <f>IF(AND($O622=$X$7,$B622&lt;'1331'!$I$9),"x","")</f>
        <v/>
      </c>
      <c r="AA622" s="86" t="str">
        <f>IF(AND('341-CT'!$H$9=H622,OR(LEFT(N622,3)=$AA$7,LEFT(O622,3)=$AA$7)),"x","")</f>
        <v/>
      </c>
      <c r="AB622" s="86" t="str">
        <f>IF(OR(TH!N622=TH!$AB$7,O622=TH!$AB$7),"x","")</f>
        <v/>
      </c>
      <c r="AC622" s="86" t="str">
        <f t="shared" si="45"/>
        <v/>
      </c>
      <c r="AD622" s="86" t="str">
        <f>IF(AND(MONTH(E622)&lt;='IN-NX'!$P$3,'IN-NX'!$D$7=D622,OR(LEFT(TH!N622,2)="15",LEFT(TH!O622,2)="15")),"x","")</f>
        <v/>
      </c>
      <c r="AE622" s="86" t="str">
        <f>IF(AND(OR(LEFT(TH!N622,2)="15",LEFT(TH!O622,2)="15"),'152-CT'!$J$8=TH!F622),"x","")</f>
        <v/>
      </c>
      <c r="AF622" s="86" t="str">
        <f>IF(AND(OR(LEFT(TH!N622,2)="15",LEFT(TH!O622,2)="15"),'THE KHO'!$E$7=TH!F622),"x","")</f>
        <v/>
      </c>
      <c r="AG622" s="86" t="str">
        <f>IF(AND(N622="1521",MONTH(C622)='BK NL'!$M$11),"x","")</f>
        <v/>
      </c>
    </row>
    <row r="623" spans="1:33" ht="15.75" customHeight="1">
      <c r="A623" s="398" t="str">
        <f>IF(B623&lt;&gt;"",IF(AND(B623&gt;=_TM1,B623&lt;=_TM2,OR(TH!N623="1111",TH!O623="1111")),TH!D623,""),"")</f>
        <v/>
      </c>
      <c r="B623" s="63" t="str">
        <f t="shared" si="43"/>
        <v/>
      </c>
      <c r="C623" s="64"/>
      <c r="D623" s="64"/>
      <c r="E623" s="64"/>
      <c r="F623" s="67"/>
      <c r="G623" s="361"/>
      <c r="H623" s="74"/>
      <c r="I623" s="515"/>
      <c r="J623" s="515"/>
      <c r="K623" s="507"/>
      <c r="L623" s="515"/>
      <c r="M623" s="65"/>
      <c r="N623" s="66"/>
      <c r="O623" s="66"/>
      <c r="P623" s="86" t="str">
        <f>IF(AND('331-CT'!$E$7=TH!H623,OR(N623="331",O623="331")),"x","")</f>
        <v/>
      </c>
      <c r="Q623" s="86" t="str">
        <f>IF(AND($B623&gt;='111'!$N$11,$B623&lt;='111'!$O$11,OR($N623=$Q$7,$O623=$Q$7)),"x","")</f>
        <v/>
      </c>
      <c r="R623" s="86" t="str">
        <f>IF(AND($N623=$Q$7,$B623&lt;'111'!$N$11),"x","")</f>
        <v/>
      </c>
      <c r="S623" s="86" t="str">
        <f>IF(AND($O623=$Q$7,$B623&lt;'111'!$N$11),"x","")</f>
        <v/>
      </c>
      <c r="T623" s="86" t="str">
        <f>IF(AND($B623&gt;='112'!$M$9,$B623&lt;='112'!$N$9,OR($N623='112'!$I$6,$O623='112'!$I$6)),"x","")</f>
        <v/>
      </c>
      <c r="U623" s="86" t="str">
        <f>IF(AND($N623='112'!$I$6,$B623&lt;'112'!$M$9),"x","")</f>
        <v/>
      </c>
      <c r="V623" s="86" t="str">
        <f>IF(AND($O623='112'!$I$6,$B623&lt;'112'!$M$9),"x","")</f>
        <v/>
      </c>
      <c r="W623" s="86" t="str">
        <f>IF(AND('131-CT'!$H$9=TH!H623,OR(N623="131",O623="131")),"x","")</f>
        <v/>
      </c>
      <c r="X623" s="86" t="str">
        <f>IF(AND($B623&gt;='1331'!$I$9,$B623&lt;='1331'!$J$9,OR($N623=$X$7,$O623=$X$7)),"x","")</f>
        <v/>
      </c>
      <c r="Y623" s="86" t="str">
        <f>IF(AND($N623=$X$7,$B623&lt;'1331'!$I$9),"x","")</f>
        <v/>
      </c>
      <c r="Z623" s="86" t="str">
        <f>IF(AND($O623=$X$7,$B623&lt;'1331'!$I$9),"x","")</f>
        <v/>
      </c>
      <c r="AA623" s="86" t="str">
        <f>IF(AND('341-CT'!$H$9=H623,OR(LEFT(N623,3)=$AA$7,LEFT(O623,3)=$AA$7)),"x","")</f>
        <v/>
      </c>
      <c r="AB623" s="86" t="str">
        <f>IF(OR(TH!N623=TH!$AB$7,O623=TH!$AB$7),"x","")</f>
        <v/>
      </c>
      <c r="AC623" s="86" t="str">
        <f t="shared" si="45"/>
        <v/>
      </c>
      <c r="AD623" s="86" t="str">
        <f>IF(AND(MONTH(E623)&lt;='IN-NX'!$P$3,'IN-NX'!$D$7=D623,OR(LEFT(TH!N623,2)="15",LEFT(TH!O623,2)="15")),"x","")</f>
        <v/>
      </c>
      <c r="AE623" s="86" t="str">
        <f>IF(AND(OR(LEFT(TH!N623,2)="15",LEFT(TH!O623,2)="15"),'152-CT'!$J$8=TH!F623),"x","")</f>
        <v/>
      </c>
      <c r="AF623" s="86" t="str">
        <f>IF(AND(OR(LEFT(TH!N623,2)="15",LEFT(TH!O623,2)="15"),'THE KHO'!$E$7=TH!F623),"x","")</f>
        <v/>
      </c>
      <c r="AG623" s="86" t="str">
        <f>IF(AND(N623="1521",MONTH(C623)='BK NL'!$M$11),"x","")</f>
        <v/>
      </c>
    </row>
    <row r="624" spans="1:33" ht="15.75" customHeight="1">
      <c r="A624" s="398" t="str">
        <f>IF(B624&lt;&gt;"",IF(AND(B624&gt;=_TM1,B624&lt;=_TM2,OR(TH!N624="1111",TH!O624="1111")),TH!D624,""),"")</f>
        <v/>
      </c>
      <c r="B624" s="63" t="str">
        <f t="shared" si="43"/>
        <v/>
      </c>
      <c r="C624" s="64"/>
      <c r="D624" s="64"/>
      <c r="E624" s="64"/>
      <c r="F624" s="67"/>
      <c r="G624" s="375"/>
      <c r="H624" s="364"/>
      <c r="I624" s="515"/>
      <c r="J624" s="515"/>
      <c r="K624" s="507"/>
      <c r="L624" s="515"/>
      <c r="M624" s="65"/>
      <c r="N624" s="66"/>
      <c r="O624" s="66"/>
      <c r="P624" s="86" t="str">
        <f>IF(AND('331-CT'!$E$7=TH!H624,OR(N624="331",O624="331")),"x","")</f>
        <v/>
      </c>
      <c r="Q624" s="86" t="str">
        <f>IF(AND($B624&gt;='111'!$N$11,$B624&lt;='111'!$O$11,OR($N624=$Q$7,$O624=$Q$7)),"x","")</f>
        <v/>
      </c>
      <c r="R624" s="86" t="str">
        <f>IF(AND($N624=$Q$7,$B624&lt;'111'!$N$11),"x","")</f>
        <v/>
      </c>
      <c r="S624" s="86" t="str">
        <f>IF(AND($O624=$Q$7,$B624&lt;'111'!$N$11),"x","")</f>
        <v/>
      </c>
      <c r="T624" s="86" t="str">
        <f>IF(AND($B624&gt;='112'!$M$9,$B624&lt;='112'!$N$9,OR($N624='112'!$I$6,$O624='112'!$I$6)),"x","")</f>
        <v/>
      </c>
      <c r="U624" s="86" t="str">
        <f>IF(AND($N624='112'!$I$6,$B624&lt;'112'!$M$9),"x","")</f>
        <v/>
      </c>
      <c r="V624" s="86" t="str">
        <f>IF(AND($O624='112'!$I$6,$B624&lt;'112'!$M$9),"x","")</f>
        <v/>
      </c>
      <c r="W624" s="86" t="str">
        <f>IF(AND('131-CT'!$H$9=TH!H624,OR(N624="131",O624="131")),"x","")</f>
        <v/>
      </c>
      <c r="X624" s="86" t="str">
        <f>IF(AND($B624&gt;='1331'!$I$9,$B624&lt;='1331'!$J$9,OR($N624=$X$7,$O624=$X$7)),"x","")</f>
        <v/>
      </c>
      <c r="Y624" s="86" t="str">
        <f>IF(AND($N624=$X$7,$B624&lt;'1331'!$I$9),"x","")</f>
        <v/>
      </c>
      <c r="Z624" s="86" t="str">
        <f>IF(AND($O624=$X$7,$B624&lt;'1331'!$I$9),"x","")</f>
        <v/>
      </c>
      <c r="AA624" s="86" t="str">
        <f>IF(AND('341-CT'!$H$9=H624,OR(LEFT(N624,3)=$AA$7,LEFT(O624,3)=$AA$7)),"x","")</f>
        <v/>
      </c>
      <c r="AB624" s="86" t="str">
        <f>IF(OR(TH!N624=TH!$AB$7,O624=TH!$AB$7),"x","")</f>
        <v/>
      </c>
      <c r="AC624" s="86" t="str">
        <f t="shared" si="45"/>
        <v/>
      </c>
      <c r="AD624" s="86" t="str">
        <f>IF(AND(MONTH(E624)&lt;='IN-NX'!$P$3,'IN-NX'!$D$7=D624,OR(LEFT(TH!N624,2)="15",LEFT(TH!O624,2)="15")),"x","")</f>
        <v/>
      </c>
      <c r="AE624" s="86" t="str">
        <f>IF(AND(OR(LEFT(TH!N624,2)="15",LEFT(TH!O624,2)="15"),'152-CT'!$J$8=TH!F624),"x","")</f>
        <v/>
      </c>
      <c r="AF624" s="86" t="str">
        <f>IF(AND(OR(LEFT(TH!N624,2)="15",LEFT(TH!O624,2)="15"),'THE KHO'!$E$7=TH!F624),"x","")</f>
        <v/>
      </c>
      <c r="AG624" s="86" t="str">
        <f>IF(AND(N624="1521",MONTH(C624)='BK NL'!$M$11),"x","")</f>
        <v/>
      </c>
    </row>
    <row r="625" spans="1:33" ht="15.75" customHeight="1">
      <c r="A625" s="398" t="str">
        <f>IF(B625&lt;&gt;"",IF(AND(B625&gt;=_TM1,B625&lt;=_TM2,OR(TH!N625="1111",TH!O625="1111")),TH!D625,""),"")</f>
        <v/>
      </c>
      <c r="B625" s="63" t="str">
        <f t="shared" si="43"/>
        <v/>
      </c>
      <c r="C625" s="64"/>
      <c r="D625" s="64"/>
      <c r="E625" s="64"/>
      <c r="F625" s="67"/>
      <c r="G625" s="375"/>
      <c r="H625" s="364"/>
      <c r="I625" s="515"/>
      <c r="J625" s="515"/>
      <c r="K625" s="507"/>
      <c r="L625" s="515"/>
      <c r="M625" s="65"/>
      <c r="N625" s="66"/>
      <c r="O625" s="66"/>
      <c r="P625" s="86" t="str">
        <f>IF(AND('331-CT'!$E$7=TH!H625,OR(N625="331",O625="331")),"x","")</f>
        <v/>
      </c>
      <c r="Q625" s="86" t="str">
        <f>IF(AND($B625&gt;='111'!$N$11,$B625&lt;='111'!$O$11,OR($N625=$Q$7,$O625=$Q$7)),"x","")</f>
        <v/>
      </c>
      <c r="R625" s="86" t="str">
        <f>IF(AND($N625=$Q$7,$B625&lt;'111'!$N$11),"x","")</f>
        <v/>
      </c>
      <c r="S625" s="86" t="str">
        <f>IF(AND($O625=$Q$7,$B625&lt;'111'!$N$11),"x","")</f>
        <v/>
      </c>
      <c r="T625" s="86" t="str">
        <f>IF(AND($B625&gt;='112'!$M$9,$B625&lt;='112'!$N$9,OR($N625='112'!$I$6,$O625='112'!$I$6)),"x","")</f>
        <v/>
      </c>
      <c r="U625" s="86" t="str">
        <f>IF(AND($N625='112'!$I$6,$B625&lt;'112'!$M$9),"x","")</f>
        <v/>
      </c>
      <c r="V625" s="86" t="str">
        <f>IF(AND($O625='112'!$I$6,$B625&lt;'112'!$M$9),"x","")</f>
        <v/>
      </c>
      <c r="W625" s="86" t="str">
        <f>IF(AND('131-CT'!$H$9=TH!H625,OR(N625="131",O625="131")),"x","")</f>
        <v/>
      </c>
      <c r="X625" s="86" t="str">
        <f>IF(AND($B625&gt;='1331'!$I$9,$B625&lt;='1331'!$J$9,OR($N625=$X$7,$O625=$X$7)),"x","")</f>
        <v/>
      </c>
      <c r="Y625" s="86" t="str">
        <f>IF(AND($N625=$X$7,$B625&lt;'1331'!$I$9),"x","")</f>
        <v/>
      </c>
      <c r="Z625" s="86" t="str">
        <f>IF(AND($O625=$X$7,$B625&lt;'1331'!$I$9),"x","")</f>
        <v/>
      </c>
      <c r="AA625" s="86" t="str">
        <f>IF(AND('341-CT'!$H$9=H625,OR(LEFT(N625,3)=$AA$7,LEFT(O625,3)=$AA$7)),"x","")</f>
        <v/>
      </c>
      <c r="AB625" s="86" t="str">
        <f>IF(OR(TH!N625=TH!$AB$7,O625=TH!$AB$7),"x","")</f>
        <v/>
      </c>
      <c r="AC625" s="86" t="str">
        <f t="shared" si="45"/>
        <v/>
      </c>
      <c r="AD625" s="86" t="str">
        <f>IF(AND(MONTH(E625)&lt;='IN-NX'!$P$3,'IN-NX'!$D$7=D625,OR(LEFT(TH!N625,2)="15",LEFT(TH!O625,2)="15")),"x","")</f>
        <v/>
      </c>
      <c r="AE625" s="86" t="str">
        <f>IF(AND(OR(LEFT(TH!N625,2)="15",LEFT(TH!O625,2)="15"),'152-CT'!$J$8=TH!F625),"x","")</f>
        <v/>
      </c>
      <c r="AF625" s="86" t="str">
        <f>IF(AND(OR(LEFT(TH!N625,2)="15",LEFT(TH!O625,2)="15"),'THE KHO'!$E$7=TH!F625),"x","")</f>
        <v/>
      </c>
      <c r="AG625" s="86" t="str">
        <f>IF(AND(N625="1521",MONTH(C625)='BK NL'!$M$11),"x","")</f>
        <v/>
      </c>
    </row>
    <row r="626" spans="1:33" ht="15.75" customHeight="1">
      <c r="A626" s="398" t="str">
        <f>IF(B626&lt;&gt;"",IF(AND(B626&gt;=_TM1,B626&lt;=_TM2,OR(TH!N626="1111",TH!O626="1111")),TH!D626,""),"")</f>
        <v/>
      </c>
      <c r="B626" s="63" t="str">
        <f t="shared" si="43"/>
        <v/>
      </c>
      <c r="C626" s="64"/>
      <c r="D626" s="64"/>
      <c r="E626" s="64"/>
      <c r="F626" s="67"/>
      <c r="G626" s="375"/>
      <c r="H626" s="74"/>
      <c r="I626" s="515"/>
      <c r="J626" s="515"/>
      <c r="K626" s="507"/>
      <c r="L626" s="515"/>
      <c r="M626" s="65"/>
      <c r="N626" s="66"/>
      <c r="O626" s="66"/>
      <c r="P626" s="86" t="str">
        <f>IF(AND('331-CT'!$E$7=TH!H626,OR(N626="331",O626="331")),"x","")</f>
        <v/>
      </c>
      <c r="Q626" s="86" t="str">
        <f>IF(AND($B626&gt;='111'!$N$11,$B626&lt;='111'!$O$11,OR($N626=$Q$7,$O626=$Q$7)),"x","")</f>
        <v/>
      </c>
      <c r="R626" s="86" t="str">
        <f>IF(AND($N626=$Q$7,$B626&lt;'111'!$N$11),"x","")</f>
        <v/>
      </c>
      <c r="S626" s="86" t="str">
        <f>IF(AND($O626=$Q$7,$B626&lt;'111'!$N$11),"x","")</f>
        <v/>
      </c>
      <c r="T626" s="86" t="str">
        <f>IF(AND($B626&gt;='112'!$M$9,$B626&lt;='112'!$N$9,OR($N626='112'!$I$6,$O626='112'!$I$6)),"x","")</f>
        <v/>
      </c>
      <c r="U626" s="86" t="str">
        <f>IF(AND($N626='112'!$I$6,$B626&lt;'112'!$M$9),"x","")</f>
        <v/>
      </c>
      <c r="V626" s="86" t="str">
        <f>IF(AND($O626='112'!$I$6,$B626&lt;'112'!$M$9),"x","")</f>
        <v/>
      </c>
      <c r="W626" s="86" t="str">
        <f>IF(AND('131-CT'!$H$9=TH!H626,OR(N626="131",O626="131")),"x","")</f>
        <v/>
      </c>
      <c r="X626" s="86" t="str">
        <f>IF(AND($B626&gt;='1331'!$I$9,$B626&lt;='1331'!$J$9,OR($N626=$X$7,$O626=$X$7)),"x","")</f>
        <v/>
      </c>
      <c r="Y626" s="86" t="str">
        <f>IF(AND($N626=$X$7,$B626&lt;'1331'!$I$9),"x","")</f>
        <v/>
      </c>
      <c r="Z626" s="86" t="str">
        <f>IF(AND($O626=$X$7,$B626&lt;'1331'!$I$9),"x","")</f>
        <v/>
      </c>
      <c r="AA626" s="86" t="str">
        <f>IF(AND('341-CT'!$H$9=H626,OR(LEFT(N626,3)=$AA$7,LEFT(O626,3)=$AA$7)),"x","")</f>
        <v/>
      </c>
      <c r="AB626" s="86" t="str">
        <f>IF(OR(TH!N626=TH!$AB$7,O626=TH!$AB$7),"x","")</f>
        <v/>
      </c>
      <c r="AC626" s="86" t="str">
        <f t="shared" si="45"/>
        <v/>
      </c>
      <c r="AD626" s="86" t="str">
        <f>IF(AND(MONTH(E626)&lt;='IN-NX'!$P$3,'IN-NX'!$D$7=D626,OR(LEFT(TH!N626,2)="15",LEFT(TH!O626,2)="15")),"x","")</f>
        <v/>
      </c>
      <c r="AE626" s="86" t="str">
        <f>IF(AND(OR(LEFT(TH!N626,2)="15",LEFT(TH!O626,2)="15"),'152-CT'!$J$8=TH!F626),"x","")</f>
        <v/>
      </c>
      <c r="AF626" s="86" t="str">
        <f>IF(AND(OR(LEFT(TH!N626,2)="15",LEFT(TH!O626,2)="15"),'THE KHO'!$E$7=TH!F626),"x","")</f>
        <v/>
      </c>
      <c r="AG626" s="86" t="str">
        <f>IF(AND(N626="1521",MONTH(C626)='BK NL'!$M$11),"x","")</f>
        <v/>
      </c>
    </row>
    <row r="627" spans="1:33" ht="15.75" customHeight="1">
      <c r="A627" s="398" t="str">
        <f>IF(B627&lt;&gt;"",IF(AND(B627&gt;=_TM1,B627&lt;=_TM2,OR(TH!N627="1111",TH!O627="1111")),TH!D627,""),"")</f>
        <v/>
      </c>
      <c r="B627" s="63" t="str">
        <f t="shared" si="43"/>
        <v/>
      </c>
      <c r="C627" s="64"/>
      <c r="D627" s="64"/>
      <c r="E627" s="64"/>
      <c r="F627" s="67"/>
      <c r="G627" s="361"/>
      <c r="H627" s="74"/>
      <c r="I627" s="515"/>
      <c r="J627" s="515"/>
      <c r="K627" s="507"/>
      <c r="L627" s="515"/>
      <c r="M627" s="65"/>
      <c r="N627" s="66"/>
      <c r="O627" s="66"/>
      <c r="P627" s="86" t="str">
        <f>IF(AND('331-CT'!$E$7=TH!H627,OR(N627="331",O627="331")),"x","")</f>
        <v/>
      </c>
      <c r="Q627" s="86" t="str">
        <f>IF(AND($B627&gt;='111'!$N$11,$B627&lt;='111'!$O$11,OR($N627=$Q$7,$O627=$Q$7)),"x","")</f>
        <v/>
      </c>
      <c r="R627" s="86" t="str">
        <f>IF(AND($N627=$Q$7,$B627&lt;'111'!$N$11),"x","")</f>
        <v/>
      </c>
      <c r="S627" s="86" t="str">
        <f>IF(AND($O627=$Q$7,$B627&lt;'111'!$N$11),"x","")</f>
        <v/>
      </c>
      <c r="T627" s="86" t="str">
        <f>IF(AND($B627&gt;='112'!$M$9,$B627&lt;='112'!$N$9,OR($N627='112'!$I$6,$O627='112'!$I$6)),"x","")</f>
        <v/>
      </c>
      <c r="U627" s="86" t="str">
        <f>IF(AND($N627='112'!$I$6,$B627&lt;'112'!$M$9),"x","")</f>
        <v/>
      </c>
      <c r="V627" s="86" t="str">
        <f>IF(AND($O627='112'!$I$6,$B627&lt;'112'!$M$9),"x","")</f>
        <v/>
      </c>
      <c r="W627" s="86" t="str">
        <f>IF(AND('131-CT'!$H$9=TH!H627,OR(N627="131",O627="131")),"x","")</f>
        <v/>
      </c>
      <c r="X627" s="86" t="str">
        <f>IF(AND($B627&gt;='1331'!$I$9,$B627&lt;='1331'!$J$9,OR($N627=$X$7,$O627=$X$7)),"x","")</f>
        <v/>
      </c>
      <c r="Y627" s="86" t="str">
        <f>IF(AND($N627=$X$7,$B627&lt;'1331'!$I$9),"x","")</f>
        <v/>
      </c>
      <c r="Z627" s="86" t="str">
        <f>IF(AND($O627=$X$7,$B627&lt;'1331'!$I$9),"x","")</f>
        <v/>
      </c>
      <c r="AA627" s="86" t="str">
        <f>IF(AND('341-CT'!$H$9=H627,OR(LEFT(N627,3)=$AA$7,LEFT(O627,3)=$AA$7)),"x","")</f>
        <v/>
      </c>
      <c r="AB627" s="86" t="str">
        <f>IF(OR(TH!N627=TH!$AB$7,O627=TH!$AB$7),"x","")</f>
        <v/>
      </c>
      <c r="AC627" s="86" t="str">
        <f t="shared" si="45"/>
        <v/>
      </c>
      <c r="AD627" s="86" t="str">
        <f>IF(AND(MONTH(E627)&lt;='IN-NX'!$P$3,'IN-NX'!$D$7=D627,OR(LEFT(TH!N627,2)="15",LEFT(TH!O627,2)="15")),"x","")</f>
        <v/>
      </c>
      <c r="AE627" s="86" t="str">
        <f>IF(AND(OR(LEFT(TH!N627,2)="15",LEFT(TH!O627,2)="15"),'152-CT'!$J$8=TH!F627),"x","")</f>
        <v/>
      </c>
      <c r="AF627" s="86" t="str">
        <f>IF(AND(OR(LEFT(TH!N627,2)="15",LEFT(TH!O627,2)="15"),'THE KHO'!$E$7=TH!F627),"x","")</f>
        <v/>
      </c>
      <c r="AG627" s="86" t="str">
        <f>IF(AND(N627="1521",MONTH(C627)='BK NL'!$M$11),"x","")</f>
        <v/>
      </c>
    </row>
    <row r="628" spans="1:33" ht="15.75" customHeight="1">
      <c r="A628" s="398" t="str">
        <f>IF(B628&lt;&gt;"",IF(AND(B628&gt;=_TM1,B628&lt;=_TM2,OR(TH!N628="1111",TH!O628="1111")),TH!D628,""),"")</f>
        <v/>
      </c>
      <c r="B628" s="63" t="str">
        <f t="shared" si="43"/>
        <v/>
      </c>
      <c r="C628" s="64"/>
      <c r="D628" s="64"/>
      <c r="E628" s="64"/>
      <c r="F628" s="67"/>
      <c r="G628" s="361"/>
      <c r="H628" s="74"/>
      <c r="I628" s="515"/>
      <c r="J628" s="515"/>
      <c r="K628" s="507"/>
      <c r="L628" s="515"/>
      <c r="M628" s="65"/>
      <c r="N628" s="66"/>
      <c r="O628" s="66"/>
      <c r="P628" s="86" t="str">
        <f>IF(AND('331-CT'!$E$7=TH!H628,OR(N628="331",O628="331")),"x","")</f>
        <v/>
      </c>
      <c r="Q628" s="86" t="str">
        <f>IF(AND($B628&gt;='111'!$N$11,$B628&lt;='111'!$O$11,OR($N628=$Q$7,$O628=$Q$7)),"x","")</f>
        <v/>
      </c>
      <c r="R628" s="86" t="str">
        <f>IF(AND($N628=$Q$7,$B628&lt;'111'!$N$11),"x","")</f>
        <v/>
      </c>
      <c r="S628" s="86" t="str">
        <f>IF(AND($O628=$Q$7,$B628&lt;'111'!$N$11),"x","")</f>
        <v/>
      </c>
      <c r="T628" s="86" t="str">
        <f>IF(AND($B628&gt;='112'!$M$9,$B628&lt;='112'!$N$9,OR($N628='112'!$I$6,$O628='112'!$I$6)),"x","")</f>
        <v/>
      </c>
      <c r="U628" s="86" t="str">
        <f>IF(AND($N628='112'!$I$6,$B628&lt;'112'!$M$9),"x","")</f>
        <v/>
      </c>
      <c r="V628" s="86" t="str">
        <f>IF(AND($O628='112'!$I$6,$B628&lt;'112'!$M$9),"x","")</f>
        <v/>
      </c>
      <c r="W628" s="86" t="str">
        <f>IF(AND('131-CT'!$H$9=TH!H628,OR(N628="131",O628="131")),"x","")</f>
        <v/>
      </c>
      <c r="X628" s="86" t="str">
        <f>IF(AND($B628&gt;='1331'!$I$9,$B628&lt;='1331'!$J$9,OR($N628=$X$7,$O628=$X$7)),"x","")</f>
        <v/>
      </c>
      <c r="Y628" s="86" t="str">
        <f>IF(AND($N628=$X$7,$B628&lt;'1331'!$I$9),"x","")</f>
        <v/>
      </c>
      <c r="Z628" s="86" t="str">
        <f>IF(AND($O628=$X$7,$B628&lt;'1331'!$I$9),"x","")</f>
        <v/>
      </c>
      <c r="AA628" s="86" t="str">
        <f>IF(AND('341-CT'!$H$9=H628,OR(LEFT(N628,3)=$AA$7,LEFT(O628,3)=$AA$7)),"x","")</f>
        <v/>
      </c>
      <c r="AB628" s="86" t="str">
        <f>IF(OR(TH!N628=TH!$AB$7,O628=TH!$AB$7),"x","")</f>
        <v/>
      </c>
      <c r="AC628" s="86" t="str">
        <f t="shared" si="45"/>
        <v/>
      </c>
      <c r="AD628" s="86" t="str">
        <f>IF(AND(MONTH(E628)&lt;='IN-NX'!$P$3,'IN-NX'!$D$7=D628,OR(LEFT(TH!N628,2)="15",LEFT(TH!O628,2)="15")),"x","")</f>
        <v/>
      </c>
      <c r="AE628" s="86" t="str">
        <f>IF(AND(OR(LEFT(TH!N628,2)="15",LEFT(TH!O628,2)="15"),'152-CT'!$J$8=TH!F628),"x","")</f>
        <v/>
      </c>
      <c r="AF628" s="86" t="str">
        <f>IF(AND(OR(LEFT(TH!N628,2)="15",LEFT(TH!O628,2)="15"),'THE KHO'!$E$7=TH!F628),"x","")</f>
        <v/>
      </c>
      <c r="AG628" s="86" t="str">
        <f>IF(AND(N628="1521",MONTH(C628)='BK NL'!$M$11),"x","")</f>
        <v/>
      </c>
    </row>
    <row r="629" spans="1:33" ht="15.75" customHeight="1">
      <c r="A629" s="398" t="str">
        <f>IF(B629&lt;&gt;"",IF(AND(B629&gt;=_TM1,B629&lt;=_TM2,OR(TH!N629="1111",TH!O629="1111")),TH!D629,""),"")</f>
        <v/>
      </c>
      <c r="B629" s="63" t="str">
        <f t="shared" si="43"/>
        <v/>
      </c>
      <c r="C629" s="64"/>
      <c r="D629" s="64"/>
      <c r="E629" s="64"/>
      <c r="F629" s="67"/>
      <c r="G629" s="361"/>
      <c r="H629" s="74"/>
      <c r="I629" s="515"/>
      <c r="J629" s="515"/>
      <c r="K629" s="507"/>
      <c r="L629" s="515"/>
      <c r="M629" s="65"/>
      <c r="N629" s="66"/>
      <c r="O629" s="66"/>
      <c r="P629" s="86" t="str">
        <f>IF(AND('331-CT'!$E$7=TH!H629,OR(N629="331",O629="331")),"x","")</f>
        <v/>
      </c>
      <c r="Q629" s="86" t="str">
        <f>IF(AND($B629&gt;='111'!$N$11,$B629&lt;='111'!$O$11,OR($N629=$Q$7,$O629=$Q$7)),"x","")</f>
        <v/>
      </c>
      <c r="R629" s="86" t="str">
        <f>IF(AND($N629=$Q$7,$B629&lt;'111'!$N$11),"x","")</f>
        <v/>
      </c>
      <c r="S629" s="86" t="str">
        <f>IF(AND($O629=$Q$7,$B629&lt;'111'!$N$11),"x","")</f>
        <v/>
      </c>
      <c r="T629" s="86" t="str">
        <f>IF(AND($B629&gt;='112'!$M$9,$B629&lt;='112'!$N$9,OR($N629='112'!$I$6,$O629='112'!$I$6)),"x","")</f>
        <v/>
      </c>
      <c r="U629" s="86" t="str">
        <f>IF(AND($N629='112'!$I$6,$B629&lt;'112'!$M$9),"x","")</f>
        <v/>
      </c>
      <c r="V629" s="86" t="str">
        <f>IF(AND($O629='112'!$I$6,$B629&lt;'112'!$M$9),"x","")</f>
        <v/>
      </c>
      <c r="W629" s="86" t="str">
        <f>IF(AND('131-CT'!$H$9=TH!H629,OR(N629="131",O629="131")),"x","")</f>
        <v/>
      </c>
      <c r="X629" s="86" t="str">
        <f>IF(AND($B629&gt;='1331'!$I$9,$B629&lt;='1331'!$J$9,OR($N629=$X$7,$O629=$X$7)),"x","")</f>
        <v/>
      </c>
      <c r="Y629" s="86" t="str">
        <f>IF(AND($N629=$X$7,$B629&lt;'1331'!$I$9),"x","")</f>
        <v/>
      </c>
      <c r="Z629" s="86" t="str">
        <f>IF(AND($O629=$X$7,$B629&lt;'1331'!$I$9),"x","")</f>
        <v/>
      </c>
      <c r="AA629" s="86" t="str">
        <f>IF(AND('341-CT'!$H$9=H629,OR(LEFT(N629,3)=$AA$7,LEFT(O629,3)=$AA$7)),"x","")</f>
        <v/>
      </c>
      <c r="AB629" s="86" t="str">
        <f>IF(OR(TH!N629=TH!$AB$7,O629=TH!$AB$7),"x","")</f>
        <v/>
      </c>
      <c r="AC629" s="86" t="str">
        <f t="shared" si="45"/>
        <v/>
      </c>
      <c r="AD629" s="86" t="str">
        <f>IF(AND(MONTH(E629)&lt;='IN-NX'!$P$3,'IN-NX'!$D$7=D629,OR(LEFT(TH!N629,2)="15",LEFT(TH!O629,2)="15")),"x","")</f>
        <v/>
      </c>
      <c r="AE629" s="86" t="str">
        <f>IF(AND(OR(LEFT(TH!N629,2)="15",LEFT(TH!O629,2)="15"),'152-CT'!$J$8=TH!F629),"x","")</f>
        <v/>
      </c>
      <c r="AF629" s="86" t="str">
        <f>IF(AND(OR(LEFT(TH!N629,2)="15",LEFT(TH!O629,2)="15"),'THE KHO'!$E$7=TH!F629),"x","")</f>
        <v/>
      </c>
      <c r="AG629" s="86" t="str">
        <f>IF(AND(N629="1521",MONTH(C629)='BK NL'!$M$11),"x","")</f>
        <v/>
      </c>
    </row>
    <row r="630" spans="1:33" ht="15.75" customHeight="1">
      <c r="A630" s="398" t="str">
        <f>IF(B630&lt;&gt;"",IF(AND(B630&gt;=_TM1,B630&lt;=_TM2,OR(TH!N630="1111",TH!O630="1111")),TH!D630,""),"")</f>
        <v/>
      </c>
      <c r="B630" s="63" t="str">
        <f t="shared" si="43"/>
        <v/>
      </c>
      <c r="C630" s="64"/>
      <c r="D630" s="64"/>
      <c r="E630" s="64"/>
      <c r="F630" s="67"/>
      <c r="G630" s="361"/>
      <c r="H630" s="74"/>
      <c r="I630" s="515"/>
      <c r="J630" s="515"/>
      <c r="K630" s="507"/>
      <c r="L630" s="515"/>
      <c r="M630" s="65"/>
      <c r="N630" s="66"/>
      <c r="O630" s="66"/>
      <c r="P630" s="86" t="str">
        <f>IF(AND('331-CT'!$E$7=TH!H630,OR(N630="331",O630="331")),"x","")</f>
        <v/>
      </c>
      <c r="Q630" s="86" t="str">
        <f>IF(AND($B630&gt;='111'!$N$11,$B630&lt;='111'!$O$11,OR($N630=$Q$7,$O630=$Q$7)),"x","")</f>
        <v/>
      </c>
      <c r="R630" s="86" t="str">
        <f>IF(AND($N630=$Q$7,$B630&lt;'111'!$N$11),"x","")</f>
        <v/>
      </c>
      <c r="S630" s="86" t="str">
        <f>IF(AND($O630=$Q$7,$B630&lt;'111'!$N$11),"x","")</f>
        <v/>
      </c>
      <c r="T630" s="86" t="str">
        <f>IF(AND($B630&gt;='112'!$M$9,$B630&lt;='112'!$N$9,OR($N630='112'!$I$6,$O630='112'!$I$6)),"x","")</f>
        <v/>
      </c>
      <c r="U630" s="86" t="str">
        <f>IF(AND($N630='112'!$I$6,$B630&lt;'112'!$M$9),"x","")</f>
        <v/>
      </c>
      <c r="V630" s="86" t="str">
        <f>IF(AND($O630='112'!$I$6,$B630&lt;'112'!$M$9),"x","")</f>
        <v/>
      </c>
      <c r="W630" s="86" t="str">
        <f>IF(AND('131-CT'!$H$9=TH!H630,OR(N630="131",O630="131")),"x","")</f>
        <v/>
      </c>
      <c r="X630" s="86" t="str">
        <f>IF(AND($B630&gt;='1331'!$I$9,$B630&lt;='1331'!$J$9,OR($N630=$X$7,$O630=$X$7)),"x","")</f>
        <v/>
      </c>
      <c r="Y630" s="86" t="str">
        <f>IF(AND($N630=$X$7,$B630&lt;'1331'!$I$9),"x","")</f>
        <v/>
      </c>
      <c r="Z630" s="86" t="str">
        <f>IF(AND($O630=$X$7,$B630&lt;'1331'!$I$9),"x","")</f>
        <v/>
      </c>
      <c r="AA630" s="86" t="str">
        <f>IF(AND('341-CT'!$H$9=H630,OR(LEFT(N630,3)=$AA$7,LEFT(O630,3)=$AA$7)),"x","")</f>
        <v/>
      </c>
      <c r="AB630" s="86" t="str">
        <f>IF(OR(TH!N630=TH!$AB$7,O630=TH!$AB$7),"x","")</f>
        <v/>
      </c>
      <c r="AC630" s="86" t="str">
        <f t="shared" si="45"/>
        <v/>
      </c>
      <c r="AD630" s="86" t="str">
        <f>IF(AND(MONTH(E630)&lt;='IN-NX'!$P$3,'IN-NX'!$D$7=D630,OR(LEFT(TH!N630,2)="15",LEFT(TH!O630,2)="15")),"x","")</f>
        <v/>
      </c>
      <c r="AE630" s="86" t="str">
        <f>IF(AND(OR(LEFT(TH!N630,2)="15",LEFT(TH!O630,2)="15"),'152-CT'!$J$8=TH!F630),"x","")</f>
        <v/>
      </c>
      <c r="AF630" s="86" t="str">
        <f>IF(AND(OR(LEFT(TH!N630,2)="15",LEFT(TH!O630,2)="15"),'THE KHO'!$E$7=TH!F630),"x","")</f>
        <v/>
      </c>
      <c r="AG630" s="86" t="str">
        <f>IF(AND(N630="1521",MONTH(C630)='BK NL'!$M$11),"x","")</f>
        <v/>
      </c>
    </row>
    <row r="631" spans="1:33" ht="15.75" customHeight="1">
      <c r="A631" s="398" t="str">
        <f>IF(B631&lt;&gt;"",IF(AND(B631&gt;=_TM1,B631&lt;=_TM2,OR(TH!N631="1111",TH!O631="1111")),TH!D631,""),"")</f>
        <v/>
      </c>
      <c r="B631" s="63" t="str">
        <f t="shared" si="43"/>
        <v/>
      </c>
      <c r="C631" s="64"/>
      <c r="D631" s="64"/>
      <c r="E631" s="64"/>
      <c r="F631" s="67"/>
      <c r="G631" s="361"/>
      <c r="H631" s="74"/>
      <c r="I631" s="515"/>
      <c r="J631" s="515"/>
      <c r="K631" s="507"/>
      <c r="L631" s="515"/>
      <c r="M631" s="65"/>
      <c r="N631" s="66"/>
      <c r="O631" s="66"/>
      <c r="P631" s="86" t="str">
        <f>IF(AND('331-CT'!$E$7=TH!H631,OR(N631="331",O631="331")),"x","")</f>
        <v/>
      </c>
      <c r="Q631" s="86" t="str">
        <f>IF(AND($B631&gt;='111'!$N$11,$B631&lt;='111'!$O$11,OR($N631=$Q$7,$O631=$Q$7)),"x","")</f>
        <v/>
      </c>
      <c r="R631" s="86" t="str">
        <f>IF(AND($N631=$Q$7,$B631&lt;'111'!$N$11),"x","")</f>
        <v/>
      </c>
      <c r="S631" s="86" t="str">
        <f>IF(AND($O631=$Q$7,$B631&lt;'111'!$N$11),"x","")</f>
        <v/>
      </c>
      <c r="T631" s="86" t="str">
        <f>IF(AND($B631&gt;='112'!$M$9,$B631&lt;='112'!$N$9,OR($N631='112'!$I$6,$O631='112'!$I$6)),"x","")</f>
        <v/>
      </c>
      <c r="U631" s="86" t="str">
        <f>IF(AND($N631='112'!$I$6,$B631&lt;'112'!$M$9),"x","")</f>
        <v/>
      </c>
      <c r="V631" s="86" t="str">
        <f>IF(AND($O631='112'!$I$6,$B631&lt;'112'!$M$9),"x","")</f>
        <v/>
      </c>
      <c r="W631" s="86" t="str">
        <f>IF(AND('131-CT'!$H$9=TH!H631,OR(N631="131",O631="131")),"x","")</f>
        <v/>
      </c>
      <c r="X631" s="86" t="str">
        <f>IF(AND($B631&gt;='1331'!$I$9,$B631&lt;='1331'!$J$9,OR($N631=$X$7,$O631=$X$7)),"x","")</f>
        <v/>
      </c>
      <c r="Y631" s="86" t="str">
        <f>IF(AND($N631=$X$7,$B631&lt;'1331'!$I$9),"x","")</f>
        <v/>
      </c>
      <c r="Z631" s="86" t="str">
        <f>IF(AND($O631=$X$7,$B631&lt;'1331'!$I$9),"x","")</f>
        <v/>
      </c>
      <c r="AA631" s="86" t="str">
        <f>IF(AND('341-CT'!$H$9=H631,OR(LEFT(N631,3)=$AA$7,LEFT(O631,3)=$AA$7)),"x","")</f>
        <v/>
      </c>
      <c r="AB631" s="86" t="str">
        <f>IF(OR(TH!N631=TH!$AB$7,O631=TH!$AB$7),"x","")</f>
        <v/>
      </c>
      <c r="AC631" s="86" t="str">
        <f t="shared" si="45"/>
        <v/>
      </c>
      <c r="AD631" s="86" t="str">
        <f>IF(AND(MONTH(E631)&lt;='IN-NX'!$P$3,'IN-NX'!$D$7=D631,OR(LEFT(TH!N631,2)="15",LEFT(TH!O631,2)="15")),"x","")</f>
        <v/>
      </c>
      <c r="AE631" s="86" t="str">
        <f>IF(AND(OR(LEFT(TH!N631,2)="15",LEFT(TH!O631,2)="15"),'152-CT'!$J$8=TH!F631),"x","")</f>
        <v/>
      </c>
      <c r="AF631" s="86" t="str">
        <f>IF(AND(OR(LEFT(TH!N631,2)="15",LEFT(TH!O631,2)="15"),'THE KHO'!$E$7=TH!F631),"x","")</f>
        <v/>
      </c>
      <c r="AG631" s="86" t="str">
        <f>IF(AND(N631="1521",MONTH(C631)='BK NL'!$M$11),"x","")</f>
        <v/>
      </c>
    </row>
    <row r="632" spans="1:33" ht="15.75" customHeight="1">
      <c r="A632" s="398" t="str">
        <f>IF(B632&lt;&gt;"",IF(AND(B632&gt;=_TM1,B632&lt;=_TM2,OR(TH!N632="1111",TH!O632="1111")),TH!D632,""),"")</f>
        <v/>
      </c>
      <c r="B632" s="63" t="str">
        <f t="shared" si="43"/>
        <v/>
      </c>
      <c r="C632" s="64"/>
      <c r="D632" s="64"/>
      <c r="E632" s="64"/>
      <c r="F632" s="67"/>
      <c r="G632" s="361"/>
      <c r="H632" s="74"/>
      <c r="I632" s="515"/>
      <c r="J632" s="515"/>
      <c r="K632" s="507"/>
      <c r="L632" s="515"/>
      <c r="M632" s="65"/>
      <c r="N632" s="66"/>
      <c r="O632" s="66"/>
      <c r="P632" s="86" t="str">
        <f>IF(AND('331-CT'!$E$7=TH!H632,OR(N632="331",O632="331")),"x","")</f>
        <v/>
      </c>
      <c r="Q632" s="86" t="str">
        <f>IF(AND($B632&gt;='111'!$N$11,$B632&lt;='111'!$O$11,OR($N632=$Q$7,$O632=$Q$7)),"x","")</f>
        <v/>
      </c>
      <c r="R632" s="86" t="str">
        <f>IF(AND($N632=$Q$7,$B632&lt;'111'!$N$11),"x","")</f>
        <v/>
      </c>
      <c r="S632" s="86" t="str">
        <f>IF(AND($O632=$Q$7,$B632&lt;'111'!$N$11),"x","")</f>
        <v/>
      </c>
      <c r="T632" s="86" t="str">
        <f>IF(AND($B632&gt;='112'!$M$9,$B632&lt;='112'!$N$9,OR($N632='112'!$I$6,$O632='112'!$I$6)),"x","")</f>
        <v/>
      </c>
      <c r="U632" s="86" t="str">
        <f>IF(AND($N632='112'!$I$6,$B632&lt;'112'!$M$9),"x","")</f>
        <v/>
      </c>
      <c r="V632" s="86" t="str">
        <f>IF(AND($O632='112'!$I$6,$B632&lt;'112'!$M$9),"x","")</f>
        <v/>
      </c>
      <c r="W632" s="86" t="str">
        <f>IF(AND('131-CT'!$H$9=TH!H632,OR(N632="131",O632="131")),"x","")</f>
        <v/>
      </c>
      <c r="X632" s="86" t="str">
        <f>IF(AND($B632&gt;='1331'!$I$9,$B632&lt;='1331'!$J$9,OR($N632=$X$7,$O632=$X$7)),"x","")</f>
        <v/>
      </c>
      <c r="Y632" s="86" t="str">
        <f>IF(AND($N632=$X$7,$B632&lt;'1331'!$I$9),"x","")</f>
        <v/>
      </c>
      <c r="Z632" s="86" t="str">
        <f>IF(AND($O632=$X$7,$B632&lt;'1331'!$I$9),"x","")</f>
        <v/>
      </c>
      <c r="AA632" s="86" t="str">
        <f>IF(AND('341-CT'!$H$9=H632,OR(LEFT(N632,3)=$AA$7,LEFT(O632,3)=$AA$7)),"x","")</f>
        <v/>
      </c>
      <c r="AB632" s="86" t="str">
        <f>IF(OR(TH!N632=TH!$AB$7,O632=TH!$AB$7),"x","")</f>
        <v/>
      </c>
      <c r="AC632" s="86" t="str">
        <f t="shared" si="45"/>
        <v/>
      </c>
      <c r="AD632" s="86" t="str">
        <f>IF(AND(MONTH(E632)&lt;='IN-NX'!$P$3,'IN-NX'!$D$7=D632,OR(LEFT(TH!N632,2)="15",LEFT(TH!O632,2)="15")),"x","")</f>
        <v/>
      </c>
      <c r="AE632" s="86" t="str">
        <f>IF(AND(OR(LEFT(TH!N632,2)="15",LEFT(TH!O632,2)="15"),'152-CT'!$J$8=TH!F632),"x","")</f>
        <v/>
      </c>
      <c r="AF632" s="86" t="str">
        <f>IF(AND(OR(LEFT(TH!N632,2)="15",LEFT(TH!O632,2)="15"),'THE KHO'!$E$7=TH!F632),"x","")</f>
        <v/>
      </c>
      <c r="AG632" s="86" t="str">
        <f>IF(AND(N632="1521",MONTH(C632)='BK NL'!$M$11),"x","")</f>
        <v/>
      </c>
    </row>
    <row r="633" spans="1:33" ht="15.75" customHeight="1">
      <c r="A633" s="398" t="str">
        <f>IF(B633&lt;&gt;"",IF(AND(B633&gt;=_TM1,B633&lt;=_TM2,OR(TH!N633="1111",TH!O633="1111")),TH!D633,""),"")</f>
        <v/>
      </c>
      <c r="B633" s="63" t="str">
        <f t="shared" si="43"/>
        <v/>
      </c>
      <c r="C633" s="64"/>
      <c r="D633" s="64"/>
      <c r="E633" s="64"/>
      <c r="F633" s="67"/>
      <c r="G633" s="375"/>
      <c r="H633" s="74"/>
      <c r="I633" s="515"/>
      <c r="J633" s="515"/>
      <c r="K633" s="507"/>
      <c r="L633" s="515"/>
      <c r="M633" s="65"/>
      <c r="N633" s="66"/>
      <c r="O633" s="66"/>
      <c r="P633" s="86" t="str">
        <f>IF(AND('331-CT'!$E$7=TH!H633,OR(N633="331",O633="331")),"x","")</f>
        <v/>
      </c>
      <c r="Q633" s="86" t="str">
        <f>IF(AND($B633&gt;='111'!$N$11,$B633&lt;='111'!$O$11,OR($N633=$Q$7,$O633=$Q$7)),"x","")</f>
        <v/>
      </c>
      <c r="R633" s="86" t="str">
        <f>IF(AND($N633=$Q$7,$B633&lt;'111'!$N$11),"x","")</f>
        <v/>
      </c>
      <c r="S633" s="86" t="str">
        <f>IF(AND($O633=$Q$7,$B633&lt;'111'!$N$11),"x","")</f>
        <v/>
      </c>
      <c r="T633" s="86" t="str">
        <f>IF(AND($B633&gt;='112'!$M$9,$B633&lt;='112'!$N$9,OR($N633='112'!$I$6,$O633='112'!$I$6)),"x","")</f>
        <v/>
      </c>
      <c r="U633" s="86" t="str">
        <f>IF(AND($N633='112'!$I$6,$B633&lt;'112'!$M$9),"x","")</f>
        <v/>
      </c>
      <c r="V633" s="86" t="str">
        <f>IF(AND($O633='112'!$I$6,$B633&lt;'112'!$M$9),"x","")</f>
        <v/>
      </c>
      <c r="W633" s="86" t="str">
        <f>IF(AND('131-CT'!$H$9=TH!H633,OR(N633="131",O633="131")),"x","")</f>
        <v/>
      </c>
      <c r="X633" s="86" t="str">
        <f>IF(AND($B633&gt;='1331'!$I$9,$B633&lt;='1331'!$J$9,OR($N633=$X$7,$O633=$X$7)),"x","")</f>
        <v/>
      </c>
      <c r="Y633" s="86" t="str">
        <f>IF(AND($N633=$X$7,$B633&lt;'1331'!$I$9),"x","")</f>
        <v/>
      </c>
      <c r="Z633" s="86" t="str">
        <f>IF(AND($O633=$X$7,$B633&lt;'1331'!$I$9),"x","")</f>
        <v/>
      </c>
      <c r="AA633" s="86" t="str">
        <f>IF(AND('341-CT'!$H$9=H633,OR(LEFT(N633,3)=$AA$7,LEFT(O633,3)=$AA$7)),"x","")</f>
        <v/>
      </c>
      <c r="AB633" s="86" t="str">
        <f>IF(OR(TH!N633=TH!$AB$7,O633=TH!$AB$7),"x","")</f>
        <v/>
      </c>
      <c r="AC633" s="86" t="str">
        <f t="shared" si="45"/>
        <v/>
      </c>
      <c r="AD633" s="86" t="str">
        <f>IF(AND(MONTH(E633)&lt;='IN-NX'!$P$3,'IN-NX'!$D$7=D633,OR(LEFT(TH!N633,2)="15",LEFT(TH!O633,2)="15")),"x","")</f>
        <v/>
      </c>
      <c r="AE633" s="86" t="str">
        <f>IF(AND(OR(LEFT(TH!N633,2)="15",LEFT(TH!O633,2)="15"),'152-CT'!$J$8=TH!F633),"x","")</f>
        <v/>
      </c>
      <c r="AF633" s="86" t="str">
        <f>IF(AND(OR(LEFT(TH!N633,2)="15",LEFT(TH!O633,2)="15"),'THE KHO'!$E$7=TH!F633),"x","")</f>
        <v/>
      </c>
      <c r="AG633" s="86" t="str">
        <f>IF(AND(N633="1521",MONTH(C633)='BK NL'!$M$11),"x","")</f>
        <v/>
      </c>
    </row>
    <row r="634" spans="1:33" ht="15.75" customHeight="1">
      <c r="A634" s="398" t="str">
        <f>IF(B634&lt;&gt;"",IF(AND(B634&gt;=_TM1,B634&lt;=_TM2,OR(TH!N634="1111",TH!O634="1111")),TH!D634,""),"")</f>
        <v/>
      </c>
      <c r="B634" s="63" t="str">
        <f t="shared" si="43"/>
        <v/>
      </c>
      <c r="C634" s="64"/>
      <c r="D634" s="64"/>
      <c r="E634" s="64"/>
      <c r="F634" s="67"/>
      <c r="G634" s="375"/>
      <c r="H634" s="74"/>
      <c r="I634" s="515"/>
      <c r="J634" s="515"/>
      <c r="K634" s="507"/>
      <c r="L634" s="515"/>
      <c r="M634" s="65"/>
      <c r="N634" s="66"/>
      <c r="O634" s="66"/>
      <c r="P634" s="86" t="str">
        <f>IF(AND('331-CT'!$E$7=TH!H634,OR(N634="331",O634="331")),"x","")</f>
        <v/>
      </c>
      <c r="Q634" s="86" t="str">
        <f>IF(AND($B634&gt;='111'!$N$11,$B634&lt;='111'!$O$11,OR($N634=$Q$7,$O634=$Q$7)),"x","")</f>
        <v/>
      </c>
      <c r="R634" s="86" t="str">
        <f>IF(AND($N634=$Q$7,$B634&lt;'111'!$N$11),"x","")</f>
        <v/>
      </c>
      <c r="S634" s="86" t="str">
        <f>IF(AND($O634=$Q$7,$B634&lt;'111'!$N$11),"x","")</f>
        <v/>
      </c>
      <c r="T634" s="86" t="str">
        <f>IF(AND($B634&gt;='112'!$M$9,$B634&lt;='112'!$N$9,OR($N634='112'!$I$6,$O634='112'!$I$6)),"x","")</f>
        <v/>
      </c>
      <c r="U634" s="86" t="str">
        <f>IF(AND($N634='112'!$I$6,$B634&lt;'112'!$M$9),"x","")</f>
        <v/>
      </c>
      <c r="V634" s="86" t="str">
        <f>IF(AND($O634='112'!$I$6,$B634&lt;'112'!$M$9),"x","")</f>
        <v/>
      </c>
      <c r="W634" s="86" t="str">
        <f>IF(AND('131-CT'!$H$9=TH!H634,OR(N634="131",O634="131")),"x","")</f>
        <v/>
      </c>
      <c r="X634" s="86" t="str">
        <f>IF(AND($B634&gt;='1331'!$I$9,$B634&lt;='1331'!$J$9,OR($N634=$X$7,$O634=$X$7)),"x","")</f>
        <v/>
      </c>
      <c r="Y634" s="86" t="str">
        <f>IF(AND($N634=$X$7,$B634&lt;'1331'!$I$9),"x","")</f>
        <v/>
      </c>
      <c r="Z634" s="86" t="str">
        <f>IF(AND($O634=$X$7,$B634&lt;'1331'!$I$9),"x","")</f>
        <v/>
      </c>
      <c r="AA634" s="86" t="str">
        <f>IF(AND('341-CT'!$H$9=H634,OR(LEFT(N634,3)=$AA$7,LEFT(O634,3)=$AA$7)),"x","")</f>
        <v/>
      </c>
      <c r="AB634" s="86" t="str">
        <f>IF(OR(TH!N634=TH!$AB$7,O634=TH!$AB$7),"x","")</f>
        <v/>
      </c>
      <c r="AC634" s="86" t="str">
        <f t="shared" si="45"/>
        <v/>
      </c>
      <c r="AD634" s="86" t="str">
        <f>IF(AND(MONTH(E634)&lt;='IN-NX'!$P$3,'IN-NX'!$D$7=D634,OR(LEFT(TH!N634,2)="15",LEFT(TH!O634,2)="15")),"x","")</f>
        <v/>
      </c>
      <c r="AE634" s="86" t="str">
        <f>IF(AND(OR(LEFT(TH!N634,2)="15",LEFT(TH!O634,2)="15"),'152-CT'!$J$8=TH!F634),"x","")</f>
        <v/>
      </c>
      <c r="AF634" s="86" t="str">
        <f>IF(AND(OR(LEFT(TH!N634,2)="15",LEFT(TH!O634,2)="15"),'THE KHO'!$E$7=TH!F634),"x","")</f>
        <v/>
      </c>
      <c r="AG634" s="86" t="str">
        <f>IF(AND(N634="1521",MONTH(C634)='BK NL'!$M$11),"x","")</f>
        <v/>
      </c>
    </row>
    <row r="635" spans="1:33" ht="15.75" customHeight="1">
      <c r="A635" s="398" t="str">
        <f>IF(B635&lt;&gt;"",IF(AND(B635&gt;=_TM1,B635&lt;=_TM2,OR(TH!N635="1111",TH!O635="1111")),TH!D635,""),"")</f>
        <v/>
      </c>
      <c r="B635" s="63" t="str">
        <f t="shared" si="43"/>
        <v/>
      </c>
      <c r="C635" s="64"/>
      <c r="D635" s="64"/>
      <c r="E635" s="64"/>
      <c r="F635" s="67"/>
      <c r="G635" s="375"/>
      <c r="H635" s="74"/>
      <c r="I635" s="515"/>
      <c r="J635" s="515"/>
      <c r="K635" s="507"/>
      <c r="L635" s="515"/>
      <c r="M635" s="65"/>
      <c r="N635" s="365"/>
      <c r="O635" s="66"/>
      <c r="P635" s="86" t="str">
        <f>IF(AND('331-CT'!$E$7=TH!H635,OR(N635="331",O635="331")),"x","")</f>
        <v/>
      </c>
      <c r="Q635" s="86" t="str">
        <f>IF(AND($B635&gt;='111'!$N$11,$B635&lt;='111'!$O$11,OR($N635=$Q$7,$O635=$Q$7)),"x","")</f>
        <v/>
      </c>
      <c r="R635" s="86" t="str">
        <f>IF(AND($N635=$Q$7,$B635&lt;'111'!$N$11),"x","")</f>
        <v/>
      </c>
      <c r="S635" s="86" t="str">
        <f>IF(AND($O635=$Q$7,$B635&lt;'111'!$N$11),"x","")</f>
        <v/>
      </c>
      <c r="T635" s="86" t="str">
        <f>IF(AND($B635&gt;='112'!$M$9,$B635&lt;='112'!$N$9,OR($N635='112'!$I$6,$O635='112'!$I$6)),"x","")</f>
        <v/>
      </c>
      <c r="U635" s="86" t="str">
        <f>IF(AND($N635='112'!$I$6,$B635&lt;'112'!$M$9),"x","")</f>
        <v/>
      </c>
      <c r="V635" s="86" t="str">
        <f>IF(AND($O635='112'!$I$6,$B635&lt;'112'!$M$9),"x","")</f>
        <v/>
      </c>
      <c r="W635" s="86" t="str">
        <f>IF(AND('131-CT'!$H$9=TH!H635,OR(N635="131",O635="131")),"x","")</f>
        <v/>
      </c>
      <c r="X635" s="86" t="str">
        <f>IF(AND($B635&gt;='1331'!$I$9,$B635&lt;='1331'!$J$9,OR($N635=$X$7,$O635=$X$7)),"x","")</f>
        <v/>
      </c>
      <c r="Y635" s="86" t="str">
        <f>IF(AND($N635=$X$7,$B635&lt;'1331'!$I$9),"x","")</f>
        <v/>
      </c>
      <c r="Z635" s="86" t="str">
        <f>IF(AND($O635=$X$7,$B635&lt;'1331'!$I$9),"x","")</f>
        <v/>
      </c>
      <c r="AA635" s="86" t="str">
        <f>IF(AND('341-CT'!$H$9=H635,OR(LEFT(N635,3)=$AA$7,LEFT(O635,3)=$AA$7)),"x","")</f>
        <v/>
      </c>
      <c r="AB635" s="86" t="str">
        <f>IF(OR(TH!N635=TH!$AB$7,O635=TH!$AB$7),"x","")</f>
        <v/>
      </c>
      <c r="AC635" s="86" t="str">
        <f t="shared" si="45"/>
        <v/>
      </c>
      <c r="AD635" s="86" t="str">
        <f>IF(AND(MONTH(E635)&lt;='IN-NX'!$P$3,'IN-NX'!$D$7=D635,OR(LEFT(TH!N635,2)="15",LEFT(TH!O635,2)="15")),"x","")</f>
        <v/>
      </c>
      <c r="AE635" s="86" t="str">
        <f>IF(AND(OR(LEFT(TH!N635,2)="15",LEFT(TH!O635,2)="15"),'152-CT'!$J$8=TH!F635),"x","")</f>
        <v/>
      </c>
      <c r="AF635" s="86" t="str">
        <f>IF(AND(OR(LEFT(TH!N635,2)="15",LEFT(TH!O635,2)="15"),'THE KHO'!$E$7=TH!F635),"x","")</f>
        <v/>
      </c>
      <c r="AG635" s="86" t="str">
        <f>IF(AND(N635="1521",MONTH(C635)='BK NL'!$M$11),"x","")</f>
        <v/>
      </c>
    </row>
    <row r="636" spans="1:33" ht="15.75" customHeight="1">
      <c r="A636" s="398" t="str">
        <f>IF(B636&lt;&gt;"",IF(AND(B636&gt;=_TM1,B636&lt;=_TM2,OR(TH!N636="1111",TH!O636="1111")),TH!D636,""),"")</f>
        <v/>
      </c>
      <c r="B636" s="63" t="str">
        <f t="shared" si="43"/>
        <v/>
      </c>
      <c r="C636" s="64"/>
      <c r="D636" s="64"/>
      <c r="E636" s="64"/>
      <c r="F636" s="67"/>
      <c r="G636" s="375"/>
      <c r="H636" s="74"/>
      <c r="I636" s="515"/>
      <c r="J636" s="515"/>
      <c r="K636" s="507"/>
      <c r="L636" s="515"/>
      <c r="M636" s="65"/>
      <c r="N636" s="365"/>
      <c r="O636" s="66"/>
      <c r="P636" s="86" t="str">
        <f>IF(AND('331-CT'!$E$7=TH!H636,OR(N636="331",O636="331")),"x","")</f>
        <v/>
      </c>
      <c r="Q636" s="86" t="str">
        <f>IF(AND($B636&gt;='111'!$N$11,$B636&lt;='111'!$O$11,OR($N636=$Q$7,$O636=$Q$7)),"x","")</f>
        <v/>
      </c>
      <c r="R636" s="86" t="str">
        <f>IF(AND($N636=$Q$7,$B636&lt;'111'!$N$11),"x","")</f>
        <v/>
      </c>
      <c r="S636" s="86" t="str">
        <f>IF(AND($O636=$Q$7,$B636&lt;'111'!$N$11),"x","")</f>
        <v/>
      </c>
      <c r="T636" s="86" t="str">
        <f>IF(AND($B636&gt;='112'!$M$9,$B636&lt;='112'!$N$9,OR($N636='112'!$I$6,$O636='112'!$I$6)),"x","")</f>
        <v/>
      </c>
      <c r="U636" s="86" t="str">
        <f>IF(AND($N636='112'!$I$6,$B636&lt;'112'!$M$9),"x","")</f>
        <v/>
      </c>
      <c r="V636" s="86" t="str">
        <f>IF(AND($O636='112'!$I$6,$B636&lt;'112'!$M$9),"x","")</f>
        <v/>
      </c>
      <c r="W636" s="86" t="str">
        <f>IF(AND('131-CT'!$H$9=TH!H636,OR(N636="131",O636="131")),"x","")</f>
        <v/>
      </c>
      <c r="X636" s="86" t="str">
        <f>IF(AND($B636&gt;='1331'!$I$9,$B636&lt;='1331'!$J$9,OR($N636=$X$7,$O636=$X$7)),"x","")</f>
        <v/>
      </c>
      <c r="Y636" s="86" t="str">
        <f>IF(AND($N636=$X$7,$B636&lt;'1331'!$I$9),"x","")</f>
        <v/>
      </c>
      <c r="Z636" s="86" t="str">
        <f>IF(AND($O636=$X$7,$B636&lt;'1331'!$I$9),"x","")</f>
        <v/>
      </c>
      <c r="AA636" s="86" t="str">
        <f>IF(AND('341-CT'!$H$9=H636,OR(LEFT(N636,3)=$AA$7,LEFT(O636,3)=$AA$7)),"x","")</f>
        <v/>
      </c>
      <c r="AB636" s="86" t="str">
        <f>IF(OR(TH!N636=TH!$AB$7,O636=TH!$AB$7),"x","")</f>
        <v/>
      </c>
      <c r="AC636" s="86" t="str">
        <f t="shared" si="45"/>
        <v/>
      </c>
      <c r="AD636" s="86" t="str">
        <f>IF(AND(MONTH(E636)&lt;='IN-NX'!$P$3,'IN-NX'!$D$7=D636,OR(LEFT(TH!N636,2)="15",LEFT(TH!O636,2)="15")),"x","")</f>
        <v/>
      </c>
      <c r="AE636" s="86" t="str">
        <f>IF(AND(OR(LEFT(TH!N636,2)="15",LEFT(TH!O636,2)="15"),'152-CT'!$J$8=TH!F636),"x","")</f>
        <v/>
      </c>
      <c r="AF636" s="86" t="str">
        <f>IF(AND(OR(LEFT(TH!N636,2)="15",LEFT(TH!O636,2)="15"),'THE KHO'!$E$7=TH!F636),"x","")</f>
        <v/>
      </c>
      <c r="AG636" s="86" t="str">
        <f>IF(AND(N636="1521",MONTH(C636)='BK NL'!$M$11),"x","")</f>
        <v/>
      </c>
    </row>
    <row r="637" spans="1:33" ht="15.75" customHeight="1">
      <c r="A637" s="398" t="str">
        <f>IF(B637&lt;&gt;"",IF(AND(B637&gt;=_TM1,B637&lt;=_TM2,OR(TH!N637="1111",TH!O637="1111")),TH!D637,""),"")</f>
        <v/>
      </c>
      <c r="B637" s="63" t="str">
        <f t="shared" si="43"/>
        <v/>
      </c>
      <c r="C637" s="64"/>
      <c r="D637" s="64"/>
      <c r="E637" s="64"/>
      <c r="F637" s="67"/>
      <c r="G637" s="375"/>
      <c r="H637" s="74"/>
      <c r="I637" s="515"/>
      <c r="J637" s="515"/>
      <c r="K637" s="507"/>
      <c r="L637" s="515"/>
      <c r="M637" s="65"/>
      <c r="N637" s="66"/>
      <c r="O637" s="66"/>
      <c r="P637" s="86" t="str">
        <f>IF(AND('331-CT'!$E$7=TH!H637,OR(N637="331",O637="331")),"x","")</f>
        <v/>
      </c>
      <c r="Q637" s="86" t="str">
        <f>IF(AND($B637&gt;='111'!$N$11,$B637&lt;='111'!$O$11,OR($N637=$Q$7,$O637=$Q$7)),"x","")</f>
        <v/>
      </c>
      <c r="R637" s="86" t="str">
        <f>IF(AND($N637=$Q$7,$B637&lt;'111'!$N$11),"x","")</f>
        <v/>
      </c>
      <c r="S637" s="86" t="str">
        <f>IF(AND($O637=$Q$7,$B637&lt;'111'!$N$11),"x","")</f>
        <v/>
      </c>
      <c r="T637" s="86" t="str">
        <f>IF(AND($B637&gt;='112'!$M$9,$B637&lt;='112'!$N$9,OR($N637='112'!$I$6,$O637='112'!$I$6)),"x","")</f>
        <v/>
      </c>
      <c r="U637" s="86" t="str">
        <f>IF(AND($N637='112'!$I$6,$B637&lt;'112'!$M$9),"x","")</f>
        <v/>
      </c>
      <c r="V637" s="86" t="str">
        <f>IF(AND($O637='112'!$I$6,$B637&lt;'112'!$M$9),"x","")</f>
        <v/>
      </c>
      <c r="W637" s="86" t="str">
        <f>IF(AND('131-CT'!$H$9=TH!H637,OR(N637="131",O637="131")),"x","")</f>
        <v/>
      </c>
      <c r="X637" s="86" t="str">
        <f>IF(AND($B637&gt;='1331'!$I$9,$B637&lt;='1331'!$J$9,OR($N637=$X$7,$O637=$X$7)),"x","")</f>
        <v/>
      </c>
      <c r="Y637" s="86" t="str">
        <f>IF(AND($N637=$X$7,$B637&lt;'1331'!$I$9),"x","")</f>
        <v/>
      </c>
      <c r="Z637" s="86" t="str">
        <f>IF(AND($O637=$X$7,$B637&lt;'1331'!$I$9),"x","")</f>
        <v/>
      </c>
      <c r="AA637" s="86" t="str">
        <f>IF(AND('341-CT'!$H$9=H637,OR(LEFT(N637,3)=$AA$7,LEFT(O637,3)=$AA$7)),"x","")</f>
        <v/>
      </c>
      <c r="AB637" s="86" t="str">
        <f>IF(OR(TH!N637=TH!$AB$7,O637=TH!$AB$7),"x","")</f>
        <v/>
      </c>
      <c r="AC637" s="86" t="str">
        <f t="shared" si="45"/>
        <v/>
      </c>
      <c r="AD637" s="86" t="str">
        <f>IF(AND(MONTH(E637)&lt;='IN-NX'!$P$3,'IN-NX'!$D$7=D637,OR(LEFT(TH!N637,2)="15",LEFT(TH!O637,2)="15")),"x","")</f>
        <v/>
      </c>
      <c r="AE637" s="86" t="str">
        <f>IF(AND(OR(LEFT(TH!N637,2)="15",LEFT(TH!O637,2)="15"),'152-CT'!$J$8=TH!F637),"x","")</f>
        <v/>
      </c>
      <c r="AF637" s="86" t="str">
        <f>IF(AND(OR(LEFT(TH!N637,2)="15",LEFT(TH!O637,2)="15"),'THE KHO'!$E$7=TH!F637),"x","")</f>
        <v/>
      </c>
      <c r="AG637" s="86" t="str">
        <f>IF(AND(N637="1521",MONTH(C637)='BK NL'!$M$11),"x","")</f>
        <v/>
      </c>
    </row>
    <row r="638" spans="1:33" ht="15.75" customHeight="1">
      <c r="A638" s="398" t="str">
        <f>IF(B638&lt;&gt;"",IF(AND(B638&gt;=_TM1,B638&lt;=_TM2,OR(TH!N638="1111",TH!O638="1111")),TH!D638,""),"")</f>
        <v/>
      </c>
      <c r="B638" s="63" t="str">
        <f t="shared" si="43"/>
        <v/>
      </c>
      <c r="C638" s="64"/>
      <c r="D638" s="64"/>
      <c r="E638" s="64"/>
      <c r="F638" s="67"/>
      <c r="G638" s="375"/>
      <c r="H638" s="74"/>
      <c r="I638" s="515"/>
      <c r="J638" s="515"/>
      <c r="K638" s="507"/>
      <c r="L638" s="515"/>
      <c r="M638" s="65"/>
      <c r="N638" s="66"/>
      <c r="O638" s="66"/>
      <c r="P638" s="86" t="str">
        <f>IF(AND('331-CT'!$E$7=TH!H638,OR(N638="331",O638="331")),"x","")</f>
        <v/>
      </c>
      <c r="Q638" s="86" t="str">
        <f>IF(AND($B638&gt;='111'!$N$11,$B638&lt;='111'!$O$11,OR($N638=$Q$7,$O638=$Q$7)),"x","")</f>
        <v/>
      </c>
      <c r="R638" s="86" t="str">
        <f>IF(AND($N638=$Q$7,$B638&lt;'111'!$N$11),"x","")</f>
        <v/>
      </c>
      <c r="S638" s="86" t="str">
        <f>IF(AND($O638=$Q$7,$B638&lt;'111'!$N$11),"x","")</f>
        <v/>
      </c>
      <c r="T638" s="86" t="str">
        <f>IF(AND($B638&gt;='112'!$M$9,$B638&lt;='112'!$N$9,OR($N638='112'!$I$6,$O638='112'!$I$6)),"x","")</f>
        <v/>
      </c>
      <c r="U638" s="86" t="str">
        <f>IF(AND($N638='112'!$I$6,$B638&lt;'112'!$M$9),"x","")</f>
        <v/>
      </c>
      <c r="V638" s="86" t="str">
        <f>IF(AND($O638='112'!$I$6,$B638&lt;'112'!$M$9),"x","")</f>
        <v/>
      </c>
      <c r="W638" s="86" t="str">
        <f>IF(AND('131-CT'!$H$9=TH!H638,OR(N638="131",O638="131")),"x","")</f>
        <v/>
      </c>
      <c r="X638" s="86" t="str">
        <f>IF(AND($B638&gt;='1331'!$I$9,$B638&lt;='1331'!$J$9,OR($N638=$X$7,$O638=$X$7)),"x","")</f>
        <v/>
      </c>
      <c r="Y638" s="86" t="str">
        <f>IF(AND($N638=$X$7,$B638&lt;'1331'!$I$9),"x","")</f>
        <v/>
      </c>
      <c r="Z638" s="86" t="str">
        <f>IF(AND($O638=$X$7,$B638&lt;'1331'!$I$9),"x","")</f>
        <v/>
      </c>
      <c r="AA638" s="86" t="str">
        <f>IF(AND('341-CT'!$H$9=H638,OR(LEFT(N638,3)=$AA$7,LEFT(O638,3)=$AA$7)),"x","")</f>
        <v/>
      </c>
      <c r="AB638" s="86" t="str">
        <f>IF(OR(TH!N638=TH!$AB$7,O638=TH!$AB$7),"x","")</f>
        <v/>
      </c>
      <c r="AC638" s="86" t="str">
        <f t="shared" si="45"/>
        <v/>
      </c>
      <c r="AD638" s="86" t="str">
        <f>IF(AND(MONTH(E638)&lt;='IN-NX'!$P$3,'IN-NX'!$D$7=D638,OR(LEFT(TH!N638,2)="15",LEFT(TH!O638,2)="15")),"x","")</f>
        <v/>
      </c>
      <c r="AE638" s="86" t="str">
        <f>IF(AND(OR(LEFT(TH!N638,2)="15",LEFT(TH!O638,2)="15"),'152-CT'!$J$8=TH!F638),"x","")</f>
        <v/>
      </c>
      <c r="AF638" s="86" t="str">
        <f>IF(AND(OR(LEFT(TH!N638,2)="15",LEFT(TH!O638,2)="15"),'THE KHO'!$E$7=TH!F638),"x","")</f>
        <v/>
      </c>
      <c r="AG638" s="86" t="str">
        <f>IF(AND(N638="1521",MONTH(C638)='BK NL'!$M$11),"x","")</f>
        <v/>
      </c>
    </row>
    <row r="639" spans="1:33" ht="15.75" customHeight="1">
      <c r="A639" s="398" t="str">
        <f>IF(B639&lt;&gt;"",IF(AND(B639&gt;=_TM1,B639&lt;=_TM2,OR(TH!N639="1111",TH!O639="1111")),TH!D639,""),"")</f>
        <v/>
      </c>
      <c r="B639" s="63" t="str">
        <f t="shared" si="43"/>
        <v/>
      </c>
      <c r="C639" s="64"/>
      <c r="D639" s="64"/>
      <c r="E639" s="64"/>
      <c r="F639" s="67"/>
      <c r="G639" s="375"/>
      <c r="H639" s="74"/>
      <c r="I639" s="515"/>
      <c r="J639" s="515"/>
      <c r="K639" s="507"/>
      <c r="L639" s="515"/>
      <c r="M639" s="65"/>
      <c r="N639" s="66"/>
      <c r="O639" s="66"/>
      <c r="P639" s="86" t="str">
        <f>IF(AND('331-CT'!$E$7=TH!H639,OR(N639="331",O639="331")),"x","")</f>
        <v/>
      </c>
      <c r="Q639" s="86" t="str">
        <f>IF(AND($B639&gt;='111'!$N$11,$B639&lt;='111'!$O$11,OR($N639=$Q$7,$O639=$Q$7)),"x","")</f>
        <v/>
      </c>
      <c r="R639" s="86" t="str">
        <f>IF(AND($N639=$Q$7,$B639&lt;'111'!$N$11),"x","")</f>
        <v/>
      </c>
      <c r="S639" s="86" t="str">
        <f>IF(AND($O639=$Q$7,$B639&lt;'111'!$N$11),"x","")</f>
        <v/>
      </c>
      <c r="T639" s="86" t="str">
        <f>IF(AND($B639&gt;='112'!$M$9,$B639&lt;='112'!$N$9,OR($N639='112'!$I$6,$O639='112'!$I$6)),"x","")</f>
        <v/>
      </c>
      <c r="U639" s="86" t="str">
        <f>IF(AND($N639='112'!$I$6,$B639&lt;'112'!$M$9),"x","")</f>
        <v/>
      </c>
      <c r="V639" s="86" t="str">
        <f>IF(AND($O639='112'!$I$6,$B639&lt;'112'!$M$9),"x","")</f>
        <v/>
      </c>
      <c r="W639" s="86" t="str">
        <f>IF(AND('131-CT'!$H$9=TH!H639,OR(N639="131",O639="131")),"x","")</f>
        <v/>
      </c>
      <c r="X639" s="86" t="str">
        <f>IF(AND($B639&gt;='1331'!$I$9,$B639&lt;='1331'!$J$9,OR($N639=$X$7,$O639=$X$7)),"x","")</f>
        <v/>
      </c>
      <c r="Y639" s="86" t="str">
        <f>IF(AND($N639=$X$7,$B639&lt;'1331'!$I$9),"x","")</f>
        <v/>
      </c>
      <c r="Z639" s="86" t="str">
        <f>IF(AND($O639=$X$7,$B639&lt;'1331'!$I$9),"x","")</f>
        <v/>
      </c>
      <c r="AA639" s="86" t="str">
        <f>IF(AND('341-CT'!$H$9=H639,OR(LEFT(N639,3)=$AA$7,LEFT(O639,3)=$AA$7)),"x","")</f>
        <v/>
      </c>
      <c r="AB639" s="86" t="str">
        <f>IF(OR(TH!N639=TH!$AB$7,O639=TH!$AB$7),"x","")</f>
        <v/>
      </c>
      <c r="AC639" s="86" t="str">
        <f t="shared" si="45"/>
        <v/>
      </c>
      <c r="AD639" s="86" t="str">
        <f>IF(AND(MONTH(E639)&lt;='IN-NX'!$P$3,'IN-NX'!$D$7=D639,OR(LEFT(TH!N639,2)="15",LEFT(TH!O639,2)="15")),"x","")</f>
        <v/>
      </c>
      <c r="AE639" s="86" t="str">
        <f>IF(AND(OR(LEFT(TH!N639,2)="15",LEFT(TH!O639,2)="15"),'152-CT'!$J$8=TH!F639),"x","")</f>
        <v/>
      </c>
      <c r="AF639" s="86" t="str">
        <f>IF(AND(OR(LEFT(TH!N639,2)="15",LEFT(TH!O639,2)="15"),'THE KHO'!$E$7=TH!F639),"x","")</f>
        <v/>
      </c>
      <c r="AG639" s="86" t="str">
        <f>IF(AND(N639="1521",MONTH(C639)='BK NL'!$M$11),"x","")</f>
        <v/>
      </c>
    </row>
    <row r="640" spans="1:33" ht="15.75" customHeight="1">
      <c r="A640" s="398" t="str">
        <f>IF(B640&lt;&gt;"",IF(AND(B640&gt;=_TM1,B640&lt;=_TM2,OR(TH!N640="1111",TH!O640="1111")),TH!D640,""),"")</f>
        <v/>
      </c>
      <c r="B640" s="63" t="str">
        <f t="shared" si="43"/>
        <v/>
      </c>
      <c r="C640" s="64"/>
      <c r="D640" s="64"/>
      <c r="E640" s="64"/>
      <c r="F640" s="67"/>
      <c r="G640" s="375"/>
      <c r="H640" s="74"/>
      <c r="I640" s="515"/>
      <c r="J640" s="515"/>
      <c r="K640" s="507"/>
      <c r="L640" s="515"/>
      <c r="M640" s="65"/>
      <c r="N640" s="66"/>
      <c r="O640" s="66"/>
      <c r="P640" s="86" t="str">
        <f>IF(AND('331-CT'!$E$7=TH!H640,OR(N640="331",O640="331")),"x","")</f>
        <v/>
      </c>
      <c r="Q640" s="86" t="str">
        <f>IF(AND($B640&gt;='111'!$N$11,$B640&lt;='111'!$O$11,OR($N640=$Q$7,$O640=$Q$7)),"x","")</f>
        <v/>
      </c>
      <c r="R640" s="86" t="str">
        <f>IF(AND($N640=$Q$7,$B640&lt;'111'!$N$11),"x","")</f>
        <v/>
      </c>
      <c r="S640" s="86" t="str">
        <f>IF(AND($O640=$Q$7,$B640&lt;'111'!$N$11),"x","")</f>
        <v/>
      </c>
      <c r="T640" s="86" t="str">
        <f>IF(AND($B640&gt;='112'!$M$9,$B640&lt;='112'!$N$9,OR($N640='112'!$I$6,$O640='112'!$I$6)),"x","")</f>
        <v/>
      </c>
      <c r="U640" s="86" t="str">
        <f>IF(AND($N640='112'!$I$6,$B640&lt;'112'!$M$9),"x","")</f>
        <v/>
      </c>
      <c r="V640" s="86" t="str">
        <f>IF(AND($O640='112'!$I$6,$B640&lt;'112'!$M$9),"x","")</f>
        <v/>
      </c>
      <c r="W640" s="86" t="str">
        <f>IF(AND('131-CT'!$H$9=TH!H640,OR(N640="131",O640="131")),"x","")</f>
        <v/>
      </c>
      <c r="X640" s="86" t="str">
        <f>IF(AND($B640&gt;='1331'!$I$9,$B640&lt;='1331'!$J$9,OR($N640=$X$7,$O640=$X$7)),"x","")</f>
        <v/>
      </c>
      <c r="Y640" s="86" t="str">
        <f>IF(AND($N640=$X$7,$B640&lt;'1331'!$I$9),"x","")</f>
        <v/>
      </c>
      <c r="Z640" s="86" t="str">
        <f>IF(AND($O640=$X$7,$B640&lt;'1331'!$I$9),"x","")</f>
        <v/>
      </c>
      <c r="AA640" s="86" t="str">
        <f>IF(AND('341-CT'!$H$9=H640,OR(LEFT(N640,3)=$AA$7,LEFT(O640,3)=$AA$7)),"x","")</f>
        <v/>
      </c>
      <c r="AB640" s="86" t="str">
        <f>IF(OR(TH!N640=TH!$AB$7,O640=TH!$AB$7),"x","")</f>
        <v/>
      </c>
      <c r="AC640" s="86" t="str">
        <f t="shared" si="45"/>
        <v/>
      </c>
      <c r="AD640" s="86" t="str">
        <f>IF(AND(MONTH(E640)&lt;='IN-NX'!$P$3,'IN-NX'!$D$7=D640,OR(LEFT(TH!N640,2)="15",LEFT(TH!O640,2)="15")),"x","")</f>
        <v/>
      </c>
      <c r="AE640" s="86" t="str">
        <f>IF(AND(OR(LEFT(TH!N640,2)="15",LEFT(TH!O640,2)="15"),'152-CT'!$J$8=TH!F640),"x","")</f>
        <v/>
      </c>
      <c r="AF640" s="86" t="str">
        <f>IF(AND(OR(LEFT(TH!N640,2)="15",LEFT(TH!O640,2)="15"),'THE KHO'!$E$7=TH!F640),"x","")</f>
        <v/>
      </c>
      <c r="AG640" s="86" t="str">
        <f>IF(AND(N640="1521",MONTH(C640)='BK NL'!$M$11),"x","")</f>
        <v/>
      </c>
    </row>
    <row r="641" spans="1:33" ht="15.75" customHeight="1">
      <c r="A641" s="398" t="str">
        <f>IF(B641&lt;&gt;"",IF(AND(B641&gt;=_TM1,B641&lt;=_TM2,OR(TH!N641="1111",TH!O641="1111")),TH!D641,""),"")</f>
        <v/>
      </c>
      <c r="B641" s="63" t="str">
        <f t="shared" si="43"/>
        <v/>
      </c>
      <c r="C641" s="64"/>
      <c r="D641" s="64"/>
      <c r="E641" s="64"/>
      <c r="F641" s="67"/>
      <c r="G641" s="375"/>
      <c r="H641" s="74"/>
      <c r="I641" s="515"/>
      <c r="J641" s="515"/>
      <c r="K641" s="507"/>
      <c r="L641" s="515"/>
      <c r="M641" s="65"/>
      <c r="N641" s="66"/>
      <c r="O641" s="66"/>
      <c r="P641" s="86" t="str">
        <f>IF(AND('331-CT'!$E$7=TH!H641,OR(N641="331",O641="331")),"x","")</f>
        <v/>
      </c>
      <c r="Q641" s="86" t="str">
        <f>IF(AND($B641&gt;='111'!$N$11,$B641&lt;='111'!$O$11,OR($N641=$Q$7,$O641=$Q$7)),"x","")</f>
        <v/>
      </c>
      <c r="R641" s="86" t="str">
        <f>IF(AND($N641=$Q$7,$B641&lt;'111'!$N$11),"x","")</f>
        <v/>
      </c>
      <c r="S641" s="86" t="str">
        <f>IF(AND($O641=$Q$7,$B641&lt;'111'!$N$11),"x","")</f>
        <v/>
      </c>
      <c r="T641" s="86" t="str">
        <f>IF(AND($B641&gt;='112'!$M$9,$B641&lt;='112'!$N$9,OR($N641='112'!$I$6,$O641='112'!$I$6)),"x","")</f>
        <v/>
      </c>
      <c r="U641" s="86" t="str">
        <f>IF(AND($N641='112'!$I$6,$B641&lt;'112'!$M$9),"x","")</f>
        <v/>
      </c>
      <c r="V641" s="86" t="str">
        <f>IF(AND($O641='112'!$I$6,$B641&lt;'112'!$M$9),"x","")</f>
        <v/>
      </c>
      <c r="W641" s="86" t="str">
        <f>IF(AND('131-CT'!$H$9=TH!H641,OR(N641="131",O641="131")),"x","")</f>
        <v/>
      </c>
      <c r="X641" s="86" t="str">
        <f>IF(AND($B641&gt;='1331'!$I$9,$B641&lt;='1331'!$J$9,OR($N641=$X$7,$O641=$X$7)),"x","")</f>
        <v/>
      </c>
      <c r="Y641" s="86" t="str">
        <f>IF(AND($N641=$X$7,$B641&lt;'1331'!$I$9),"x","")</f>
        <v/>
      </c>
      <c r="Z641" s="86" t="str">
        <f>IF(AND($O641=$X$7,$B641&lt;'1331'!$I$9),"x","")</f>
        <v/>
      </c>
      <c r="AA641" s="86" t="str">
        <f>IF(AND('341-CT'!$H$9=H641,OR(LEFT(N641,3)=$AA$7,LEFT(O641,3)=$AA$7)),"x","")</f>
        <v/>
      </c>
      <c r="AB641" s="86" t="str">
        <f>IF(OR(TH!N641=TH!$AB$7,O641=TH!$AB$7),"x","")</f>
        <v/>
      </c>
      <c r="AC641" s="86" t="str">
        <f t="shared" si="45"/>
        <v/>
      </c>
      <c r="AD641" s="86" t="str">
        <f>IF(AND(MONTH(E641)&lt;='IN-NX'!$P$3,'IN-NX'!$D$7=D641,OR(LEFT(TH!N641,2)="15",LEFT(TH!O641,2)="15")),"x","")</f>
        <v/>
      </c>
      <c r="AE641" s="86" t="str">
        <f>IF(AND(OR(LEFT(TH!N641,2)="15",LEFT(TH!O641,2)="15"),'152-CT'!$J$8=TH!F641),"x","")</f>
        <v/>
      </c>
      <c r="AF641" s="86" t="str">
        <f>IF(AND(OR(LEFT(TH!N641,2)="15",LEFT(TH!O641,2)="15"),'THE KHO'!$E$7=TH!F641),"x","")</f>
        <v/>
      </c>
      <c r="AG641" s="86" t="str">
        <f>IF(AND(N641="1521",MONTH(C641)='BK NL'!$M$11),"x","")</f>
        <v/>
      </c>
    </row>
    <row r="642" spans="1:33" ht="15.75" customHeight="1">
      <c r="A642" s="398" t="str">
        <f>IF(B642&lt;&gt;"",IF(AND(B642&gt;=_TM1,B642&lt;=_TM2,OR(TH!N642="1111",TH!O642="1111")),TH!D642,""),"")</f>
        <v/>
      </c>
      <c r="B642" s="63" t="str">
        <f t="shared" si="43"/>
        <v/>
      </c>
      <c r="C642" s="64"/>
      <c r="D642" s="64"/>
      <c r="E642" s="64"/>
      <c r="F642" s="67"/>
      <c r="G642" s="375"/>
      <c r="H642" s="74"/>
      <c r="I642" s="515"/>
      <c r="J642" s="515"/>
      <c r="K642" s="507"/>
      <c r="L642" s="515"/>
      <c r="M642" s="65"/>
      <c r="N642" s="66"/>
      <c r="O642" s="66"/>
      <c r="P642" s="86" t="str">
        <f>IF(AND('331-CT'!$E$7=TH!H642,OR(N642="331",O642="331")),"x","")</f>
        <v/>
      </c>
      <c r="Q642" s="86" t="str">
        <f>IF(AND($B642&gt;='111'!$N$11,$B642&lt;='111'!$O$11,OR($N642=$Q$7,$O642=$Q$7)),"x","")</f>
        <v/>
      </c>
      <c r="R642" s="86" t="str">
        <f>IF(AND($N642=$Q$7,$B642&lt;'111'!$N$11),"x","")</f>
        <v/>
      </c>
      <c r="S642" s="86" t="str">
        <f>IF(AND($O642=$Q$7,$B642&lt;'111'!$N$11),"x","")</f>
        <v/>
      </c>
      <c r="T642" s="86" t="str">
        <f>IF(AND($B642&gt;='112'!$M$9,$B642&lt;='112'!$N$9,OR($N642='112'!$I$6,$O642='112'!$I$6)),"x","")</f>
        <v/>
      </c>
      <c r="U642" s="86" t="str">
        <f>IF(AND($N642='112'!$I$6,$B642&lt;'112'!$M$9),"x","")</f>
        <v/>
      </c>
      <c r="V642" s="86" t="str">
        <f>IF(AND($O642='112'!$I$6,$B642&lt;'112'!$M$9),"x","")</f>
        <v/>
      </c>
      <c r="W642" s="86" t="str">
        <f>IF(AND('131-CT'!$H$9=TH!H642,OR(N642="131",O642="131")),"x","")</f>
        <v/>
      </c>
      <c r="X642" s="86" t="str">
        <f>IF(AND($B642&gt;='1331'!$I$9,$B642&lt;='1331'!$J$9,OR($N642=$X$7,$O642=$X$7)),"x","")</f>
        <v/>
      </c>
      <c r="Y642" s="86" t="str">
        <f>IF(AND($N642=$X$7,$B642&lt;'1331'!$I$9),"x","")</f>
        <v/>
      </c>
      <c r="Z642" s="86" t="str">
        <f>IF(AND($O642=$X$7,$B642&lt;'1331'!$I$9),"x","")</f>
        <v/>
      </c>
      <c r="AA642" s="86" t="str">
        <f>IF(AND('341-CT'!$H$9=H642,OR(LEFT(N642,3)=$AA$7,LEFT(O642,3)=$AA$7)),"x","")</f>
        <v/>
      </c>
      <c r="AB642" s="86" t="str">
        <f>IF(OR(TH!N642=TH!$AB$7,O642=TH!$AB$7),"x","")</f>
        <v/>
      </c>
      <c r="AC642" s="86" t="str">
        <f t="shared" si="45"/>
        <v/>
      </c>
      <c r="AD642" s="86" t="str">
        <f>IF(AND(MONTH(E642)&lt;='IN-NX'!$P$3,'IN-NX'!$D$7=D642,OR(LEFT(TH!N642,2)="15",LEFT(TH!O642,2)="15")),"x","")</f>
        <v/>
      </c>
      <c r="AE642" s="86" t="str">
        <f>IF(AND(OR(LEFT(TH!N642,2)="15",LEFT(TH!O642,2)="15"),'152-CT'!$J$8=TH!F642),"x","")</f>
        <v/>
      </c>
      <c r="AF642" s="86" t="str">
        <f>IF(AND(OR(LEFT(TH!N642,2)="15",LEFT(TH!O642,2)="15"),'THE KHO'!$E$7=TH!F642),"x","")</f>
        <v/>
      </c>
      <c r="AG642" s="86" t="str">
        <f>IF(AND(N642="1521",MONTH(C642)='BK NL'!$M$11),"x","")</f>
        <v/>
      </c>
    </row>
    <row r="643" spans="1:33" ht="15.75" customHeight="1">
      <c r="A643" s="398" t="str">
        <f>IF(B643&lt;&gt;"",IF(AND(B643&gt;=_TM1,B643&lt;=_TM2,OR(TH!N643="1111",TH!O643="1111")),TH!D643,""),"")</f>
        <v/>
      </c>
      <c r="B643" s="63" t="str">
        <f t="shared" si="43"/>
        <v/>
      </c>
      <c r="C643" s="64"/>
      <c r="D643" s="64"/>
      <c r="E643" s="64"/>
      <c r="F643" s="67"/>
      <c r="G643" s="375"/>
      <c r="H643" s="74"/>
      <c r="I643" s="515"/>
      <c r="J643" s="515"/>
      <c r="K643" s="507"/>
      <c r="L643" s="515"/>
      <c r="M643" s="65"/>
      <c r="N643" s="66"/>
      <c r="O643" s="66"/>
      <c r="P643" s="86" t="str">
        <f>IF(AND('331-CT'!$E$7=TH!H643,OR(N643="331",O643="331")),"x","")</f>
        <v/>
      </c>
      <c r="Q643" s="86" t="str">
        <f>IF(AND($B643&gt;='111'!$N$11,$B643&lt;='111'!$O$11,OR($N643=$Q$7,$O643=$Q$7)),"x","")</f>
        <v/>
      </c>
      <c r="R643" s="86" t="str">
        <f>IF(AND($N643=$Q$7,$B643&lt;'111'!$N$11),"x","")</f>
        <v/>
      </c>
      <c r="S643" s="86" t="str">
        <f>IF(AND($O643=$Q$7,$B643&lt;'111'!$N$11),"x","")</f>
        <v/>
      </c>
      <c r="T643" s="86" t="str">
        <f>IF(AND($B643&gt;='112'!$M$9,$B643&lt;='112'!$N$9,OR($N643='112'!$I$6,$O643='112'!$I$6)),"x","")</f>
        <v/>
      </c>
      <c r="U643" s="86" t="str">
        <f>IF(AND($N643='112'!$I$6,$B643&lt;'112'!$M$9),"x","")</f>
        <v/>
      </c>
      <c r="V643" s="86" t="str">
        <f>IF(AND($O643='112'!$I$6,$B643&lt;'112'!$M$9),"x","")</f>
        <v/>
      </c>
      <c r="W643" s="86" t="str">
        <f>IF(AND('131-CT'!$H$9=TH!H643,OR(N643="131",O643="131")),"x","")</f>
        <v/>
      </c>
      <c r="X643" s="86" t="str">
        <f>IF(AND($B643&gt;='1331'!$I$9,$B643&lt;='1331'!$J$9,OR($N643=$X$7,$O643=$X$7)),"x","")</f>
        <v/>
      </c>
      <c r="Y643" s="86" t="str">
        <f>IF(AND($N643=$X$7,$B643&lt;'1331'!$I$9),"x","")</f>
        <v/>
      </c>
      <c r="Z643" s="86" t="str">
        <f>IF(AND($O643=$X$7,$B643&lt;'1331'!$I$9),"x","")</f>
        <v/>
      </c>
      <c r="AA643" s="86" t="str">
        <f>IF(AND('341-CT'!$H$9=H643,OR(LEFT(N643,3)=$AA$7,LEFT(O643,3)=$AA$7)),"x","")</f>
        <v/>
      </c>
      <c r="AB643" s="86" t="str">
        <f>IF(OR(TH!N643=TH!$AB$7,O643=TH!$AB$7),"x","")</f>
        <v/>
      </c>
      <c r="AC643" s="86" t="str">
        <f t="shared" si="45"/>
        <v/>
      </c>
      <c r="AD643" s="86" t="str">
        <f>IF(AND(MONTH(E643)&lt;='IN-NX'!$P$3,'IN-NX'!$D$7=D643,OR(LEFT(TH!N643,2)="15",LEFT(TH!O643,2)="15")),"x","")</f>
        <v/>
      </c>
      <c r="AE643" s="86" t="str">
        <f>IF(AND(OR(LEFT(TH!N643,2)="15",LEFT(TH!O643,2)="15"),'152-CT'!$J$8=TH!F643),"x","")</f>
        <v/>
      </c>
      <c r="AF643" s="86" t="str">
        <f>IF(AND(OR(LEFT(TH!N643,2)="15",LEFT(TH!O643,2)="15"),'THE KHO'!$E$7=TH!F643),"x","")</f>
        <v/>
      </c>
      <c r="AG643" s="86" t="str">
        <f>IF(AND(N643="1521",MONTH(C643)='BK NL'!$M$11),"x","")</f>
        <v/>
      </c>
    </row>
    <row r="644" spans="1:33" ht="15.75" customHeight="1">
      <c r="A644" s="398" t="str">
        <f>IF(B644&lt;&gt;"",IF(AND(B644&gt;=_TM1,B644&lt;=_TM2,OR(TH!N644="1111",TH!O644="1111")),TH!D644,""),"")</f>
        <v/>
      </c>
      <c r="B644" s="63" t="str">
        <f t="shared" si="43"/>
        <v/>
      </c>
      <c r="C644" s="64"/>
      <c r="D644" s="64"/>
      <c r="E644" s="64"/>
      <c r="F644" s="67"/>
      <c r="G644" s="375"/>
      <c r="H644" s="74"/>
      <c r="I644" s="515"/>
      <c r="J644" s="515"/>
      <c r="K644" s="507"/>
      <c r="L644" s="515"/>
      <c r="M644" s="65"/>
      <c r="N644" s="66"/>
      <c r="O644" s="66"/>
      <c r="P644" s="86" t="str">
        <f>IF(AND('331-CT'!$E$7=TH!H644,OR(N644="331",O644="331")),"x","")</f>
        <v/>
      </c>
      <c r="Q644" s="86" t="str">
        <f>IF(AND($B644&gt;='111'!$N$11,$B644&lt;='111'!$O$11,OR($N644=$Q$7,$O644=$Q$7)),"x","")</f>
        <v/>
      </c>
      <c r="R644" s="86" t="str">
        <f>IF(AND($N644=$Q$7,$B644&lt;'111'!$N$11),"x","")</f>
        <v/>
      </c>
      <c r="S644" s="86" t="str">
        <f>IF(AND($O644=$Q$7,$B644&lt;'111'!$N$11),"x","")</f>
        <v/>
      </c>
      <c r="T644" s="86" t="str">
        <f>IF(AND($B644&gt;='112'!$M$9,$B644&lt;='112'!$N$9,OR($N644='112'!$I$6,$O644='112'!$I$6)),"x","")</f>
        <v/>
      </c>
      <c r="U644" s="86" t="str">
        <f>IF(AND($N644='112'!$I$6,$B644&lt;'112'!$M$9),"x","")</f>
        <v/>
      </c>
      <c r="V644" s="86" t="str">
        <f>IF(AND($O644='112'!$I$6,$B644&lt;'112'!$M$9),"x","")</f>
        <v/>
      </c>
      <c r="W644" s="86" t="str">
        <f>IF(AND('131-CT'!$H$9=TH!H644,OR(N644="131",O644="131")),"x","")</f>
        <v/>
      </c>
      <c r="X644" s="86" t="str">
        <f>IF(AND($B644&gt;='1331'!$I$9,$B644&lt;='1331'!$J$9,OR($N644=$X$7,$O644=$X$7)),"x","")</f>
        <v/>
      </c>
      <c r="Y644" s="86" t="str">
        <f>IF(AND($N644=$X$7,$B644&lt;'1331'!$I$9),"x","")</f>
        <v/>
      </c>
      <c r="Z644" s="86" t="str">
        <f>IF(AND($O644=$X$7,$B644&lt;'1331'!$I$9),"x","")</f>
        <v/>
      </c>
      <c r="AA644" s="86" t="str">
        <f>IF(AND('341-CT'!$H$9=H644,OR(LEFT(N644,3)=$AA$7,LEFT(O644,3)=$AA$7)),"x","")</f>
        <v/>
      </c>
      <c r="AB644" s="86" t="str">
        <f>IF(OR(TH!N644=TH!$AB$7,O644=TH!$AB$7),"x","")</f>
        <v/>
      </c>
      <c r="AC644" s="86" t="str">
        <f t="shared" si="45"/>
        <v/>
      </c>
      <c r="AD644" s="86" t="str">
        <f>IF(AND(MONTH(E644)&lt;='IN-NX'!$P$3,'IN-NX'!$D$7=D644,OR(LEFT(TH!N644,2)="15",LEFT(TH!O644,2)="15")),"x","")</f>
        <v/>
      </c>
      <c r="AE644" s="86" t="str">
        <f>IF(AND(OR(LEFT(TH!N644,2)="15",LEFT(TH!O644,2)="15"),'152-CT'!$J$8=TH!F644),"x","")</f>
        <v/>
      </c>
      <c r="AF644" s="86" t="str">
        <f>IF(AND(OR(LEFT(TH!N644,2)="15",LEFT(TH!O644,2)="15"),'THE KHO'!$E$7=TH!F644),"x","")</f>
        <v/>
      </c>
      <c r="AG644" s="86" t="str">
        <f>IF(AND(N644="1521",MONTH(C644)='BK NL'!$M$11),"x","")</f>
        <v/>
      </c>
    </row>
    <row r="645" spans="1:33" ht="15.75" customHeight="1">
      <c r="A645" s="398" t="str">
        <f>IF(B645&lt;&gt;"",IF(AND(B645&gt;=_TM1,B645&lt;=_TM2,OR(TH!N645="1111",TH!O645="1111")),TH!D645,""),"")</f>
        <v/>
      </c>
      <c r="B645" s="63" t="str">
        <f t="shared" si="43"/>
        <v/>
      </c>
      <c r="C645" s="64"/>
      <c r="D645" s="64"/>
      <c r="E645" s="64"/>
      <c r="F645" s="67"/>
      <c r="G645" s="375"/>
      <c r="H645" s="74"/>
      <c r="I645" s="515"/>
      <c r="J645" s="515"/>
      <c r="K645" s="507"/>
      <c r="L645" s="515"/>
      <c r="M645" s="65"/>
      <c r="N645" s="66"/>
      <c r="O645" s="66"/>
      <c r="P645" s="86" t="str">
        <f>IF(AND('331-CT'!$E$7=TH!H645,OR(N645="331",O645="331")),"x","")</f>
        <v/>
      </c>
      <c r="Q645" s="86" t="str">
        <f>IF(AND($B645&gt;='111'!$N$11,$B645&lt;='111'!$O$11,OR($N645=$Q$7,$O645=$Q$7)),"x","")</f>
        <v/>
      </c>
      <c r="R645" s="86" t="str">
        <f>IF(AND($N645=$Q$7,$B645&lt;'111'!$N$11),"x","")</f>
        <v/>
      </c>
      <c r="S645" s="86" t="str">
        <f>IF(AND($O645=$Q$7,$B645&lt;'111'!$N$11),"x","")</f>
        <v/>
      </c>
      <c r="T645" s="86" t="str">
        <f>IF(AND($B645&gt;='112'!$M$9,$B645&lt;='112'!$N$9,OR($N645='112'!$I$6,$O645='112'!$I$6)),"x","")</f>
        <v/>
      </c>
      <c r="U645" s="86" t="str">
        <f>IF(AND($N645='112'!$I$6,$B645&lt;'112'!$M$9),"x","")</f>
        <v/>
      </c>
      <c r="V645" s="86" t="str">
        <f>IF(AND($O645='112'!$I$6,$B645&lt;'112'!$M$9),"x","")</f>
        <v/>
      </c>
      <c r="W645" s="86" t="str">
        <f>IF(AND('131-CT'!$H$9=TH!H645,OR(N645="131",O645="131")),"x","")</f>
        <v/>
      </c>
      <c r="X645" s="86" t="str">
        <f>IF(AND($B645&gt;='1331'!$I$9,$B645&lt;='1331'!$J$9,OR($N645=$X$7,$O645=$X$7)),"x","")</f>
        <v/>
      </c>
      <c r="Y645" s="86" t="str">
        <f>IF(AND($N645=$X$7,$B645&lt;'1331'!$I$9),"x","")</f>
        <v/>
      </c>
      <c r="Z645" s="86" t="str">
        <f>IF(AND($O645=$X$7,$B645&lt;'1331'!$I$9),"x","")</f>
        <v/>
      </c>
      <c r="AA645" s="86" t="str">
        <f>IF(AND('341-CT'!$H$9=H645,OR(LEFT(N645,3)=$AA$7,LEFT(O645,3)=$AA$7)),"x","")</f>
        <v/>
      </c>
      <c r="AB645" s="86" t="str">
        <f>IF(OR(TH!N645=TH!$AB$7,O645=TH!$AB$7),"x","")</f>
        <v/>
      </c>
      <c r="AC645" s="86" t="str">
        <f t="shared" si="45"/>
        <v/>
      </c>
      <c r="AD645" s="86" t="str">
        <f>IF(AND(MONTH(E645)&lt;='IN-NX'!$P$3,'IN-NX'!$D$7=D645,OR(LEFT(TH!N645,2)="15",LEFT(TH!O645,2)="15")),"x","")</f>
        <v/>
      </c>
      <c r="AE645" s="86" t="str">
        <f>IF(AND(OR(LEFT(TH!N645,2)="15",LEFT(TH!O645,2)="15"),'152-CT'!$J$8=TH!F645),"x","")</f>
        <v/>
      </c>
      <c r="AF645" s="86" t="str">
        <f>IF(AND(OR(LEFT(TH!N645,2)="15",LEFT(TH!O645,2)="15"),'THE KHO'!$E$7=TH!F645),"x","")</f>
        <v/>
      </c>
      <c r="AG645" s="86" t="str">
        <f>IF(AND(N645="1521",MONTH(C645)='BK NL'!$M$11),"x","")</f>
        <v/>
      </c>
    </row>
    <row r="646" spans="1:33" ht="15.75" customHeight="1">
      <c r="A646" s="398" t="str">
        <f>IF(B646&lt;&gt;"",IF(AND(B646&gt;=_TM1,B646&lt;=_TM2,OR(TH!N646="1111",TH!O646="1111")),TH!D646,""),"")</f>
        <v/>
      </c>
      <c r="B646" s="63" t="str">
        <f t="shared" si="43"/>
        <v/>
      </c>
      <c r="C646" s="64"/>
      <c r="D646" s="64"/>
      <c r="E646" s="64"/>
      <c r="F646" s="67"/>
      <c r="G646" s="375"/>
      <c r="H646" s="74"/>
      <c r="I646" s="515"/>
      <c r="J646" s="515"/>
      <c r="K646" s="507"/>
      <c r="L646" s="515"/>
      <c r="M646" s="65"/>
      <c r="N646" s="66"/>
      <c r="O646" s="66"/>
      <c r="P646" s="86" t="str">
        <f>IF(AND('331-CT'!$E$7=TH!H646,OR(N646="331",O646="331")),"x","")</f>
        <v/>
      </c>
      <c r="Q646" s="86" t="str">
        <f>IF(AND($B646&gt;='111'!$N$11,$B646&lt;='111'!$O$11,OR($N646=$Q$7,$O646=$Q$7)),"x","")</f>
        <v/>
      </c>
      <c r="R646" s="86" t="str">
        <f>IF(AND($N646=$Q$7,$B646&lt;'111'!$N$11),"x","")</f>
        <v/>
      </c>
      <c r="S646" s="86" t="str">
        <f>IF(AND($O646=$Q$7,$B646&lt;'111'!$N$11),"x","")</f>
        <v/>
      </c>
      <c r="T646" s="86" t="str">
        <f>IF(AND($B646&gt;='112'!$M$9,$B646&lt;='112'!$N$9,OR($N646='112'!$I$6,$O646='112'!$I$6)),"x","")</f>
        <v/>
      </c>
      <c r="U646" s="86" t="str">
        <f>IF(AND($N646='112'!$I$6,$B646&lt;'112'!$M$9),"x","")</f>
        <v/>
      </c>
      <c r="V646" s="86" t="str">
        <f>IF(AND($O646='112'!$I$6,$B646&lt;'112'!$M$9),"x","")</f>
        <v/>
      </c>
      <c r="W646" s="86" t="str">
        <f>IF(AND('131-CT'!$H$9=TH!H646,OR(N646="131",O646="131")),"x","")</f>
        <v/>
      </c>
      <c r="X646" s="86" t="str">
        <f>IF(AND($B646&gt;='1331'!$I$9,$B646&lt;='1331'!$J$9,OR($N646=$X$7,$O646=$X$7)),"x","")</f>
        <v/>
      </c>
      <c r="Y646" s="86" t="str">
        <f>IF(AND($N646=$X$7,$B646&lt;'1331'!$I$9),"x","")</f>
        <v/>
      </c>
      <c r="Z646" s="86" t="str">
        <f>IF(AND($O646=$X$7,$B646&lt;'1331'!$I$9),"x","")</f>
        <v/>
      </c>
      <c r="AA646" s="86" t="str">
        <f>IF(AND('341-CT'!$H$9=H646,OR(LEFT(N646,3)=$AA$7,LEFT(O646,3)=$AA$7)),"x","")</f>
        <v/>
      </c>
      <c r="AB646" s="86" t="str">
        <f>IF(OR(TH!N646=TH!$AB$7,O646=TH!$AB$7),"x","")</f>
        <v/>
      </c>
      <c r="AC646" s="86" t="str">
        <f t="shared" si="45"/>
        <v/>
      </c>
      <c r="AD646" s="86" t="str">
        <f>IF(AND(MONTH(E646)&lt;='IN-NX'!$P$3,'IN-NX'!$D$7=D646,OR(LEFT(TH!N646,2)="15",LEFT(TH!O646,2)="15")),"x","")</f>
        <v/>
      </c>
      <c r="AE646" s="86" t="str">
        <f>IF(AND(OR(LEFT(TH!N646,2)="15",LEFT(TH!O646,2)="15"),'152-CT'!$J$8=TH!F646),"x","")</f>
        <v/>
      </c>
      <c r="AF646" s="86" t="str">
        <f>IF(AND(OR(LEFT(TH!N646,2)="15",LEFT(TH!O646,2)="15"),'THE KHO'!$E$7=TH!F646),"x","")</f>
        <v/>
      </c>
      <c r="AG646" s="86" t="str">
        <f>IF(AND(N646="1521",MONTH(C646)='BK NL'!$M$11),"x","")</f>
        <v/>
      </c>
    </row>
    <row r="647" spans="1:33" ht="15.75" customHeight="1">
      <c r="A647" s="398" t="str">
        <f>IF(B647&lt;&gt;"",IF(AND(B647&gt;=_TM1,B647&lt;=_TM2,OR(TH!N647="1111",TH!O647="1111")),TH!D647,""),"")</f>
        <v/>
      </c>
      <c r="B647" s="63" t="str">
        <f t="shared" si="43"/>
        <v/>
      </c>
      <c r="C647" s="64"/>
      <c r="D647" s="64"/>
      <c r="E647" s="64"/>
      <c r="F647" s="67"/>
      <c r="G647" s="375"/>
      <c r="H647" s="74"/>
      <c r="I647" s="515"/>
      <c r="J647" s="515"/>
      <c r="K647" s="507"/>
      <c r="L647" s="515"/>
      <c r="M647" s="65"/>
      <c r="N647" s="66"/>
      <c r="O647" s="66"/>
      <c r="P647" s="86" t="str">
        <f>IF(AND('331-CT'!$E$7=TH!H647,OR(N647="331",O647="331")),"x","")</f>
        <v/>
      </c>
      <c r="Q647" s="86" t="str">
        <f>IF(AND($B647&gt;='111'!$N$11,$B647&lt;='111'!$O$11,OR($N647=$Q$7,$O647=$Q$7)),"x","")</f>
        <v/>
      </c>
      <c r="R647" s="86" t="str">
        <f>IF(AND($N647=$Q$7,$B647&lt;'111'!$N$11),"x","")</f>
        <v/>
      </c>
      <c r="S647" s="86" t="str">
        <f>IF(AND($O647=$Q$7,$B647&lt;'111'!$N$11),"x","")</f>
        <v/>
      </c>
      <c r="T647" s="86" t="str">
        <f>IF(AND($B647&gt;='112'!$M$9,$B647&lt;='112'!$N$9,OR($N647='112'!$I$6,$O647='112'!$I$6)),"x","")</f>
        <v/>
      </c>
      <c r="U647" s="86" t="str">
        <f>IF(AND($N647='112'!$I$6,$B647&lt;'112'!$M$9),"x","")</f>
        <v/>
      </c>
      <c r="V647" s="86" t="str">
        <f>IF(AND($O647='112'!$I$6,$B647&lt;'112'!$M$9),"x","")</f>
        <v/>
      </c>
      <c r="W647" s="86" t="str">
        <f>IF(AND('131-CT'!$H$9=TH!H647,OR(N647="131",O647="131")),"x","")</f>
        <v/>
      </c>
      <c r="X647" s="86" t="str">
        <f>IF(AND($B647&gt;='1331'!$I$9,$B647&lt;='1331'!$J$9,OR($N647=$X$7,$O647=$X$7)),"x","")</f>
        <v/>
      </c>
      <c r="Y647" s="86" t="str">
        <f>IF(AND($N647=$X$7,$B647&lt;'1331'!$I$9),"x","")</f>
        <v/>
      </c>
      <c r="Z647" s="86" t="str">
        <f>IF(AND($O647=$X$7,$B647&lt;'1331'!$I$9),"x","")</f>
        <v/>
      </c>
      <c r="AA647" s="86" t="str">
        <f>IF(AND('341-CT'!$H$9=H647,OR(LEFT(N647,3)=$AA$7,LEFT(O647,3)=$AA$7)),"x","")</f>
        <v/>
      </c>
      <c r="AB647" s="86" t="str">
        <f>IF(OR(TH!N647=TH!$AB$7,O647=TH!$AB$7),"x","")</f>
        <v/>
      </c>
      <c r="AC647" s="86" t="str">
        <f t="shared" si="45"/>
        <v/>
      </c>
      <c r="AD647" s="86" t="str">
        <f>IF(AND(MONTH(E647)&lt;='IN-NX'!$P$3,'IN-NX'!$D$7=D647,OR(LEFT(TH!N647,2)="15",LEFT(TH!O647,2)="15")),"x","")</f>
        <v/>
      </c>
      <c r="AE647" s="86" t="str">
        <f>IF(AND(OR(LEFT(TH!N647,2)="15",LEFT(TH!O647,2)="15"),'152-CT'!$J$8=TH!F647),"x","")</f>
        <v/>
      </c>
      <c r="AF647" s="86" t="str">
        <f>IF(AND(OR(LEFT(TH!N647,2)="15",LEFT(TH!O647,2)="15"),'THE KHO'!$E$7=TH!F647),"x","")</f>
        <v/>
      </c>
      <c r="AG647" s="86" t="str">
        <f>IF(AND(N647="1521",MONTH(C647)='BK NL'!$M$11),"x","")</f>
        <v/>
      </c>
    </row>
    <row r="648" spans="1:33" ht="15.75" customHeight="1">
      <c r="A648" s="398" t="str">
        <f>IF(B648&lt;&gt;"",IF(AND(B648&gt;=_TM1,B648&lt;=_TM2,OR(TH!N648="1111",TH!O648="1111")),TH!D648,""),"")</f>
        <v/>
      </c>
      <c r="B648" s="63" t="str">
        <f t="shared" ref="B648:B711" si="46">IF(C648&lt;&gt;"",MONTH(C648),"")</f>
        <v/>
      </c>
      <c r="C648" s="64"/>
      <c r="D648" s="64"/>
      <c r="E648" s="64"/>
      <c r="F648" s="67"/>
      <c r="G648" s="375"/>
      <c r="H648" s="74"/>
      <c r="I648" s="515"/>
      <c r="J648" s="515"/>
      <c r="K648" s="507"/>
      <c r="L648" s="515"/>
      <c r="M648" s="65"/>
      <c r="N648" s="66"/>
      <c r="O648" s="66"/>
      <c r="P648" s="86" t="str">
        <f>IF(AND('331-CT'!$E$7=TH!H648,OR(N648="331",O648="331")),"x","")</f>
        <v/>
      </c>
      <c r="Q648" s="86" t="str">
        <f>IF(AND($B648&gt;='111'!$N$11,$B648&lt;='111'!$O$11,OR($N648=$Q$7,$O648=$Q$7)),"x","")</f>
        <v/>
      </c>
      <c r="R648" s="86" t="str">
        <f>IF(AND($N648=$Q$7,$B648&lt;'111'!$N$11),"x","")</f>
        <v/>
      </c>
      <c r="S648" s="86" t="str">
        <f>IF(AND($O648=$Q$7,$B648&lt;'111'!$N$11),"x","")</f>
        <v/>
      </c>
      <c r="T648" s="86" t="str">
        <f>IF(AND($B648&gt;='112'!$M$9,$B648&lt;='112'!$N$9,OR($N648='112'!$I$6,$O648='112'!$I$6)),"x","")</f>
        <v/>
      </c>
      <c r="U648" s="86" t="str">
        <f>IF(AND($N648='112'!$I$6,$B648&lt;'112'!$M$9),"x","")</f>
        <v/>
      </c>
      <c r="V648" s="86" t="str">
        <f>IF(AND($O648='112'!$I$6,$B648&lt;'112'!$M$9),"x","")</f>
        <v/>
      </c>
      <c r="W648" s="86" t="str">
        <f>IF(AND('131-CT'!$H$9=TH!H648,OR(N648="131",O648="131")),"x","")</f>
        <v/>
      </c>
      <c r="X648" s="86" t="str">
        <f>IF(AND($B648&gt;='1331'!$I$9,$B648&lt;='1331'!$J$9,OR($N648=$X$7,$O648=$X$7)),"x","")</f>
        <v/>
      </c>
      <c r="Y648" s="86" t="str">
        <f>IF(AND($N648=$X$7,$B648&lt;'1331'!$I$9),"x","")</f>
        <v/>
      </c>
      <c r="Z648" s="86" t="str">
        <f>IF(AND($O648=$X$7,$B648&lt;'1331'!$I$9),"x","")</f>
        <v/>
      </c>
      <c r="AA648" s="86" t="str">
        <f>IF(AND('341-CT'!$H$9=H648,OR(LEFT(N648,3)=$AA$7,LEFT(O648,3)=$AA$7)),"x","")</f>
        <v/>
      </c>
      <c r="AB648" s="86" t="str">
        <f>IF(OR(TH!N648=TH!$AB$7,O648=TH!$AB$7),"x","")</f>
        <v/>
      </c>
      <c r="AC648" s="86" t="str">
        <f t="shared" si="45"/>
        <v/>
      </c>
      <c r="AD648" s="86" t="str">
        <f>IF(AND(MONTH(E648)&lt;='IN-NX'!$P$3,'IN-NX'!$D$7=D648,OR(LEFT(TH!N648,2)="15",LEFT(TH!O648,2)="15")),"x","")</f>
        <v/>
      </c>
      <c r="AE648" s="86" t="str">
        <f>IF(AND(OR(LEFT(TH!N648,2)="15",LEFT(TH!O648,2)="15"),'152-CT'!$J$8=TH!F648),"x","")</f>
        <v/>
      </c>
      <c r="AF648" s="86" t="str">
        <f>IF(AND(OR(LEFT(TH!N648,2)="15",LEFT(TH!O648,2)="15"),'THE KHO'!$E$7=TH!F648),"x","")</f>
        <v/>
      </c>
      <c r="AG648" s="86" t="str">
        <f>IF(AND(N648="1521",MONTH(C648)='BK NL'!$M$11),"x","")</f>
        <v/>
      </c>
    </row>
    <row r="649" spans="1:33" ht="15.75" customHeight="1">
      <c r="A649" s="398" t="str">
        <f>IF(B649&lt;&gt;"",IF(AND(B649&gt;=_TM1,B649&lt;=_TM2,OR(TH!N649="1111",TH!O649="1111")),TH!D649,""),"")</f>
        <v/>
      </c>
      <c r="B649" s="63" t="str">
        <f t="shared" si="46"/>
        <v/>
      </c>
      <c r="C649" s="64"/>
      <c r="D649" s="64"/>
      <c r="E649" s="64"/>
      <c r="F649" s="67"/>
      <c r="G649" s="361"/>
      <c r="H649" s="74"/>
      <c r="I649" s="515"/>
      <c r="J649" s="515"/>
      <c r="K649" s="507"/>
      <c r="L649" s="515"/>
      <c r="M649" s="65"/>
      <c r="N649" s="66"/>
      <c r="O649" s="66"/>
      <c r="P649" s="86" t="str">
        <f>IF(AND('331-CT'!$E$7=TH!H649,OR(N649="331",O649="331")),"x","")</f>
        <v/>
      </c>
      <c r="Q649" s="86" t="str">
        <f>IF(AND($B649&gt;='111'!$N$11,$B649&lt;='111'!$O$11,OR($N649=$Q$7,$O649=$Q$7)),"x","")</f>
        <v/>
      </c>
      <c r="R649" s="86" t="str">
        <f>IF(AND($N649=$Q$7,$B649&lt;'111'!$N$11),"x","")</f>
        <v/>
      </c>
      <c r="S649" s="86" t="str">
        <f>IF(AND($O649=$Q$7,$B649&lt;'111'!$N$11),"x","")</f>
        <v/>
      </c>
      <c r="T649" s="86" t="str">
        <f>IF(AND($B649&gt;='112'!$M$9,$B649&lt;='112'!$N$9,OR($N649='112'!$I$6,$O649='112'!$I$6)),"x","")</f>
        <v/>
      </c>
      <c r="U649" s="86" t="str">
        <f>IF(AND($N649='112'!$I$6,$B649&lt;'112'!$M$9),"x","")</f>
        <v/>
      </c>
      <c r="V649" s="86" t="str">
        <f>IF(AND($O649='112'!$I$6,$B649&lt;'112'!$M$9),"x","")</f>
        <v/>
      </c>
      <c r="W649" s="86" t="str">
        <f>IF(AND('131-CT'!$H$9=TH!H649,OR(N649="131",O649="131")),"x","")</f>
        <v/>
      </c>
      <c r="X649" s="86" t="str">
        <f>IF(AND($B649&gt;='1331'!$I$9,$B649&lt;='1331'!$J$9,OR($N649=$X$7,$O649=$X$7)),"x","")</f>
        <v/>
      </c>
      <c r="Y649" s="86" t="str">
        <f>IF(AND($N649=$X$7,$B649&lt;'1331'!$I$9),"x","")</f>
        <v/>
      </c>
      <c r="Z649" s="86" t="str">
        <f>IF(AND($O649=$X$7,$B649&lt;'1331'!$I$9),"x","")</f>
        <v/>
      </c>
      <c r="AA649" s="86" t="str">
        <f>IF(AND('341-CT'!$H$9=H649,OR(LEFT(N649,3)=$AA$7,LEFT(O649,3)=$AA$7)),"x","")</f>
        <v/>
      </c>
      <c r="AB649" s="86" t="str">
        <f>IF(OR(TH!N649=TH!$AB$7,O649=TH!$AB$7),"x","")</f>
        <v/>
      </c>
      <c r="AC649" s="86" t="str">
        <f t="shared" si="45"/>
        <v/>
      </c>
      <c r="AD649" s="86" t="str">
        <f>IF(AND(MONTH(E649)&lt;='IN-NX'!$P$3,'IN-NX'!$D$7=D649,OR(LEFT(TH!N649,2)="15",LEFT(TH!O649,2)="15")),"x","")</f>
        <v/>
      </c>
      <c r="AE649" s="86" t="str">
        <f>IF(AND(OR(LEFT(TH!N649,2)="15",LEFT(TH!O649,2)="15"),'152-CT'!$J$8=TH!F649),"x","")</f>
        <v/>
      </c>
      <c r="AF649" s="86" t="str">
        <f>IF(AND(OR(LEFT(TH!N649,2)="15",LEFT(TH!O649,2)="15"),'THE KHO'!$E$7=TH!F649),"x","")</f>
        <v/>
      </c>
      <c r="AG649" s="86" t="str">
        <f>IF(AND(N649="1521",MONTH(C649)='BK NL'!$M$11),"x","")</f>
        <v/>
      </c>
    </row>
    <row r="650" spans="1:33" ht="15.75" customHeight="1">
      <c r="A650" s="398" t="str">
        <f>IF(B650&lt;&gt;"",IF(AND(B650&gt;=_TM1,B650&lt;=_TM2,OR(TH!N650="1111",TH!O650="1111")),TH!D650,""),"")</f>
        <v/>
      </c>
      <c r="B650" s="63" t="str">
        <f t="shared" si="46"/>
        <v/>
      </c>
      <c r="C650" s="64"/>
      <c r="D650" s="64"/>
      <c r="E650" s="64"/>
      <c r="F650" s="67"/>
      <c r="G650" s="375"/>
      <c r="H650" s="74"/>
      <c r="I650" s="515"/>
      <c r="J650" s="515"/>
      <c r="K650" s="507"/>
      <c r="L650" s="515"/>
      <c r="M650" s="65"/>
      <c r="N650" s="66"/>
      <c r="O650" s="66"/>
      <c r="P650" s="86" t="str">
        <f>IF(AND('331-CT'!$E$7=TH!H650,OR(N650="331",O650="331")),"x","")</f>
        <v/>
      </c>
      <c r="Q650" s="86" t="str">
        <f>IF(AND($B650&gt;='111'!$N$11,$B650&lt;='111'!$O$11,OR($N650=$Q$7,$O650=$Q$7)),"x","")</f>
        <v/>
      </c>
      <c r="R650" s="86" t="str">
        <f>IF(AND($N650=$Q$7,$B650&lt;'111'!$N$11),"x","")</f>
        <v/>
      </c>
      <c r="S650" s="86" t="str">
        <f>IF(AND($O650=$Q$7,$B650&lt;'111'!$N$11),"x","")</f>
        <v/>
      </c>
      <c r="T650" s="86" t="str">
        <f>IF(AND($B650&gt;='112'!$M$9,$B650&lt;='112'!$N$9,OR($N650='112'!$I$6,$O650='112'!$I$6)),"x","")</f>
        <v/>
      </c>
      <c r="U650" s="86" t="str">
        <f>IF(AND($N650='112'!$I$6,$B650&lt;'112'!$M$9),"x","")</f>
        <v/>
      </c>
      <c r="V650" s="86" t="str">
        <f>IF(AND($O650='112'!$I$6,$B650&lt;'112'!$M$9),"x","")</f>
        <v/>
      </c>
      <c r="W650" s="86" t="str">
        <f>IF(AND('131-CT'!$H$9=TH!H650,OR(N650="131",O650="131")),"x","")</f>
        <v/>
      </c>
      <c r="X650" s="86" t="str">
        <f>IF(AND($B650&gt;='1331'!$I$9,$B650&lt;='1331'!$J$9,OR($N650=$X$7,$O650=$X$7)),"x","")</f>
        <v/>
      </c>
      <c r="Y650" s="86" t="str">
        <f>IF(AND($N650=$X$7,$B650&lt;'1331'!$I$9),"x","")</f>
        <v/>
      </c>
      <c r="Z650" s="86" t="str">
        <f>IF(AND($O650=$X$7,$B650&lt;'1331'!$I$9),"x","")</f>
        <v/>
      </c>
      <c r="AA650" s="86" t="str">
        <f>IF(AND('341-CT'!$H$9=H650,OR(LEFT(N650,3)=$AA$7,LEFT(O650,3)=$AA$7)),"x","")</f>
        <v/>
      </c>
      <c r="AB650" s="86" t="str">
        <f>IF(OR(TH!N650=TH!$AB$7,O650=TH!$AB$7),"x","")</f>
        <v/>
      </c>
      <c r="AC650" s="86" t="str">
        <f t="shared" si="45"/>
        <v/>
      </c>
      <c r="AD650" s="86" t="str">
        <f>IF(AND(MONTH(E650)&lt;='IN-NX'!$P$3,'IN-NX'!$D$7=D650,OR(LEFT(TH!N650,2)="15",LEFT(TH!O650,2)="15")),"x","")</f>
        <v/>
      </c>
      <c r="AE650" s="86" t="str">
        <f>IF(AND(OR(LEFT(TH!N650,2)="15",LEFT(TH!O650,2)="15"),'152-CT'!$J$8=TH!F650),"x","")</f>
        <v/>
      </c>
      <c r="AF650" s="86" t="str">
        <f>IF(AND(OR(LEFT(TH!N650,2)="15",LEFT(TH!O650,2)="15"),'THE KHO'!$E$7=TH!F650),"x","")</f>
        <v/>
      </c>
      <c r="AG650" s="86" t="str">
        <f>IF(AND(N650="1521",MONTH(C650)='BK NL'!$M$11),"x","")</f>
        <v/>
      </c>
    </row>
    <row r="651" spans="1:33" ht="15.75" customHeight="1">
      <c r="A651" s="398" t="str">
        <f>IF(B651&lt;&gt;"",IF(AND(B651&gt;=_TM1,B651&lt;=_TM2,OR(TH!N651="1111",TH!O651="1111")),TH!D651,""),"")</f>
        <v/>
      </c>
      <c r="B651" s="63" t="str">
        <f t="shared" si="46"/>
        <v/>
      </c>
      <c r="C651" s="64"/>
      <c r="D651" s="64"/>
      <c r="E651" s="64"/>
      <c r="F651" s="67"/>
      <c r="G651" s="375"/>
      <c r="H651" s="366"/>
      <c r="I651" s="513"/>
      <c r="J651" s="513"/>
      <c r="K651" s="505"/>
      <c r="L651" s="513"/>
      <c r="M651" s="65"/>
      <c r="N651" s="66"/>
      <c r="O651" s="66"/>
      <c r="P651" s="86" t="str">
        <f>IF(AND('331-CT'!$E$7=TH!H651,OR(N651="331",O651="331")),"x","")</f>
        <v/>
      </c>
      <c r="Q651" s="86" t="str">
        <f>IF(AND($B651&gt;='111'!$N$11,$B651&lt;='111'!$O$11,OR($N651=$Q$7,$O651=$Q$7)),"x","")</f>
        <v/>
      </c>
      <c r="R651" s="86" t="str">
        <f>IF(AND($N651=$Q$7,$B651&lt;'111'!$N$11),"x","")</f>
        <v/>
      </c>
      <c r="S651" s="86" t="str">
        <f>IF(AND($O651=$Q$7,$B651&lt;'111'!$N$11),"x","")</f>
        <v/>
      </c>
      <c r="T651" s="86" t="str">
        <f>IF(AND($B651&gt;='112'!$M$9,$B651&lt;='112'!$N$9,OR($N651='112'!$I$6,$O651='112'!$I$6)),"x","")</f>
        <v/>
      </c>
      <c r="U651" s="86" t="str">
        <f>IF(AND($N651='112'!$I$6,$B651&lt;'112'!$M$9),"x","")</f>
        <v/>
      </c>
      <c r="V651" s="86" t="str">
        <f>IF(AND($O651='112'!$I$6,$B651&lt;'112'!$M$9),"x","")</f>
        <v/>
      </c>
      <c r="W651" s="86" t="str">
        <f>IF(AND('131-CT'!$H$9=TH!H651,OR(N651="131",O651="131")),"x","")</f>
        <v/>
      </c>
      <c r="X651" s="86" t="str">
        <f>IF(AND($B651&gt;='1331'!$I$9,$B651&lt;='1331'!$J$9,OR($N651=$X$7,$O651=$X$7)),"x","")</f>
        <v/>
      </c>
      <c r="Y651" s="86" t="str">
        <f>IF(AND($N651=$X$7,$B651&lt;'1331'!$I$9),"x","")</f>
        <v/>
      </c>
      <c r="Z651" s="86" t="str">
        <f>IF(AND($O651=$X$7,$B651&lt;'1331'!$I$9),"x","")</f>
        <v/>
      </c>
      <c r="AA651" s="86" t="str">
        <f>IF(AND('341-CT'!$H$9=H651,OR(LEFT(N651,3)=$AA$7,LEFT(O651,3)=$AA$7)),"x","")</f>
        <v/>
      </c>
      <c r="AB651" s="86" t="str">
        <f>IF(OR(TH!N651=TH!$AB$7,O651=TH!$AB$7),"x","")</f>
        <v/>
      </c>
      <c r="AC651" s="86" t="str">
        <f t="shared" si="45"/>
        <v/>
      </c>
      <c r="AD651" s="86" t="str">
        <f>IF(AND(MONTH(E651)&lt;='IN-NX'!$P$3,'IN-NX'!$D$7=D651,OR(LEFT(TH!N651,2)="15",LEFT(TH!O651,2)="15")),"x","")</f>
        <v/>
      </c>
      <c r="AE651" s="86" t="str">
        <f>IF(AND(OR(LEFT(TH!N651,2)="15",LEFT(TH!O651,2)="15"),'152-CT'!$J$8=TH!F651),"x","")</f>
        <v/>
      </c>
      <c r="AF651" s="86" t="str">
        <f>IF(AND(OR(LEFT(TH!N651,2)="15",LEFT(TH!O651,2)="15"),'THE KHO'!$E$7=TH!F651),"x","")</f>
        <v/>
      </c>
      <c r="AG651" s="86" t="str">
        <f>IF(AND(N651="1521",MONTH(C651)='BK NL'!$M$11),"x","")</f>
        <v/>
      </c>
    </row>
    <row r="652" spans="1:33" ht="15.75" customHeight="1">
      <c r="A652" s="398" t="str">
        <f>IF(B652&lt;&gt;"",IF(AND(B652&gt;=_TM1,B652&lt;=_TM2,OR(TH!N652="1111",TH!O652="1111")),TH!D652,""),"")</f>
        <v/>
      </c>
      <c r="B652" s="63" t="str">
        <f t="shared" si="46"/>
        <v/>
      </c>
      <c r="C652" s="64"/>
      <c r="D652" s="64"/>
      <c r="E652" s="64"/>
      <c r="F652" s="67"/>
      <c r="G652" s="375"/>
      <c r="H652" s="366"/>
      <c r="I652" s="513"/>
      <c r="J652" s="513"/>
      <c r="K652" s="505"/>
      <c r="L652" s="513"/>
      <c r="M652" s="65"/>
      <c r="N652" s="66"/>
      <c r="O652" s="66"/>
      <c r="P652" s="86" t="str">
        <f>IF(AND('331-CT'!$E$7=TH!H652,OR(N652="331",O652="331")),"x","")</f>
        <v/>
      </c>
      <c r="Q652" s="86" t="str">
        <f>IF(AND($B652&gt;='111'!$N$11,$B652&lt;='111'!$O$11,OR($N652=$Q$7,$O652=$Q$7)),"x","")</f>
        <v/>
      </c>
      <c r="R652" s="86" t="str">
        <f>IF(AND($N652=$Q$7,$B652&lt;'111'!$N$11),"x","")</f>
        <v/>
      </c>
      <c r="S652" s="86" t="str">
        <f>IF(AND($O652=$Q$7,$B652&lt;'111'!$N$11),"x","")</f>
        <v/>
      </c>
      <c r="T652" s="86" t="str">
        <f>IF(AND($B652&gt;='112'!$M$9,$B652&lt;='112'!$N$9,OR($N652='112'!$I$6,$O652='112'!$I$6)),"x","")</f>
        <v/>
      </c>
      <c r="U652" s="86" t="str">
        <f>IF(AND($N652='112'!$I$6,$B652&lt;'112'!$M$9),"x","")</f>
        <v/>
      </c>
      <c r="V652" s="86" t="str">
        <f>IF(AND($O652='112'!$I$6,$B652&lt;'112'!$M$9),"x","")</f>
        <v/>
      </c>
      <c r="W652" s="86" t="str">
        <f>IF(AND('131-CT'!$H$9=TH!H652,OR(N652="131",O652="131")),"x","")</f>
        <v/>
      </c>
      <c r="X652" s="86" t="str">
        <f>IF(AND($B652&gt;='1331'!$I$9,$B652&lt;='1331'!$J$9,OR($N652=$X$7,$O652=$X$7)),"x","")</f>
        <v/>
      </c>
      <c r="Y652" s="86" t="str">
        <f>IF(AND($N652=$X$7,$B652&lt;'1331'!$I$9),"x","")</f>
        <v/>
      </c>
      <c r="Z652" s="86" t="str">
        <f>IF(AND($O652=$X$7,$B652&lt;'1331'!$I$9),"x","")</f>
        <v/>
      </c>
      <c r="AA652" s="86" t="str">
        <f>IF(AND('341-CT'!$H$9=H652,OR(LEFT(N652,3)=$AA$7,LEFT(O652,3)=$AA$7)),"x","")</f>
        <v/>
      </c>
      <c r="AB652" s="86" t="str">
        <f>IF(OR(TH!N652=TH!$AB$7,O652=TH!$AB$7),"x","")</f>
        <v/>
      </c>
      <c r="AC652" s="86" t="str">
        <f t="shared" si="45"/>
        <v/>
      </c>
      <c r="AD652" s="86" t="str">
        <f>IF(AND(MONTH(E652)&lt;='IN-NX'!$P$3,'IN-NX'!$D$7=D652,OR(LEFT(TH!N652,2)="15",LEFT(TH!O652,2)="15")),"x","")</f>
        <v/>
      </c>
      <c r="AE652" s="86" t="str">
        <f>IF(AND(OR(LEFT(TH!N652,2)="15",LEFT(TH!O652,2)="15"),'152-CT'!$J$8=TH!F652),"x","")</f>
        <v/>
      </c>
      <c r="AF652" s="86" t="str">
        <f>IF(AND(OR(LEFT(TH!N652,2)="15",LEFT(TH!O652,2)="15"),'THE KHO'!$E$7=TH!F652),"x","")</f>
        <v/>
      </c>
      <c r="AG652" s="86" t="str">
        <f>IF(AND(N652="1521",MONTH(C652)='BK NL'!$M$11),"x","")</f>
        <v/>
      </c>
    </row>
    <row r="653" spans="1:33" ht="15.75" customHeight="1">
      <c r="A653" s="398" t="str">
        <f>IF(B653&lt;&gt;"",IF(AND(B653&gt;=_TM1,B653&lt;=_TM2,OR(TH!N653="1111",TH!O653="1111")),TH!D653,""),"")</f>
        <v/>
      </c>
      <c r="B653" s="63" t="str">
        <f t="shared" si="46"/>
        <v/>
      </c>
      <c r="C653" s="64"/>
      <c r="D653" s="64"/>
      <c r="E653" s="64"/>
      <c r="F653" s="67"/>
      <c r="G653" s="375"/>
      <c r="H653" s="74"/>
      <c r="I653" s="515"/>
      <c r="J653" s="515"/>
      <c r="K653" s="507"/>
      <c r="L653" s="515"/>
      <c r="M653" s="65"/>
      <c r="N653" s="66"/>
      <c r="O653" s="66"/>
      <c r="P653" s="86" t="str">
        <f>IF(AND('331-CT'!$E$7=TH!H653,OR(N653="331",O653="331")),"x","")</f>
        <v/>
      </c>
      <c r="Q653" s="86" t="str">
        <f>IF(AND($B653&gt;='111'!$N$11,$B653&lt;='111'!$O$11,OR($N653=$Q$7,$O653=$Q$7)),"x","")</f>
        <v/>
      </c>
      <c r="R653" s="86" t="str">
        <f>IF(AND($N653=$Q$7,$B653&lt;'111'!$N$11),"x","")</f>
        <v/>
      </c>
      <c r="S653" s="86" t="str">
        <f>IF(AND($O653=$Q$7,$B653&lt;'111'!$N$11),"x","")</f>
        <v/>
      </c>
      <c r="T653" s="86" t="str">
        <f>IF(AND($B653&gt;='112'!$M$9,$B653&lt;='112'!$N$9,OR($N653='112'!$I$6,$O653='112'!$I$6)),"x","")</f>
        <v/>
      </c>
      <c r="U653" s="86" t="str">
        <f>IF(AND($N653='112'!$I$6,$B653&lt;'112'!$M$9),"x","")</f>
        <v/>
      </c>
      <c r="V653" s="86" t="str">
        <f>IF(AND($O653='112'!$I$6,$B653&lt;'112'!$M$9),"x","")</f>
        <v/>
      </c>
      <c r="W653" s="86" t="str">
        <f>IF(AND('131-CT'!$H$9=TH!H653,OR(N653="131",O653="131")),"x","")</f>
        <v/>
      </c>
      <c r="X653" s="86" t="str">
        <f>IF(AND($B653&gt;='1331'!$I$9,$B653&lt;='1331'!$J$9,OR($N653=$X$7,$O653=$X$7)),"x","")</f>
        <v/>
      </c>
      <c r="Y653" s="86" t="str">
        <f>IF(AND($N653=$X$7,$B653&lt;'1331'!$I$9),"x","")</f>
        <v/>
      </c>
      <c r="Z653" s="86" t="str">
        <f>IF(AND($O653=$X$7,$B653&lt;'1331'!$I$9),"x","")</f>
        <v/>
      </c>
      <c r="AA653" s="86" t="str">
        <f>IF(AND('341-CT'!$H$9=H653,OR(LEFT(N653,3)=$AA$7,LEFT(O653,3)=$AA$7)),"x","")</f>
        <v/>
      </c>
      <c r="AB653" s="86" t="str">
        <f>IF(OR(TH!N653=TH!$AB$7,O653=TH!$AB$7),"x","")</f>
        <v/>
      </c>
      <c r="AC653" s="86" t="str">
        <f t="shared" si="45"/>
        <v/>
      </c>
      <c r="AD653" s="86" t="str">
        <f>IF(AND(MONTH(E653)&lt;='IN-NX'!$P$3,'IN-NX'!$D$7=D653,OR(LEFT(TH!N653,2)="15",LEFT(TH!O653,2)="15")),"x","")</f>
        <v/>
      </c>
      <c r="AE653" s="86" t="str">
        <f>IF(AND(OR(LEFT(TH!N653,2)="15",LEFT(TH!O653,2)="15"),'152-CT'!$J$8=TH!F653),"x","")</f>
        <v/>
      </c>
      <c r="AF653" s="86" t="str">
        <f>IF(AND(OR(LEFT(TH!N653,2)="15",LEFT(TH!O653,2)="15"),'THE KHO'!$E$7=TH!F653),"x","")</f>
        <v/>
      </c>
      <c r="AG653" s="86" t="str">
        <f>IF(AND(N653="1521",MONTH(C653)='BK NL'!$M$11),"x","")</f>
        <v/>
      </c>
    </row>
    <row r="654" spans="1:33" ht="15.75" customHeight="1">
      <c r="A654" s="398" t="str">
        <f>IF(B654&lt;&gt;"",IF(AND(B654&gt;=_TM1,B654&lt;=_TM2,OR(TH!N654="1111",TH!O654="1111")),TH!D654,""),"")</f>
        <v/>
      </c>
      <c r="B654" s="63" t="str">
        <f t="shared" si="46"/>
        <v/>
      </c>
      <c r="C654" s="64"/>
      <c r="D654" s="64"/>
      <c r="E654" s="64"/>
      <c r="F654" s="67"/>
      <c r="G654" s="375"/>
      <c r="H654" s="74"/>
      <c r="I654" s="515"/>
      <c r="J654" s="515"/>
      <c r="K654" s="507"/>
      <c r="L654" s="515"/>
      <c r="M654" s="65"/>
      <c r="N654" s="66"/>
      <c r="O654" s="66"/>
      <c r="P654" s="86" t="str">
        <f>IF(AND('331-CT'!$E$7=TH!H654,OR(N654="331",O654="331")),"x","")</f>
        <v/>
      </c>
      <c r="Q654" s="86" t="str">
        <f>IF(AND($B654&gt;='111'!$N$11,$B654&lt;='111'!$O$11,OR($N654=$Q$7,$O654=$Q$7)),"x","")</f>
        <v/>
      </c>
      <c r="R654" s="86" t="str">
        <f>IF(AND($N654=$Q$7,$B654&lt;'111'!$N$11),"x","")</f>
        <v/>
      </c>
      <c r="S654" s="86" t="str">
        <f>IF(AND($O654=$Q$7,$B654&lt;'111'!$N$11),"x","")</f>
        <v/>
      </c>
      <c r="T654" s="86" t="str">
        <f>IF(AND($B654&gt;='112'!$M$9,$B654&lt;='112'!$N$9,OR($N654='112'!$I$6,$O654='112'!$I$6)),"x","")</f>
        <v/>
      </c>
      <c r="U654" s="86" t="str">
        <f>IF(AND($N654='112'!$I$6,$B654&lt;'112'!$M$9),"x","")</f>
        <v/>
      </c>
      <c r="V654" s="86" t="str">
        <f>IF(AND($O654='112'!$I$6,$B654&lt;'112'!$M$9),"x","")</f>
        <v/>
      </c>
      <c r="W654" s="86" t="str">
        <f>IF(AND('131-CT'!$H$9=TH!H654,OR(N654="131",O654="131")),"x","")</f>
        <v/>
      </c>
      <c r="X654" s="86" t="str">
        <f>IF(AND($B654&gt;='1331'!$I$9,$B654&lt;='1331'!$J$9,OR($N654=$X$7,$O654=$X$7)),"x","")</f>
        <v/>
      </c>
      <c r="Y654" s="86" t="str">
        <f>IF(AND($N654=$X$7,$B654&lt;'1331'!$I$9),"x","")</f>
        <v/>
      </c>
      <c r="Z654" s="86" t="str">
        <f>IF(AND($O654=$X$7,$B654&lt;'1331'!$I$9),"x","")</f>
        <v/>
      </c>
      <c r="AA654" s="86" t="str">
        <f>IF(AND('341-CT'!$H$9=H654,OR(LEFT(N654,3)=$AA$7,LEFT(O654,3)=$AA$7)),"x","")</f>
        <v/>
      </c>
      <c r="AB654" s="86" t="str">
        <f>IF(OR(TH!N654=TH!$AB$7,O654=TH!$AB$7),"x","")</f>
        <v/>
      </c>
      <c r="AC654" s="86" t="str">
        <f t="shared" si="45"/>
        <v/>
      </c>
      <c r="AD654" s="86" t="str">
        <f>IF(AND(MONTH(E654)&lt;='IN-NX'!$P$3,'IN-NX'!$D$7=D654,OR(LEFT(TH!N654,2)="15",LEFT(TH!O654,2)="15")),"x","")</f>
        <v/>
      </c>
      <c r="AE654" s="86" t="str">
        <f>IF(AND(OR(LEFT(TH!N654,2)="15",LEFT(TH!O654,2)="15"),'152-CT'!$J$8=TH!F654),"x","")</f>
        <v/>
      </c>
      <c r="AF654" s="86" t="str">
        <f>IF(AND(OR(LEFT(TH!N654,2)="15",LEFT(TH!O654,2)="15"),'THE KHO'!$E$7=TH!F654),"x","")</f>
        <v/>
      </c>
      <c r="AG654" s="86" t="str">
        <f>IF(AND(N654="1521",MONTH(C654)='BK NL'!$M$11),"x","")</f>
        <v/>
      </c>
    </row>
    <row r="655" spans="1:33" ht="15.75" customHeight="1">
      <c r="A655" s="398" t="str">
        <f>IF(B655&lt;&gt;"",IF(AND(B655&gt;=_TM1,B655&lt;=_TM2,OR(TH!N655="1111",TH!O655="1111")),TH!D655,""),"")</f>
        <v/>
      </c>
      <c r="B655" s="63" t="str">
        <f t="shared" si="46"/>
        <v/>
      </c>
      <c r="C655" s="64"/>
      <c r="D655" s="64"/>
      <c r="E655" s="64"/>
      <c r="F655" s="67"/>
      <c r="G655" s="361"/>
      <c r="H655" s="74"/>
      <c r="I655" s="515"/>
      <c r="J655" s="515"/>
      <c r="K655" s="507"/>
      <c r="L655" s="515"/>
      <c r="M655" s="65"/>
      <c r="N655" s="66"/>
      <c r="O655" s="66"/>
      <c r="P655" s="86" t="str">
        <f>IF(AND('331-CT'!$E$7=TH!H655,OR(N655="331",O655="331")),"x","")</f>
        <v/>
      </c>
      <c r="Q655" s="86" t="str">
        <f>IF(AND($B655&gt;='111'!$N$11,$B655&lt;='111'!$O$11,OR($N655=$Q$7,$O655=$Q$7)),"x","")</f>
        <v/>
      </c>
      <c r="R655" s="86" t="str">
        <f>IF(AND($N655=$Q$7,$B655&lt;'111'!$N$11),"x","")</f>
        <v/>
      </c>
      <c r="S655" s="86" t="str">
        <f>IF(AND($O655=$Q$7,$B655&lt;'111'!$N$11),"x","")</f>
        <v/>
      </c>
      <c r="T655" s="86" t="str">
        <f>IF(AND($B655&gt;='112'!$M$9,$B655&lt;='112'!$N$9,OR($N655='112'!$I$6,$O655='112'!$I$6)),"x","")</f>
        <v/>
      </c>
      <c r="U655" s="86" t="str">
        <f>IF(AND($N655='112'!$I$6,$B655&lt;'112'!$M$9),"x","")</f>
        <v/>
      </c>
      <c r="V655" s="86" t="str">
        <f>IF(AND($O655='112'!$I$6,$B655&lt;'112'!$M$9),"x","")</f>
        <v/>
      </c>
      <c r="W655" s="86" t="str">
        <f>IF(AND('131-CT'!$H$9=TH!H655,OR(N655="131",O655="131")),"x","")</f>
        <v/>
      </c>
      <c r="X655" s="86" t="str">
        <f>IF(AND($B655&gt;='1331'!$I$9,$B655&lt;='1331'!$J$9,OR($N655=$X$7,$O655=$X$7)),"x","")</f>
        <v/>
      </c>
      <c r="Y655" s="86" t="str">
        <f>IF(AND($N655=$X$7,$B655&lt;'1331'!$I$9),"x","")</f>
        <v/>
      </c>
      <c r="Z655" s="86" t="str">
        <f>IF(AND($O655=$X$7,$B655&lt;'1331'!$I$9),"x","")</f>
        <v/>
      </c>
      <c r="AA655" s="86" t="str">
        <f>IF(AND('341-CT'!$H$9=H655,OR(LEFT(N655,3)=$AA$7,LEFT(O655,3)=$AA$7)),"x","")</f>
        <v/>
      </c>
      <c r="AB655" s="86" t="str">
        <f>IF(OR(TH!N655=TH!$AB$7,O655=TH!$AB$7),"x","")</f>
        <v/>
      </c>
      <c r="AC655" s="86" t="str">
        <f t="shared" si="45"/>
        <v/>
      </c>
      <c r="AD655" s="86" t="str">
        <f>IF(AND(MONTH(E655)&lt;='IN-NX'!$P$3,'IN-NX'!$D$7=D655,OR(LEFT(TH!N655,2)="15",LEFT(TH!O655,2)="15")),"x","")</f>
        <v/>
      </c>
      <c r="AE655" s="86" t="str">
        <f>IF(AND(OR(LEFT(TH!N655,2)="15",LEFT(TH!O655,2)="15"),'152-CT'!$J$8=TH!F655),"x","")</f>
        <v/>
      </c>
      <c r="AF655" s="86" t="str">
        <f>IF(AND(OR(LEFT(TH!N655,2)="15",LEFT(TH!O655,2)="15"),'THE KHO'!$E$7=TH!F655),"x","")</f>
        <v/>
      </c>
      <c r="AG655" s="86" t="str">
        <f>IF(AND(N655="1521",MONTH(C655)='BK NL'!$M$11),"x","")</f>
        <v/>
      </c>
    </row>
    <row r="656" spans="1:33" ht="15.75" customHeight="1">
      <c r="A656" s="398" t="str">
        <f>IF(B656&lt;&gt;"",IF(AND(B656&gt;=_TM1,B656&lt;=_TM2,OR(TH!N656="1111",TH!O656="1111")),TH!D656,""),"")</f>
        <v/>
      </c>
      <c r="B656" s="63" t="str">
        <f t="shared" si="46"/>
        <v/>
      </c>
      <c r="C656" s="64"/>
      <c r="D656" s="64"/>
      <c r="E656" s="64"/>
      <c r="F656" s="67"/>
      <c r="G656" s="361"/>
      <c r="H656" s="74"/>
      <c r="I656" s="515"/>
      <c r="J656" s="515"/>
      <c r="K656" s="507"/>
      <c r="L656" s="515"/>
      <c r="M656" s="65"/>
      <c r="N656" s="66"/>
      <c r="O656" s="66"/>
      <c r="P656" s="86" t="str">
        <f>IF(AND('331-CT'!$E$7=TH!H656,OR(N656="331",O656="331")),"x","")</f>
        <v/>
      </c>
      <c r="Q656" s="86" t="str">
        <f>IF(AND($B656&gt;='111'!$N$11,$B656&lt;='111'!$O$11,OR($N656=$Q$7,$O656=$Q$7)),"x","")</f>
        <v/>
      </c>
      <c r="R656" s="86" t="str">
        <f>IF(AND($N656=$Q$7,$B656&lt;'111'!$N$11),"x","")</f>
        <v/>
      </c>
      <c r="S656" s="86" t="str">
        <f>IF(AND($O656=$Q$7,$B656&lt;'111'!$N$11),"x","")</f>
        <v/>
      </c>
      <c r="T656" s="86" t="str">
        <f>IF(AND($B656&gt;='112'!$M$9,$B656&lt;='112'!$N$9,OR($N656='112'!$I$6,$O656='112'!$I$6)),"x","")</f>
        <v/>
      </c>
      <c r="U656" s="86" t="str">
        <f>IF(AND($N656='112'!$I$6,$B656&lt;'112'!$M$9),"x","")</f>
        <v/>
      </c>
      <c r="V656" s="86" t="str">
        <f>IF(AND($O656='112'!$I$6,$B656&lt;'112'!$M$9),"x","")</f>
        <v/>
      </c>
      <c r="W656" s="86" t="str">
        <f>IF(AND('131-CT'!$H$9=TH!H656,OR(N656="131",O656="131")),"x","")</f>
        <v/>
      </c>
      <c r="X656" s="86" t="str">
        <f>IF(AND($B656&gt;='1331'!$I$9,$B656&lt;='1331'!$J$9,OR($N656=$X$7,$O656=$X$7)),"x","")</f>
        <v/>
      </c>
      <c r="Y656" s="86" t="str">
        <f>IF(AND($N656=$X$7,$B656&lt;'1331'!$I$9),"x","")</f>
        <v/>
      </c>
      <c r="Z656" s="86" t="str">
        <f>IF(AND($O656=$X$7,$B656&lt;'1331'!$I$9),"x","")</f>
        <v/>
      </c>
      <c r="AA656" s="86" t="str">
        <f>IF(AND('341-CT'!$H$9=H656,OR(LEFT(N656,3)=$AA$7,LEFT(O656,3)=$AA$7)),"x","")</f>
        <v/>
      </c>
      <c r="AB656" s="86" t="str">
        <f>IF(OR(TH!N656=TH!$AB$7,O656=TH!$AB$7),"x","")</f>
        <v/>
      </c>
      <c r="AC656" s="86" t="str">
        <f t="shared" si="45"/>
        <v/>
      </c>
      <c r="AD656" s="86" t="str">
        <f>IF(AND(MONTH(E656)&lt;='IN-NX'!$P$3,'IN-NX'!$D$7=D656,OR(LEFT(TH!N656,2)="15",LEFT(TH!O656,2)="15")),"x","")</f>
        <v/>
      </c>
      <c r="AE656" s="86" t="str">
        <f>IF(AND(OR(LEFT(TH!N656,2)="15",LEFT(TH!O656,2)="15"),'152-CT'!$J$8=TH!F656),"x","")</f>
        <v/>
      </c>
      <c r="AF656" s="86" t="str">
        <f>IF(AND(OR(LEFT(TH!N656,2)="15",LEFT(TH!O656,2)="15"),'THE KHO'!$E$7=TH!F656),"x","")</f>
        <v/>
      </c>
      <c r="AG656" s="86" t="str">
        <f>IF(AND(N656="1521",MONTH(C656)='BK NL'!$M$11),"x","")</f>
        <v/>
      </c>
    </row>
    <row r="657" spans="1:33" ht="15.75" customHeight="1">
      <c r="A657" s="398" t="str">
        <f>IF(B657&lt;&gt;"",IF(AND(B657&gt;=_TM1,B657&lt;=_TM2,OR(TH!N657="1111",TH!O657="1111")),TH!D657,""),"")</f>
        <v/>
      </c>
      <c r="B657" s="63" t="str">
        <f t="shared" si="46"/>
        <v/>
      </c>
      <c r="C657" s="64"/>
      <c r="D657" s="64"/>
      <c r="E657" s="64"/>
      <c r="F657" s="67"/>
      <c r="G657" s="361"/>
      <c r="H657" s="74"/>
      <c r="I657" s="515"/>
      <c r="J657" s="515"/>
      <c r="K657" s="507"/>
      <c r="L657" s="515"/>
      <c r="M657" s="65"/>
      <c r="N657" s="66"/>
      <c r="O657" s="66"/>
      <c r="P657" s="86" t="str">
        <f>IF(AND('331-CT'!$E$7=TH!H657,OR(N657="331",O657="331")),"x","")</f>
        <v/>
      </c>
      <c r="Q657" s="86" t="str">
        <f>IF(AND($B657&gt;='111'!$N$11,$B657&lt;='111'!$O$11,OR($N657=$Q$7,$O657=$Q$7)),"x","")</f>
        <v/>
      </c>
      <c r="R657" s="86" t="str">
        <f>IF(AND($N657=$Q$7,$B657&lt;'111'!$N$11),"x","")</f>
        <v/>
      </c>
      <c r="S657" s="86" t="str">
        <f>IF(AND($O657=$Q$7,$B657&lt;'111'!$N$11),"x","")</f>
        <v/>
      </c>
      <c r="T657" s="86" t="str">
        <f>IF(AND($B657&gt;='112'!$M$9,$B657&lt;='112'!$N$9,OR($N657='112'!$I$6,$O657='112'!$I$6)),"x","")</f>
        <v/>
      </c>
      <c r="U657" s="86" t="str">
        <f>IF(AND($N657='112'!$I$6,$B657&lt;'112'!$M$9),"x","")</f>
        <v/>
      </c>
      <c r="V657" s="86" t="str">
        <f>IF(AND($O657='112'!$I$6,$B657&lt;'112'!$M$9),"x","")</f>
        <v/>
      </c>
      <c r="W657" s="86" t="str">
        <f>IF(AND('131-CT'!$H$9=TH!H657,OR(N657="131",O657="131")),"x","")</f>
        <v/>
      </c>
      <c r="X657" s="86" t="str">
        <f>IF(AND($B657&gt;='1331'!$I$9,$B657&lt;='1331'!$J$9,OR($N657=$X$7,$O657=$X$7)),"x","")</f>
        <v/>
      </c>
      <c r="Y657" s="86" t="str">
        <f>IF(AND($N657=$X$7,$B657&lt;'1331'!$I$9),"x","")</f>
        <v/>
      </c>
      <c r="Z657" s="86" t="str">
        <f>IF(AND($O657=$X$7,$B657&lt;'1331'!$I$9),"x","")</f>
        <v/>
      </c>
      <c r="AA657" s="86" t="str">
        <f>IF(AND('341-CT'!$H$9=H657,OR(LEFT(N657,3)=$AA$7,LEFT(O657,3)=$AA$7)),"x","")</f>
        <v/>
      </c>
      <c r="AB657" s="86" t="str">
        <f>IF(OR(TH!N657=TH!$AB$7,O657=TH!$AB$7),"x","")</f>
        <v/>
      </c>
      <c r="AC657" s="86" t="str">
        <f t="shared" si="45"/>
        <v/>
      </c>
      <c r="AD657" s="86" t="str">
        <f>IF(AND(MONTH(E657)&lt;='IN-NX'!$P$3,'IN-NX'!$D$7=D657,OR(LEFT(TH!N657,2)="15",LEFT(TH!O657,2)="15")),"x","")</f>
        <v/>
      </c>
      <c r="AE657" s="86" t="str">
        <f>IF(AND(OR(LEFT(TH!N657,2)="15",LEFT(TH!O657,2)="15"),'152-CT'!$J$8=TH!F657),"x","")</f>
        <v/>
      </c>
      <c r="AF657" s="86" t="str">
        <f>IF(AND(OR(LEFT(TH!N657,2)="15",LEFT(TH!O657,2)="15"),'THE KHO'!$E$7=TH!F657),"x","")</f>
        <v/>
      </c>
      <c r="AG657" s="86" t="str">
        <f>IF(AND(N657="1521",MONTH(C657)='BK NL'!$M$11),"x","")</f>
        <v/>
      </c>
    </row>
    <row r="658" spans="1:33" ht="15.75" customHeight="1">
      <c r="A658" s="398" t="str">
        <f>IF(B658&lt;&gt;"",IF(AND(B658&gt;=_TM1,B658&lt;=_TM2,OR(TH!N658="1111",TH!O658="1111")),TH!D658,""),"")</f>
        <v/>
      </c>
      <c r="B658" s="63" t="str">
        <f t="shared" si="46"/>
        <v/>
      </c>
      <c r="C658" s="64"/>
      <c r="D658" s="64"/>
      <c r="E658" s="64"/>
      <c r="F658" s="67"/>
      <c r="G658" s="361"/>
      <c r="H658" s="74"/>
      <c r="I658" s="515"/>
      <c r="J658" s="515"/>
      <c r="K658" s="507"/>
      <c r="L658" s="515"/>
      <c r="M658" s="65"/>
      <c r="N658" s="66"/>
      <c r="O658" s="66"/>
      <c r="P658" s="86" t="str">
        <f>IF(AND('331-CT'!$E$7=TH!H658,OR(N658="331",O658="331")),"x","")</f>
        <v/>
      </c>
      <c r="Q658" s="86" t="str">
        <f>IF(AND($B658&gt;='111'!$N$11,$B658&lt;='111'!$O$11,OR($N658=$Q$7,$O658=$Q$7)),"x","")</f>
        <v/>
      </c>
      <c r="R658" s="86" t="str">
        <f>IF(AND($N658=$Q$7,$B658&lt;'111'!$N$11),"x","")</f>
        <v/>
      </c>
      <c r="S658" s="86" t="str">
        <f>IF(AND($O658=$Q$7,$B658&lt;'111'!$N$11),"x","")</f>
        <v/>
      </c>
      <c r="T658" s="86" t="str">
        <f>IF(AND($B658&gt;='112'!$M$9,$B658&lt;='112'!$N$9,OR($N658='112'!$I$6,$O658='112'!$I$6)),"x","")</f>
        <v/>
      </c>
      <c r="U658" s="86" t="str">
        <f>IF(AND($N658='112'!$I$6,$B658&lt;'112'!$M$9),"x","")</f>
        <v/>
      </c>
      <c r="V658" s="86" t="str">
        <f>IF(AND($O658='112'!$I$6,$B658&lt;'112'!$M$9),"x","")</f>
        <v/>
      </c>
      <c r="W658" s="86" t="str">
        <f>IF(AND('131-CT'!$H$9=TH!H658,OR(N658="131",O658="131")),"x","")</f>
        <v/>
      </c>
      <c r="X658" s="86" t="str">
        <f>IF(AND($B658&gt;='1331'!$I$9,$B658&lt;='1331'!$J$9,OR($N658=$X$7,$O658=$X$7)),"x","")</f>
        <v/>
      </c>
      <c r="Y658" s="86" t="str">
        <f>IF(AND($N658=$X$7,$B658&lt;'1331'!$I$9),"x","")</f>
        <v/>
      </c>
      <c r="Z658" s="86" t="str">
        <f>IF(AND($O658=$X$7,$B658&lt;'1331'!$I$9),"x","")</f>
        <v/>
      </c>
      <c r="AA658" s="86" t="str">
        <f>IF(AND('341-CT'!$H$9=H658,OR(LEFT(N658,3)=$AA$7,LEFT(O658,3)=$AA$7)),"x","")</f>
        <v/>
      </c>
      <c r="AB658" s="86" t="str">
        <f>IF(OR(TH!N658=TH!$AB$7,O658=TH!$AB$7),"x","")</f>
        <v/>
      </c>
      <c r="AC658" s="86" t="str">
        <f t="shared" si="45"/>
        <v/>
      </c>
      <c r="AD658" s="86" t="str">
        <f>IF(AND(MONTH(E658)&lt;='IN-NX'!$P$3,'IN-NX'!$D$7=D658,OR(LEFT(TH!N658,2)="15",LEFT(TH!O658,2)="15")),"x","")</f>
        <v/>
      </c>
      <c r="AE658" s="86" t="str">
        <f>IF(AND(OR(LEFT(TH!N658,2)="15",LEFT(TH!O658,2)="15"),'152-CT'!$J$8=TH!F658),"x","")</f>
        <v/>
      </c>
      <c r="AF658" s="86" t="str">
        <f>IF(AND(OR(LEFT(TH!N658,2)="15",LEFT(TH!O658,2)="15"),'THE KHO'!$E$7=TH!F658),"x","")</f>
        <v/>
      </c>
      <c r="AG658" s="86" t="str">
        <f>IF(AND(N658="1521",MONTH(C658)='BK NL'!$M$11),"x","")</f>
        <v/>
      </c>
    </row>
    <row r="659" spans="1:33" ht="15.75" customHeight="1">
      <c r="A659" s="398" t="str">
        <f>IF(B659&lt;&gt;"",IF(AND(B659&gt;=_TM1,B659&lt;=_TM2,OR(TH!N659="1111",TH!O659="1111")),TH!D659,""),"")</f>
        <v/>
      </c>
      <c r="B659" s="63" t="str">
        <f t="shared" si="46"/>
        <v/>
      </c>
      <c r="C659" s="64"/>
      <c r="D659" s="64"/>
      <c r="E659" s="64"/>
      <c r="F659" s="67"/>
      <c r="G659" s="361"/>
      <c r="H659" s="74"/>
      <c r="I659" s="515"/>
      <c r="J659" s="515"/>
      <c r="K659" s="507"/>
      <c r="L659" s="515"/>
      <c r="M659" s="65"/>
      <c r="N659" s="66"/>
      <c r="O659" s="66"/>
      <c r="P659" s="86" t="str">
        <f>IF(AND('331-CT'!$E$7=TH!H659,OR(N659="331",O659="331")),"x","")</f>
        <v/>
      </c>
      <c r="Q659" s="86" t="str">
        <f>IF(AND($B659&gt;='111'!$N$11,$B659&lt;='111'!$O$11,OR($N659=$Q$7,$O659=$Q$7)),"x","")</f>
        <v/>
      </c>
      <c r="R659" s="86" t="str">
        <f>IF(AND($N659=$Q$7,$B659&lt;'111'!$N$11),"x","")</f>
        <v/>
      </c>
      <c r="S659" s="86" t="str">
        <f>IF(AND($O659=$Q$7,$B659&lt;'111'!$N$11),"x","")</f>
        <v/>
      </c>
      <c r="T659" s="86" t="str">
        <f>IF(AND($B659&gt;='112'!$M$9,$B659&lt;='112'!$N$9,OR($N659='112'!$I$6,$O659='112'!$I$6)),"x","")</f>
        <v/>
      </c>
      <c r="U659" s="86" t="str">
        <f>IF(AND($N659='112'!$I$6,$B659&lt;'112'!$M$9),"x","")</f>
        <v/>
      </c>
      <c r="V659" s="86" t="str">
        <f>IF(AND($O659='112'!$I$6,$B659&lt;'112'!$M$9),"x","")</f>
        <v/>
      </c>
      <c r="W659" s="86" t="str">
        <f>IF(AND('131-CT'!$H$9=TH!H659,OR(N659="131",O659="131")),"x","")</f>
        <v/>
      </c>
      <c r="X659" s="86" t="str">
        <f>IF(AND($B659&gt;='1331'!$I$9,$B659&lt;='1331'!$J$9,OR($N659=$X$7,$O659=$X$7)),"x","")</f>
        <v/>
      </c>
      <c r="Y659" s="86" t="str">
        <f>IF(AND($N659=$X$7,$B659&lt;'1331'!$I$9),"x","")</f>
        <v/>
      </c>
      <c r="Z659" s="86" t="str">
        <f>IF(AND($O659=$X$7,$B659&lt;'1331'!$I$9),"x","")</f>
        <v/>
      </c>
      <c r="AA659" s="86" t="str">
        <f>IF(AND('341-CT'!$H$9=H659,OR(LEFT(N659,3)=$AA$7,LEFT(O659,3)=$AA$7)),"x","")</f>
        <v/>
      </c>
      <c r="AB659" s="86" t="str">
        <f>IF(OR(TH!N659=TH!$AB$7,O659=TH!$AB$7),"x","")</f>
        <v/>
      </c>
      <c r="AC659" s="86" t="str">
        <f t="shared" si="45"/>
        <v/>
      </c>
      <c r="AD659" s="86" t="str">
        <f>IF(AND(MONTH(E659)&lt;='IN-NX'!$P$3,'IN-NX'!$D$7=D659,OR(LEFT(TH!N659,2)="15",LEFT(TH!O659,2)="15")),"x","")</f>
        <v/>
      </c>
      <c r="AE659" s="86" t="str">
        <f>IF(AND(OR(LEFT(TH!N659,2)="15",LEFT(TH!O659,2)="15"),'152-CT'!$J$8=TH!F659),"x","")</f>
        <v/>
      </c>
      <c r="AF659" s="86" t="str">
        <f>IF(AND(OR(LEFT(TH!N659,2)="15",LEFT(TH!O659,2)="15"),'THE KHO'!$E$7=TH!F659),"x","")</f>
        <v/>
      </c>
      <c r="AG659" s="86" t="str">
        <f>IF(AND(N659="1521",MONTH(C659)='BK NL'!$M$11),"x","")</f>
        <v/>
      </c>
    </row>
    <row r="660" spans="1:33" ht="15.75" customHeight="1">
      <c r="A660" s="398" t="str">
        <f>IF(B660&lt;&gt;"",IF(AND(B660&gt;=_TM1,B660&lt;=_TM2,OR(TH!N660="1111",TH!O660="1111")),TH!D660,""),"")</f>
        <v/>
      </c>
      <c r="B660" s="63" t="str">
        <f t="shared" si="46"/>
        <v/>
      </c>
      <c r="C660" s="64"/>
      <c r="D660" s="64"/>
      <c r="E660" s="64"/>
      <c r="F660" s="67"/>
      <c r="G660" s="361"/>
      <c r="H660" s="74"/>
      <c r="I660" s="515"/>
      <c r="J660" s="515"/>
      <c r="K660" s="507"/>
      <c r="L660" s="515"/>
      <c r="M660" s="65"/>
      <c r="N660" s="66"/>
      <c r="O660" s="66"/>
      <c r="P660" s="86" t="str">
        <f>IF(AND('331-CT'!$E$7=TH!H660,OR(N660="331",O660="331")),"x","")</f>
        <v/>
      </c>
      <c r="Q660" s="86" t="str">
        <f>IF(AND($B660&gt;='111'!$N$11,$B660&lt;='111'!$O$11,OR($N660=$Q$7,$O660=$Q$7)),"x","")</f>
        <v/>
      </c>
      <c r="R660" s="86" t="str">
        <f>IF(AND($N660=$Q$7,$B660&lt;'111'!$N$11),"x","")</f>
        <v/>
      </c>
      <c r="S660" s="86" t="str">
        <f>IF(AND($O660=$Q$7,$B660&lt;'111'!$N$11),"x","")</f>
        <v/>
      </c>
      <c r="T660" s="86" t="str">
        <f>IF(AND($B660&gt;='112'!$M$9,$B660&lt;='112'!$N$9,OR($N660='112'!$I$6,$O660='112'!$I$6)),"x","")</f>
        <v/>
      </c>
      <c r="U660" s="86" t="str">
        <f>IF(AND($N660='112'!$I$6,$B660&lt;'112'!$M$9),"x","")</f>
        <v/>
      </c>
      <c r="V660" s="86" t="str">
        <f>IF(AND($O660='112'!$I$6,$B660&lt;'112'!$M$9),"x","")</f>
        <v/>
      </c>
      <c r="W660" s="86" t="str">
        <f>IF(AND('131-CT'!$H$9=TH!H660,OR(N660="131",O660="131")),"x","")</f>
        <v/>
      </c>
      <c r="X660" s="86" t="str">
        <f>IF(AND($B660&gt;='1331'!$I$9,$B660&lt;='1331'!$J$9,OR($N660=$X$7,$O660=$X$7)),"x","")</f>
        <v/>
      </c>
      <c r="Y660" s="86" t="str">
        <f>IF(AND($N660=$X$7,$B660&lt;'1331'!$I$9),"x","")</f>
        <v/>
      </c>
      <c r="Z660" s="86" t="str">
        <f>IF(AND($O660=$X$7,$B660&lt;'1331'!$I$9),"x","")</f>
        <v/>
      </c>
      <c r="AA660" s="86" t="str">
        <f>IF(AND('341-CT'!$H$9=H660,OR(LEFT(N660,3)=$AA$7,LEFT(O660,3)=$AA$7)),"x","")</f>
        <v/>
      </c>
      <c r="AB660" s="86" t="str">
        <f>IF(OR(TH!N660=TH!$AB$7,O660=TH!$AB$7),"x","")</f>
        <v/>
      </c>
      <c r="AC660" s="86" t="str">
        <f t="shared" si="45"/>
        <v/>
      </c>
      <c r="AD660" s="86" t="str">
        <f>IF(AND(MONTH(E660)&lt;='IN-NX'!$P$3,'IN-NX'!$D$7=D660,OR(LEFT(TH!N660,2)="15",LEFT(TH!O660,2)="15")),"x","")</f>
        <v/>
      </c>
      <c r="AE660" s="86" t="str">
        <f>IF(AND(OR(LEFT(TH!N660,2)="15",LEFT(TH!O660,2)="15"),'152-CT'!$J$8=TH!F660),"x","")</f>
        <v/>
      </c>
      <c r="AF660" s="86" t="str">
        <f>IF(AND(OR(LEFT(TH!N660,2)="15",LEFT(TH!O660,2)="15"),'THE KHO'!$E$7=TH!F660),"x","")</f>
        <v/>
      </c>
      <c r="AG660" s="86" t="str">
        <f>IF(AND(N660="1521",MONTH(C660)='BK NL'!$M$11),"x","")</f>
        <v/>
      </c>
    </row>
    <row r="661" spans="1:33" ht="15.75" customHeight="1">
      <c r="A661" s="398" t="str">
        <f>IF(B661&lt;&gt;"",IF(AND(B661&gt;=_TM1,B661&lt;=_TM2,OR(TH!N661="1111",TH!O661="1111")),TH!D661,""),"")</f>
        <v/>
      </c>
      <c r="B661" s="63" t="str">
        <f t="shared" si="46"/>
        <v/>
      </c>
      <c r="C661" s="64"/>
      <c r="D661" s="64"/>
      <c r="E661" s="64"/>
      <c r="F661" s="67"/>
      <c r="G661" s="361"/>
      <c r="H661" s="74"/>
      <c r="I661" s="515"/>
      <c r="J661" s="515"/>
      <c r="K661" s="507"/>
      <c r="L661" s="515"/>
      <c r="M661" s="65"/>
      <c r="N661" s="66"/>
      <c r="O661" s="66"/>
      <c r="P661" s="86" t="str">
        <f>IF(AND('331-CT'!$E$7=TH!H661,OR(N661="331",O661="331")),"x","")</f>
        <v/>
      </c>
      <c r="Q661" s="86" t="str">
        <f>IF(AND($B661&gt;='111'!$N$11,$B661&lt;='111'!$O$11,OR($N661=$Q$7,$O661=$Q$7)),"x","")</f>
        <v/>
      </c>
      <c r="R661" s="86" t="str">
        <f>IF(AND($N661=$Q$7,$B661&lt;'111'!$N$11),"x","")</f>
        <v/>
      </c>
      <c r="S661" s="86" t="str">
        <f>IF(AND($O661=$Q$7,$B661&lt;'111'!$N$11),"x","")</f>
        <v/>
      </c>
      <c r="T661" s="86" t="str">
        <f>IF(AND($B661&gt;='112'!$M$9,$B661&lt;='112'!$N$9,OR($N661='112'!$I$6,$O661='112'!$I$6)),"x","")</f>
        <v/>
      </c>
      <c r="U661" s="86" t="str">
        <f>IF(AND($N661='112'!$I$6,$B661&lt;'112'!$M$9),"x","")</f>
        <v/>
      </c>
      <c r="V661" s="86" t="str">
        <f>IF(AND($O661='112'!$I$6,$B661&lt;'112'!$M$9),"x","")</f>
        <v/>
      </c>
      <c r="W661" s="86" t="str">
        <f>IF(AND('131-CT'!$H$9=TH!H661,OR(N661="131",O661="131")),"x","")</f>
        <v/>
      </c>
      <c r="X661" s="86" t="str">
        <f>IF(AND($B661&gt;='1331'!$I$9,$B661&lt;='1331'!$J$9,OR($N661=$X$7,$O661=$X$7)),"x","")</f>
        <v/>
      </c>
      <c r="Y661" s="86" t="str">
        <f>IF(AND($N661=$X$7,$B661&lt;'1331'!$I$9),"x","")</f>
        <v/>
      </c>
      <c r="Z661" s="86" t="str">
        <f>IF(AND($O661=$X$7,$B661&lt;'1331'!$I$9),"x","")</f>
        <v/>
      </c>
      <c r="AA661" s="86" t="str">
        <f>IF(AND('341-CT'!$H$9=H661,OR(LEFT(N661,3)=$AA$7,LEFT(O661,3)=$AA$7)),"x","")</f>
        <v/>
      </c>
      <c r="AB661" s="86" t="str">
        <f>IF(OR(TH!N661=TH!$AB$7,O661=TH!$AB$7),"x","")</f>
        <v/>
      </c>
      <c r="AC661" s="86" t="str">
        <f t="shared" si="45"/>
        <v/>
      </c>
      <c r="AD661" s="86" t="str">
        <f>IF(AND(MONTH(E661)&lt;='IN-NX'!$P$3,'IN-NX'!$D$7=D661,OR(LEFT(TH!N661,2)="15",LEFT(TH!O661,2)="15")),"x","")</f>
        <v/>
      </c>
      <c r="AE661" s="86" t="str">
        <f>IF(AND(OR(LEFT(TH!N661,2)="15",LEFT(TH!O661,2)="15"),'152-CT'!$J$8=TH!F661),"x","")</f>
        <v/>
      </c>
      <c r="AF661" s="86" t="str">
        <f>IF(AND(OR(LEFT(TH!N661,2)="15",LEFT(TH!O661,2)="15"),'THE KHO'!$E$7=TH!F661),"x","")</f>
        <v/>
      </c>
      <c r="AG661" s="86" t="str">
        <f>IF(AND(N661="1521",MONTH(C661)='BK NL'!$M$11),"x","")</f>
        <v/>
      </c>
    </row>
    <row r="662" spans="1:33" ht="15.75" customHeight="1">
      <c r="A662" s="398" t="str">
        <f>IF(B662&lt;&gt;"",IF(AND(B662&gt;=_TM1,B662&lt;=_TM2,OR(TH!N662="1111",TH!O662="1111")),TH!D662,""),"")</f>
        <v/>
      </c>
      <c r="B662" s="63" t="str">
        <f t="shared" si="46"/>
        <v/>
      </c>
      <c r="C662" s="64"/>
      <c r="D662" s="64"/>
      <c r="E662" s="64"/>
      <c r="F662" s="67"/>
      <c r="G662" s="361"/>
      <c r="H662" s="74"/>
      <c r="I662" s="515"/>
      <c r="J662" s="515"/>
      <c r="K662" s="507"/>
      <c r="L662" s="515"/>
      <c r="M662" s="65"/>
      <c r="N662" s="66"/>
      <c r="O662" s="66"/>
      <c r="P662" s="86" t="str">
        <f>IF(AND('331-CT'!$E$7=TH!H662,OR(N662="331",O662="331")),"x","")</f>
        <v/>
      </c>
      <c r="Q662" s="86" t="str">
        <f>IF(AND($B662&gt;='111'!$N$11,$B662&lt;='111'!$O$11,OR($N662=$Q$7,$O662=$Q$7)),"x","")</f>
        <v/>
      </c>
      <c r="R662" s="86" t="str">
        <f>IF(AND($N662=$Q$7,$B662&lt;'111'!$N$11),"x","")</f>
        <v/>
      </c>
      <c r="S662" s="86" t="str">
        <f>IF(AND($O662=$Q$7,$B662&lt;'111'!$N$11),"x","")</f>
        <v/>
      </c>
      <c r="T662" s="86" t="str">
        <f>IF(AND($B662&gt;='112'!$M$9,$B662&lt;='112'!$N$9,OR($N662='112'!$I$6,$O662='112'!$I$6)),"x","")</f>
        <v/>
      </c>
      <c r="U662" s="86" t="str">
        <f>IF(AND($N662='112'!$I$6,$B662&lt;'112'!$M$9),"x","")</f>
        <v/>
      </c>
      <c r="V662" s="86" t="str">
        <f>IF(AND($O662='112'!$I$6,$B662&lt;'112'!$M$9),"x","")</f>
        <v/>
      </c>
      <c r="W662" s="86" t="str">
        <f>IF(AND('131-CT'!$H$9=TH!H662,OR(N662="131",O662="131")),"x","")</f>
        <v/>
      </c>
      <c r="X662" s="86" t="str">
        <f>IF(AND($B662&gt;='1331'!$I$9,$B662&lt;='1331'!$J$9,OR($N662=$X$7,$O662=$X$7)),"x","")</f>
        <v/>
      </c>
      <c r="Y662" s="86" t="str">
        <f>IF(AND($N662=$X$7,$B662&lt;'1331'!$I$9),"x","")</f>
        <v/>
      </c>
      <c r="Z662" s="86" t="str">
        <f>IF(AND($O662=$X$7,$B662&lt;'1331'!$I$9),"x","")</f>
        <v/>
      </c>
      <c r="AA662" s="86" t="str">
        <f>IF(AND('341-CT'!$H$9=H662,OR(LEFT(N662,3)=$AA$7,LEFT(O662,3)=$AA$7)),"x","")</f>
        <v/>
      </c>
      <c r="AB662" s="86" t="str">
        <f>IF(OR(TH!N662=TH!$AB$7,O662=TH!$AB$7),"x","")</f>
        <v/>
      </c>
      <c r="AC662" s="86" t="str">
        <f t="shared" si="45"/>
        <v/>
      </c>
      <c r="AD662" s="86" t="str">
        <f>IF(AND(MONTH(E662)&lt;='IN-NX'!$P$3,'IN-NX'!$D$7=D662,OR(LEFT(TH!N662,2)="15",LEFT(TH!O662,2)="15")),"x","")</f>
        <v/>
      </c>
      <c r="AE662" s="86" t="str">
        <f>IF(AND(OR(LEFT(TH!N662,2)="15",LEFT(TH!O662,2)="15"),'152-CT'!$J$8=TH!F662),"x","")</f>
        <v/>
      </c>
      <c r="AF662" s="86" t="str">
        <f>IF(AND(OR(LEFT(TH!N662,2)="15",LEFT(TH!O662,2)="15"),'THE KHO'!$E$7=TH!F662),"x","")</f>
        <v/>
      </c>
      <c r="AG662" s="86" t="str">
        <f>IF(AND(N662="1521",MONTH(C662)='BK NL'!$M$11),"x","")</f>
        <v/>
      </c>
    </row>
    <row r="663" spans="1:33" ht="15.75" customHeight="1">
      <c r="A663" s="398" t="str">
        <f>IF(B663&lt;&gt;"",IF(AND(B663&gt;=_TM1,B663&lt;=_TM2,OR(TH!N663="1111",TH!O663="1111")),TH!D663,""),"")</f>
        <v/>
      </c>
      <c r="B663" s="63" t="str">
        <f t="shared" si="46"/>
        <v/>
      </c>
      <c r="C663" s="64"/>
      <c r="D663" s="64"/>
      <c r="E663" s="64"/>
      <c r="F663" s="67"/>
      <c r="G663" s="361"/>
      <c r="H663" s="74"/>
      <c r="I663" s="515"/>
      <c r="J663" s="515"/>
      <c r="K663" s="507"/>
      <c r="L663" s="515"/>
      <c r="M663" s="65"/>
      <c r="N663" s="66"/>
      <c r="O663" s="66"/>
      <c r="P663" s="86" t="str">
        <f>IF(AND('331-CT'!$E$7=TH!H663,OR(N663="331",O663="331")),"x","")</f>
        <v/>
      </c>
      <c r="Q663" s="86" t="str">
        <f>IF(AND($B663&gt;='111'!$N$11,$B663&lt;='111'!$O$11,OR($N663=$Q$7,$O663=$Q$7)),"x","")</f>
        <v/>
      </c>
      <c r="R663" s="86" t="str">
        <f>IF(AND($N663=$Q$7,$B663&lt;'111'!$N$11),"x","")</f>
        <v/>
      </c>
      <c r="S663" s="86" t="str">
        <f>IF(AND($O663=$Q$7,$B663&lt;'111'!$N$11),"x","")</f>
        <v/>
      </c>
      <c r="T663" s="86" t="str">
        <f>IF(AND($B663&gt;='112'!$M$9,$B663&lt;='112'!$N$9,OR($N663='112'!$I$6,$O663='112'!$I$6)),"x","")</f>
        <v/>
      </c>
      <c r="U663" s="86" t="str">
        <f>IF(AND($N663='112'!$I$6,$B663&lt;'112'!$M$9),"x","")</f>
        <v/>
      </c>
      <c r="V663" s="86" t="str">
        <f>IF(AND($O663='112'!$I$6,$B663&lt;'112'!$M$9),"x","")</f>
        <v/>
      </c>
      <c r="W663" s="86" t="str">
        <f>IF(AND('131-CT'!$H$9=TH!H663,OR(N663="131",O663="131")),"x","")</f>
        <v/>
      </c>
      <c r="X663" s="86" t="str">
        <f>IF(AND($B663&gt;='1331'!$I$9,$B663&lt;='1331'!$J$9,OR($N663=$X$7,$O663=$X$7)),"x","")</f>
        <v/>
      </c>
      <c r="Y663" s="86" t="str">
        <f>IF(AND($N663=$X$7,$B663&lt;'1331'!$I$9),"x","")</f>
        <v/>
      </c>
      <c r="Z663" s="86" t="str">
        <f>IF(AND($O663=$X$7,$B663&lt;'1331'!$I$9),"x","")</f>
        <v/>
      </c>
      <c r="AA663" s="86" t="str">
        <f>IF(AND('341-CT'!$H$9=H663,OR(LEFT(N663,3)=$AA$7,LEFT(O663,3)=$AA$7)),"x","")</f>
        <v/>
      </c>
      <c r="AB663" s="86" t="str">
        <f>IF(OR(TH!N663=TH!$AB$7,O663=TH!$AB$7),"x","")</f>
        <v/>
      </c>
      <c r="AC663" s="86" t="str">
        <f t="shared" si="45"/>
        <v/>
      </c>
      <c r="AD663" s="86" t="str">
        <f>IF(AND(MONTH(E663)&lt;='IN-NX'!$P$3,'IN-NX'!$D$7=D663,OR(LEFT(TH!N663,2)="15",LEFT(TH!O663,2)="15")),"x","")</f>
        <v/>
      </c>
      <c r="AE663" s="86" t="str">
        <f>IF(AND(OR(LEFT(TH!N663,2)="15",LEFT(TH!O663,2)="15"),'152-CT'!$J$8=TH!F663),"x","")</f>
        <v/>
      </c>
      <c r="AF663" s="86" t="str">
        <f>IF(AND(OR(LEFT(TH!N663,2)="15",LEFT(TH!O663,2)="15"),'THE KHO'!$E$7=TH!F663),"x","")</f>
        <v/>
      </c>
      <c r="AG663" s="86" t="str">
        <f>IF(AND(N663="1521",MONTH(C663)='BK NL'!$M$11),"x","")</f>
        <v/>
      </c>
    </row>
    <row r="664" spans="1:33" ht="15.75" customHeight="1">
      <c r="A664" s="398" t="str">
        <f>IF(B664&lt;&gt;"",IF(AND(B664&gt;=_TM1,B664&lt;=_TM2,OR(TH!N664="1111",TH!O664="1111")),TH!D664,""),"")</f>
        <v/>
      </c>
      <c r="B664" s="63" t="str">
        <f t="shared" si="46"/>
        <v/>
      </c>
      <c r="C664" s="64"/>
      <c r="D664" s="64"/>
      <c r="E664" s="64"/>
      <c r="F664" s="67"/>
      <c r="G664" s="361"/>
      <c r="H664" s="74"/>
      <c r="I664" s="515"/>
      <c r="J664" s="515"/>
      <c r="K664" s="507"/>
      <c r="L664" s="515"/>
      <c r="M664" s="65"/>
      <c r="N664" s="66"/>
      <c r="O664" s="66"/>
      <c r="P664" s="86" t="str">
        <f>IF(AND('331-CT'!$E$7=TH!H664,OR(N664="331",O664="331")),"x","")</f>
        <v/>
      </c>
      <c r="Q664" s="86" t="str">
        <f>IF(AND($B664&gt;='111'!$N$11,$B664&lt;='111'!$O$11,OR($N664=$Q$7,$O664=$Q$7)),"x","")</f>
        <v/>
      </c>
      <c r="R664" s="86" t="str">
        <f>IF(AND($N664=$Q$7,$B664&lt;'111'!$N$11),"x","")</f>
        <v/>
      </c>
      <c r="S664" s="86" t="str">
        <f>IF(AND($O664=$Q$7,$B664&lt;'111'!$N$11),"x","")</f>
        <v/>
      </c>
      <c r="T664" s="86" t="str">
        <f>IF(AND($B664&gt;='112'!$M$9,$B664&lt;='112'!$N$9,OR($N664='112'!$I$6,$O664='112'!$I$6)),"x","")</f>
        <v/>
      </c>
      <c r="U664" s="86" t="str">
        <f>IF(AND($N664='112'!$I$6,$B664&lt;'112'!$M$9),"x","")</f>
        <v/>
      </c>
      <c r="V664" s="86" t="str">
        <f>IF(AND($O664='112'!$I$6,$B664&lt;'112'!$M$9),"x","")</f>
        <v/>
      </c>
      <c r="W664" s="86" t="str">
        <f>IF(AND('131-CT'!$H$9=TH!H664,OR(N664="131",O664="131")),"x","")</f>
        <v/>
      </c>
      <c r="X664" s="86" t="str">
        <f>IF(AND($B664&gt;='1331'!$I$9,$B664&lt;='1331'!$J$9,OR($N664=$X$7,$O664=$X$7)),"x","")</f>
        <v/>
      </c>
      <c r="Y664" s="86" t="str">
        <f>IF(AND($N664=$X$7,$B664&lt;'1331'!$I$9),"x","")</f>
        <v/>
      </c>
      <c r="Z664" s="86" t="str">
        <f>IF(AND($O664=$X$7,$B664&lt;'1331'!$I$9),"x","")</f>
        <v/>
      </c>
      <c r="AA664" s="86" t="str">
        <f>IF(AND('341-CT'!$H$9=H664,OR(LEFT(N664,3)=$AA$7,LEFT(O664,3)=$AA$7)),"x","")</f>
        <v/>
      </c>
      <c r="AB664" s="86" t="str">
        <f>IF(OR(TH!N664=TH!$AB$7,O664=TH!$AB$7),"x","")</f>
        <v/>
      </c>
      <c r="AC664" s="86" t="str">
        <f t="shared" si="45"/>
        <v/>
      </c>
      <c r="AD664" s="86" t="str">
        <f>IF(AND(MONTH(E664)&lt;='IN-NX'!$P$3,'IN-NX'!$D$7=D664,OR(LEFT(TH!N664,2)="15",LEFT(TH!O664,2)="15")),"x","")</f>
        <v/>
      </c>
      <c r="AE664" s="86" t="str">
        <f>IF(AND(OR(LEFT(TH!N664,2)="15",LEFT(TH!O664,2)="15"),'152-CT'!$J$8=TH!F664),"x","")</f>
        <v/>
      </c>
      <c r="AF664" s="86" t="str">
        <f>IF(AND(OR(LEFT(TH!N664,2)="15",LEFT(TH!O664,2)="15"),'THE KHO'!$E$7=TH!F664),"x","")</f>
        <v/>
      </c>
      <c r="AG664" s="86" t="str">
        <f>IF(AND(N664="1521",MONTH(C664)='BK NL'!$M$11),"x","")</f>
        <v/>
      </c>
    </row>
    <row r="665" spans="1:33" ht="15.75" customHeight="1">
      <c r="A665" s="398" t="str">
        <f>IF(B665&lt;&gt;"",IF(AND(B665&gt;=_TM1,B665&lt;=_TM2,OR(TH!N665="1111",TH!O665="1111")),TH!D665,""),"")</f>
        <v/>
      </c>
      <c r="B665" s="63" t="str">
        <f t="shared" si="46"/>
        <v/>
      </c>
      <c r="C665" s="64"/>
      <c r="D665" s="64"/>
      <c r="E665" s="64"/>
      <c r="F665" s="67"/>
      <c r="G665" s="361"/>
      <c r="H665" s="74"/>
      <c r="I665" s="515"/>
      <c r="J665" s="515"/>
      <c r="K665" s="507"/>
      <c r="L665" s="515"/>
      <c r="M665" s="65"/>
      <c r="N665" s="66"/>
      <c r="O665" s="66"/>
      <c r="P665" s="86" t="str">
        <f>IF(AND('331-CT'!$E$7=TH!H665,OR(N665="331",O665="331")),"x","")</f>
        <v/>
      </c>
      <c r="Q665" s="86" t="str">
        <f>IF(AND($B665&gt;='111'!$N$11,$B665&lt;='111'!$O$11,OR($N665=$Q$7,$O665=$Q$7)),"x","")</f>
        <v/>
      </c>
      <c r="R665" s="86" t="str">
        <f>IF(AND($N665=$Q$7,$B665&lt;'111'!$N$11),"x","")</f>
        <v/>
      </c>
      <c r="S665" s="86" t="str">
        <f>IF(AND($O665=$Q$7,$B665&lt;'111'!$N$11),"x","")</f>
        <v/>
      </c>
      <c r="T665" s="86" t="str">
        <f>IF(AND($B665&gt;='112'!$M$9,$B665&lt;='112'!$N$9,OR($N665='112'!$I$6,$O665='112'!$I$6)),"x","")</f>
        <v/>
      </c>
      <c r="U665" s="86" t="str">
        <f>IF(AND($N665='112'!$I$6,$B665&lt;'112'!$M$9),"x","")</f>
        <v/>
      </c>
      <c r="V665" s="86" t="str">
        <f>IF(AND($O665='112'!$I$6,$B665&lt;'112'!$M$9),"x","")</f>
        <v/>
      </c>
      <c r="W665" s="86" t="str">
        <f>IF(AND('131-CT'!$H$9=TH!H665,OR(N665="131",O665="131")),"x","")</f>
        <v/>
      </c>
      <c r="X665" s="86" t="str">
        <f>IF(AND($B665&gt;='1331'!$I$9,$B665&lt;='1331'!$J$9,OR($N665=$X$7,$O665=$X$7)),"x","")</f>
        <v/>
      </c>
      <c r="Y665" s="86" t="str">
        <f>IF(AND($N665=$X$7,$B665&lt;'1331'!$I$9),"x","")</f>
        <v/>
      </c>
      <c r="Z665" s="86" t="str">
        <f>IF(AND($O665=$X$7,$B665&lt;'1331'!$I$9),"x","")</f>
        <v/>
      </c>
      <c r="AA665" s="86" t="str">
        <f>IF(AND('341-CT'!$H$9=H665,OR(LEFT(N665,3)=$AA$7,LEFT(O665,3)=$AA$7)),"x","")</f>
        <v/>
      </c>
      <c r="AB665" s="86" t="str">
        <f>IF(OR(TH!N665=TH!$AB$7,O665=TH!$AB$7),"x","")</f>
        <v/>
      </c>
      <c r="AC665" s="86" t="str">
        <f t="shared" si="45"/>
        <v/>
      </c>
      <c r="AD665" s="86" t="str">
        <f>IF(AND(MONTH(E665)&lt;='IN-NX'!$P$3,'IN-NX'!$D$7=D665,OR(LEFT(TH!N665,2)="15",LEFT(TH!O665,2)="15")),"x","")</f>
        <v/>
      </c>
      <c r="AE665" s="86" t="str">
        <f>IF(AND(OR(LEFT(TH!N665,2)="15",LEFT(TH!O665,2)="15"),'152-CT'!$J$8=TH!F665),"x","")</f>
        <v/>
      </c>
      <c r="AF665" s="86" t="str">
        <f>IF(AND(OR(LEFT(TH!N665,2)="15",LEFT(TH!O665,2)="15"),'THE KHO'!$E$7=TH!F665),"x","")</f>
        <v/>
      </c>
      <c r="AG665" s="86" t="str">
        <f>IF(AND(N665="1521",MONTH(C665)='BK NL'!$M$11),"x","")</f>
        <v/>
      </c>
    </row>
    <row r="666" spans="1:33" ht="15.75" customHeight="1">
      <c r="A666" s="398" t="str">
        <f>IF(B666&lt;&gt;"",IF(AND(B666&gt;=_TM1,B666&lt;=_TM2,OR(TH!N666="1111",TH!O666="1111")),TH!D666,""),"")</f>
        <v/>
      </c>
      <c r="B666" s="63" t="str">
        <f t="shared" si="46"/>
        <v/>
      </c>
      <c r="C666" s="64"/>
      <c r="D666" s="64"/>
      <c r="E666" s="64"/>
      <c r="F666" s="67"/>
      <c r="G666" s="361"/>
      <c r="H666" s="74"/>
      <c r="I666" s="515"/>
      <c r="J666" s="515"/>
      <c r="K666" s="507"/>
      <c r="L666" s="515"/>
      <c r="M666" s="65"/>
      <c r="N666" s="66"/>
      <c r="O666" s="66"/>
      <c r="P666" s="86" t="str">
        <f>IF(AND('331-CT'!$E$7=TH!H666,OR(N666="331",O666="331")),"x","")</f>
        <v/>
      </c>
      <c r="Q666" s="86" t="str">
        <f>IF(AND($B666&gt;='111'!$N$11,$B666&lt;='111'!$O$11,OR($N666=$Q$7,$O666=$Q$7)),"x","")</f>
        <v/>
      </c>
      <c r="R666" s="86" t="str">
        <f>IF(AND($N666=$Q$7,$B666&lt;'111'!$N$11),"x","")</f>
        <v/>
      </c>
      <c r="S666" s="86" t="str">
        <f>IF(AND($O666=$Q$7,$B666&lt;'111'!$N$11),"x","")</f>
        <v/>
      </c>
      <c r="T666" s="86" t="str">
        <f>IF(AND($B666&gt;='112'!$M$9,$B666&lt;='112'!$N$9,OR($N666='112'!$I$6,$O666='112'!$I$6)),"x","")</f>
        <v/>
      </c>
      <c r="U666" s="86" t="str">
        <f>IF(AND($N666='112'!$I$6,$B666&lt;'112'!$M$9),"x","")</f>
        <v/>
      </c>
      <c r="V666" s="86" t="str">
        <f>IF(AND($O666='112'!$I$6,$B666&lt;'112'!$M$9),"x","")</f>
        <v/>
      </c>
      <c r="W666" s="86" t="str">
        <f>IF(AND('131-CT'!$H$9=TH!H666,OR(N666="131",O666="131")),"x","")</f>
        <v/>
      </c>
      <c r="X666" s="86" t="str">
        <f>IF(AND($B666&gt;='1331'!$I$9,$B666&lt;='1331'!$J$9,OR($N666=$X$7,$O666=$X$7)),"x","")</f>
        <v/>
      </c>
      <c r="Y666" s="86" t="str">
        <f>IF(AND($N666=$X$7,$B666&lt;'1331'!$I$9),"x","")</f>
        <v/>
      </c>
      <c r="Z666" s="86" t="str">
        <f>IF(AND($O666=$X$7,$B666&lt;'1331'!$I$9),"x","")</f>
        <v/>
      </c>
      <c r="AA666" s="86" t="str">
        <f>IF(AND('341-CT'!$H$9=H666,OR(LEFT(N666,3)=$AA$7,LEFT(O666,3)=$AA$7)),"x","")</f>
        <v/>
      </c>
      <c r="AB666" s="86" t="str">
        <f>IF(OR(TH!N666=TH!$AB$7,O666=TH!$AB$7),"x","")</f>
        <v/>
      </c>
      <c r="AC666" s="86" t="str">
        <f t="shared" si="45"/>
        <v/>
      </c>
      <c r="AD666" s="86" t="str">
        <f>IF(AND(MONTH(E666)&lt;='IN-NX'!$P$3,'IN-NX'!$D$7=D666,OR(LEFT(TH!N666,2)="15",LEFT(TH!O666,2)="15")),"x","")</f>
        <v/>
      </c>
      <c r="AE666" s="86" t="str">
        <f>IF(AND(OR(LEFT(TH!N666,2)="15",LEFT(TH!O666,2)="15"),'152-CT'!$J$8=TH!F666),"x","")</f>
        <v/>
      </c>
      <c r="AF666" s="86" t="str">
        <f>IF(AND(OR(LEFT(TH!N666,2)="15",LEFT(TH!O666,2)="15"),'THE KHO'!$E$7=TH!F666),"x","")</f>
        <v/>
      </c>
      <c r="AG666" s="86" t="str">
        <f>IF(AND(N666="1521",MONTH(C666)='BK NL'!$M$11),"x","")</f>
        <v/>
      </c>
    </row>
    <row r="667" spans="1:33" ht="15.75" customHeight="1">
      <c r="A667" s="398" t="str">
        <f>IF(B667&lt;&gt;"",IF(AND(B667&gt;=_TM1,B667&lt;=_TM2,OR(TH!N667="1111",TH!O667="1111")),TH!D667,""),"")</f>
        <v/>
      </c>
      <c r="B667" s="63" t="str">
        <f t="shared" si="46"/>
        <v/>
      </c>
      <c r="C667" s="64"/>
      <c r="D667" s="64"/>
      <c r="E667" s="64"/>
      <c r="F667" s="67"/>
      <c r="G667" s="361"/>
      <c r="H667" s="74"/>
      <c r="I667" s="515"/>
      <c r="J667" s="515"/>
      <c r="K667" s="507"/>
      <c r="L667" s="515"/>
      <c r="M667" s="65"/>
      <c r="N667" s="66"/>
      <c r="O667" s="66"/>
      <c r="P667" s="86" t="str">
        <f>IF(AND('331-CT'!$E$7=TH!H667,OR(N667="331",O667="331")),"x","")</f>
        <v/>
      </c>
      <c r="Q667" s="86" t="str">
        <f>IF(AND($B667&gt;='111'!$N$11,$B667&lt;='111'!$O$11,OR($N667=$Q$7,$O667=$Q$7)),"x","")</f>
        <v/>
      </c>
      <c r="R667" s="86" t="str">
        <f>IF(AND($N667=$Q$7,$B667&lt;'111'!$N$11),"x","")</f>
        <v/>
      </c>
      <c r="S667" s="86" t="str">
        <f>IF(AND($O667=$Q$7,$B667&lt;'111'!$N$11),"x","")</f>
        <v/>
      </c>
      <c r="T667" s="86" t="str">
        <f>IF(AND($B667&gt;='112'!$M$9,$B667&lt;='112'!$N$9,OR($N667='112'!$I$6,$O667='112'!$I$6)),"x","")</f>
        <v/>
      </c>
      <c r="U667" s="86" t="str">
        <f>IF(AND($N667='112'!$I$6,$B667&lt;'112'!$M$9),"x","")</f>
        <v/>
      </c>
      <c r="V667" s="86" t="str">
        <f>IF(AND($O667='112'!$I$6,$B667&lt;'112'!$M$9),"x","")</f>
        <v/>
      </c>
      <c r="W667" s="86" t="str">
        <f>IF(AND('131-CT'!$H$9=TH!H667,OR(N667="131",O667="131")),"x","")</f>
        <v/>
      </c>
      <c r="X667" s="86" t="str">
        <f>IF(AND($B667&gt;='1331'!$I$9,$B667&lt;='1331'!$J$9,OR($N667=$X$7,$O667=$X$7)),"x","")</f>
        <v/>
      </c>
      <c r="Y667" s="86" t="str">
        <f>IF(AND($N667=$X$7,$B667&lt;'1331'!$I$9),"x","")</f>
        <v/>
      </c>
      <c r="Z667" s="86" t="str">
        <f>IF(AND($O667=$X$7,$B667&lt;'1331'!$I$9),"x","")</f>
        <v/>
      </c>
      <c r="AA667" s="86" t="str">
        <f>IF(AND('341-CT'!$H$9=H667,OR(LEFT(N667,3)=$AA$7,LEFT(O667,3)=$AA$7)),"x","")</f>
        <v/>
      </c>
      <c r="AB667" s="86" t="str">
        <f>IF(OR(TH!N667=TH!$AB$7,O667=TH!$AB$7),"x","")</f>
        <v/>
      </c>
      <c r="AC667" s="86" t="str">
        <f t="shared" si="45"/>
        <v/>
      </c>
      <c r="AD667" s="86" t="str">
        <f>IF(AND(MONTH(E667)&lt;='IN-NX'!$P$3,'IN-NX'!$D$7=D667,OR(LEFT(TH!N667,2)="15",LEFT(TH!O667,2)="15")),"x","")</f>
        <v/>
      </c>
      <c r="AE667" s="86" t="str">
        <f>IF(AND(OR(LEFT(TH!N667,2)="15",LEFT(TH!O667,2)="15"),'152-CT'!$J$8=TH!F667),"x","")</f>
        <v/>
      </c>
      <c r="AF667" s="86" t="str">
        <f>IF(AND(OR(LEFT(TH!N667,2)="15",LEFT(TH!O667,2)="15"),'THE KHO'!$E$7=TH!F667),"x","")</f>
        <v/>
      </c>
      <c r="AG667" s="86" t="str">
        <f>IF(AND(N667="1521",MONTH(C667)='BK NL'!$M$11),"x","")</f>
        <v/>
      </c>
    </row>
    <row r="668" spans="1:33" ht="15.75" customHeight="1">
      <c r="A668" s="398" t="str">
        <f>IF(B668&lt;&gt;"",IF(AND(B668&gt;=_TM1,B668&lt;=_TM2,OR(TH!N668="1111",TH!O668="1111")),TH!D668,""),"")</f>
        <v/>
      </c>
      <c r="B668" s="63" t="str">
        <f t="shared" si="46"/>
        <v/>
      </c>
      <c r="C668" s="64"/>
      <c r="D668" s="64"/>
      <c r="E668" s="64"/>
      <c r="F668" s="67"/>
      <c r="G668" s="375"/>
      <c r="H668" s="364"/>
      <c r="I668" s="515"/>
      <c r="J668" s="515"/>
      <c r="K668" s="507"/>
      <c r="L668" s="515"/>
      <c r="M668" s="65"/>
      <c r="N668" s="66"/>
      <c r="O668" s="66"/>
      <c r="P668" s="86" t="str">
        <f>IF(AND('331-CT'!$E$7=TH!H668,OR(N668="331",O668="331")),"x","")</f>
        <v/>
      </c>
      <c r="Q668" s="86" t="str">
        <f>IF(AND($B668&gt;='111'!$N$11,$B668&lt;='111'!$O$11,OR($N668=$Q$7,$O668=$Q$7)),"x","")</f>
        <v/>
      </c>
      <c r="R668" s="86" t="str">
        <f>IF(AND($N668=$Q$7,$B668&lt;'111'!$N$11),"x","")</f>
        <v/>
      </c>
      <c r="S668" s="86" t="str">
        <f>IF(AND($O668=$Q$7,$B668&lt;'111'!$N$11),"x","")</f>
        <v/>
      </c>
      <c r="T668" s="86" t="str">
        <f>IF(AND($B668&gt;='112'!$M$9,$B668&lt;='112'!$N$9,OR($N668='112'!$I$6,$O668='112'!$I$6)),"x","")</f>
        <v/>
      </c>
      <c r="U668" s="86" t="str">
        <f>IF(AND($N668='112'!$I$6,$B668&lt;'112'!$M$9),"x","")</f>
        <v/>
      </c>
      <c r="V668" s="86" t="str">
        <f>IF(AND($O668='112'!$I$6,$B668&lt;'112'!$M$9),"x","")</f>
        <v/>
      </c>
      <c r="W668" s="86" t="str">
        <f>IF(AND('131-CT'!$H$9=TH!H668,OR(N668="131",O668="131")),"x","")</f>
        <v/>
      </c>
      <c r="X668" s="86" t="str">
        <f>IF(AND($B668&gt;='1331'!$I$9,$B668&lt;='1331'!$J$9,OR($N668=$X$7,$O668=$X$7)),"x","")</f>
        <v/>
      </c>
      <c r="Y668" s="86" t="str">
        <f>IF(AND($N668=$X$7,$B668&lt;'1331'!$I$9),"x","")</f>
        <v/>
      </c>
      <c r="Z668" s="86" t="str">
        <f>IF(AND($O668=$X$7,$B668&lt;'1331'!$I$9),"x","")</f>
        <v/>
      </c>
      <c r="AA668" s="86" t="str">
        <f>IF(AND('341-CT'!$H$9=H668,OR(LEFT(N668,3)=$AA$7,LEFT(O668,3)=$AA$7)),"x","")</f>
        <v/>
      </c>
      <c r="AB668" s="86" t="str">
        <f>IF(OR(TH!N668=TH!$AB$7,O668=TH!$AB$7),"x","")</f>
        <v/>
      </c>
      <c r="AC668" s="86" t="str">
        <f t="shared" si="45"/>
        <v/>
      </c>
      <c r="AD668" s="86" t="str">
        <f>IF(AND(MONTH(E668)&lt;='IN-NX'!$P$3,'IN-NX'!$D$7=D668,OR(LEFT(TH!N668,2)="15",LEFT(TH!O668,2)="15")),"x","")</f>
        <v/>
      </c>
      <c r="AE668" s="86" t="str">
        <f>IF(AND(OR(LEFT(TH!N668,2)="15",LEFT(TH!O668,2)="15"),'152-CT'!$J$8=TH!F668),"x","")</f>
        <v/>
      </c>
      <c r="AF668" s="86" t="str">
        <f>IF(AND(OR(LEFT(TH!N668,2)="15",LEFT(TH!O668,2)="15"),'THE KHO'!$E$7=TH!F668),"x","")</f>
        <v/>
      </c>
      <c r="AG668" s="86" t="str">
        <f>IF(AND(N668="1521",MONTH(C668)='BK NL'!$M$11),"x","")</f>
        <v/>
      </c>
    </row>
    <row r="669" spans="1:33" ht="15.75" customHeight="1">
      <c r="A669" s="398" t="str">
        <f>IF(B669&lt;&gt;"",IF(AND(B669&gt;=_TM1,B669&lt;=_TM2,OR(TH!N669="1111",TH!O669="1111")),TH!D669,""),"")</f>
        <v/>
      </c>
      <c r="B669" s="63" t="str">
        <f t="shared" si="46"/>
        <v/>
      </c>
      <c r="C669" s="64"/>
      <c r="D669" s="64"/>
      <c r="E669" s="64"/>
      <c r="F669" s="67"/>
      <c r="G669" s="375"/>
      <c r="H669" s="364"/>
      <c r="I669" s="515"/>
      <c r="J669" s="515"/>
      <c r="K669" s="507"/>
      <c r="L669" s="515"/>
      <c r="M669" s="65"/>
      <c r="N669" s="66"/>
      <c r="O669" s="66"/>
      <c r="P669" s="86" t="str">
        <f>IF(AND('331-CT'!$E$7=TH!H669,OR(N669="331",O669="331")),"x","")</f>
        <v/>
      </c>
      <c r="Q669" s="86" t="str">
        <f>IF(AND($B669&gt;='111'!$N$11,$B669&lt;='111'!$O$11,OR($N669=$Q$7,$O669=$Q$7)),"x","")</f>
        <v/>
      </c>
      <c r="R669" s="86" t="str">
        <f>IF(AND($N669=$Q$7,$B669&lt;'111'!$N$11),"x","")</f>
        <v/>
      </c>
      <c r="S669" s="86" t="str">
        <f>IF(AND($O669=$Q$7,$B669&lt;'111'!$N$11),"x","")</f>
        <v/>
      </c>
      <c r="T669" s="86" t="str">
        <f>IF(AND($B669&gt;='112'!$M$9,$B669&lt;='112'!$N$9,OR($N669='112'!$I$6,$O669='112'!$I$6)),"x","")</f>
        <v/>
      </c>
      <c r="U669" s="86" t="str">
        <f>IF(AND($N669='112'!$I$6,$B669&lt;'112'!$M$9),"x","")</f>
        <v/>
      </c>
      <c r="V669" s="86" t="str">
        <f>IF(AND($O669='112'!$I$6,$B669&lt;'112'!$M$9),"x","")</f>
        <v/>
      </c>
      <c r="W669" s="86" t="str">
        <f>IF(AND('131-CT'!$H$9=TH!H669,OR(N669="131",O669="131")),"x","")</f>
        <v/>
      </c>
      <c r="X669" s="86" t="str">
        <f>IF(AND($B669&gt;='1331'!$I$9,$B669&lt;='1331'!$J$9,OR($N669=$X$7,$O669=$X$7)),"x","")</f>
        <v/>
      </c>
      <c r="Y669" s="86" t="str">
        <f>IF(AND($N669=$X$7,$B669&lt;'1331'!$I$9),"x","")</f>
        <v/>
      </c>
      <c r="Z669" s="86" t="str">
        <f>IF(AND($O669=$X$7,$B669&lt;'1331'!$I$9),"x","")</f>
        <v/>
      </c>
      <c r="AA669" s="86" t="str">
        <f>IF(AND('341-CT'!$H$9=H669,OR(LEFT(N669,3)=$AA$7,LEFT(O669,3)=$AA$7)),"x","")</f>
        <v/>
      </c>
      <c r="AB669" s="86" t="str">
        <f>IF(OR(TH!N669=TH!$AB$7,O669=TH!$AB$7),"x","")</f>
        <v/>
      </c>
      <c r="AC669" s="86" t="str">
        <f t="shared" si="45"/>
        <v/>
      </c>
      <c r="AD669" s="86" t="str">
        <f>IF(AND(MONTH(E669)&lt;='IN-NX'!$P$3,'IN-NX'!$D$7=D669,OR(LEFT(TH!N669,2)="15",LEFT(TH!O669,2)="15")),"x","")</f>
        <v/>
      </c>
      <c r="AE669" s="86" t="str">
        <f>IF(AND(OR(LEFT(TH!N669,2)="15",LEFT(TH!O669,2)="15"),'152-CT'!$J$8=TH!F669),"x","")</f>
        <v/>
      </c>
      <c r="AF669" s="86" t="str">
        <f>IF(AND(OR(LEFT(TH!N669,2)="15",LEFT(TH!O669,2)="15"),'THE KHO'!$E$7=TH!F669),"x","")</f>
        <v/>
      </c>
      <c r="AG669" s="86" t="str">
        <f>IF(AND(N669="1521",MONTH(C669)='BK NL'!$M$11),"x","")</f>
        <v/>
      </c>
    </row>
    <row r="670" spans="1:33" ht="15.75" customHeight="1">
      <c r="A670" s="398" t="str">
        <f>IF(B670&lt;&gt;"",IF(AND(B670&gt;=_TM1,B670&lt;=_TM2,OR(TH!N670="1111",TH!O670="1111")),TH!D670,""),"")</f>
        <v/>
      </c>
      <c r="B670" s="63" t="str">
        <f t="shared" si="46"/>
        <v/>
      </c>
      <c r="C670" s="64"/>
      <c r="D670" s="64"/>
      <c r="E670" s="64"/>
      <c r="F670" s="67"/>
      <c r="G670" s="375"/>
      <c r="H670" s="74"/>
      <c r="I670" s="515"/>
      <c r="J670" s="515"/>
      <c r="K670" s="507"/>
      <c r="L670" s="515"/>
      <c r="M670" s="65"/>
      <c r="N670" s="386"/>
      <c r="O670" s="66"/>
      <c r="P670" s="86" t="str">
        <f>IF(AND('331-CT'!$E$7=TH!H670,OR(N670="331",O670="331")),"x","")</f>
        <v/>
      </c>
      <c r="Q670" s="86" t="str">
        <f>IF(AND($B670&gt;='111'!$N$11,$B670&lt;='111'!$O$11,OR($N670=$Q$7,$O670=$Q$7)),"x","")</f>
        <v/>
      </c>
      <c r="R670" s="86" t="str">
        <f>IF(AND($N670=$Q$7,$B670&lt;'111'!$N$11),"x","")</f>
        <v/>
      </c>
      <c r="S670" s="86" t="str">
        <f>IF(AND($O670=$Q$7,$B670&lt;'111'!$N$11),"x","")</f>
        <v/>
      </c>
      <c r="T670" s="86" t="str">
        <f>IF(AND($B670&gt;='112'!$M$9,$B670&lt;='112'!$N$9,OR($N670='112'!$I$6,$O670='112'!$I$6)),"x","")</f>
        <v/>
      </c>
      <c r="U670" s="86" t="str">
        <f>IF(AND($N670='112'!$I$6,$B670&lt;'112'!$M$9),"x","")</f>
        <v/>
      </c>
      <c r="V670" s="86" t="str">
        <f>IF(AND($O670='112'!$I$6,$B670&lt;'112'!$M$9),"x","")</f>
        <v/>
      </c>
      <c r="W670" s="86" t="str">
        <f>IF(AND('131-CT'!$H$9=TH!H670,OR(N670="131",O670="131")),"x","")</f>
        <v/>
      </c>
      <c r="X670" s="86" t="str">
        <f>IF(AND($B670&gt;='1331'!$I$9,$B670&lt;='1331'!$J$9,OR($N670=$X$7,$O670=$X$7)),"x","")</f>
        <v/>
      </c>
      <c r="Y670" s="86" t="str">
        <f>IF(AND($N670=$X$7,$B670&lt;'1331'!$I$9),"x","")</f>
        <v/>
      </c>
      <c r="Z670" s="86" t="str">
        <f>IF(AND($O670=$X$7,$B670&lt;'1331'!$I$9),"x","")</f>
        <v/>
      </c>
      <c r="AA670" s="86" t="str">
        <f>IF(AND('341-CT'!$H$9=H670,OR(LEFT(N670,3)=$AA$7,LEFT(O670,3)=$AA$7)),"x","")</f>
        <v/>
      </c>
      <c r="AB670" s="86" t="str">
        <f>IF(OR(TH!N670=TH!$AB$7,O670=TH!$AB$7),"x","")</f>
        <v/>
      </c>
      <c r="AC670" s="86" t="str">
        <f t="shared" si="45"/>
        <v/>
      </c>
      <c r="AD670" s="86" t="str">
        <f>IF(AND(MONTH(E670)&lt;='IN-NX'!$P$3,'IN-NX'!$D$7=D670,OR(LEFT(TH!N670,2)="15",LEFT(TH!O670,2)="15")),"x","")</f>
        <v/>
      </c>
      <c r="AE670" s="86" t="str">
        <f>IF(AND(OR(LEFT(TH!N670,2)="15",LEFT(TH!O670,2)="15"),'152-CT'!$J$8=TH!F670),"x","")</f>
        <v/>
      </c>
      <c r="AF670" s="86" t="str">
        <f>IF(AND(OR(LEFT(TH!N670,2)="15",LEFT(TH!O670,2)="15"),'THE KHO'!$E$7=TH!F670),"x","")</f>
        <v/>
      </c>
      <c r="AG670" s="86" t="str">
        <f>IF(AND(N670="1521",MONTH(C670)='BK NL'!$M$11),"x","")</f>
        <v/>
      </c>
    </row>
    <row r="671" spans="1:33" ht="17.25" customHeight="1">
      <c r="A671" s="398" t="str">
        <f>IF(B671&lt;&gt;"",IF(AND(B671&gt;=_TM1,B671&lt;=_TM2,OR(TH!N671="1111",TH!O671="1111")),TH!D671,""),"")</f>
        <v/>
      </c>
      <c r="B671" s="63" t="str">
        <f t="shared" si="46"/>
        <v/>
      </c>
      <c r="C671" s="64"/>
      <c r="D671" s="64"/>
      <c r="E671" s="64"/>
      <c r="F671" s="67"/>
      <c r="G671" s="375"/>
      <c r="H671" s="74"/>
      <c r="I671" s="515"/>
      <c r="J671" s="515"/>
      <c r="K671" s="507"/>
      <c r="L671" s="515"/>
      <c r="M671" s="65"/>
      <c r="N671" s="386"/>
      <c r="O671" s="66"/>
      <c r="P671" s="86" t="str">
        <f>IF(AND('331-CT'!$E$7=TH!H671,OR(N671="331",O671="331")),"x","")</f>
        <v/>
      </c>
      <c r="Q671" s="86" t="str">
        <f>IF(AND($B671&gt;='111'!$N$11,$B671&lt;='111'!$O$11,OR($N671=$Q$7,$O671=$Q$7)),"x","")</f>
        <v/>
      </c>
      <c r="R671" s="86" t="str">
        <f>IF(AND($N671=$Q$7,$B671&lt;'111'!$N$11),"x","")</f>
        <v/>
      </c>
      <c r="S671" s="86" t="str">
        <f>IF(AND($O671=$Q$7,$B671&lt;'111'!$N$11),"x","")</f>
        <v/>
      </c>
      <c r="T671" s="86" t="str">
        <f>IF(AND($B671&gt;='112'!$M$9,$B671&lt;='112'!$N$9,OR($N671='112'!$I$6,$O671='112'!$I$6)),"x","")</f>
        <v/>
      </c>
      <c r="U671" s="86" t="str">
        <f>IF(AND($N671='112'!$I$6,$B671&lt;'112'!$M$9),"x","")</f>
        <v/>
      </c>
      <c r="V671" s="86" t="str">
        <f>IF(AND($O671='112'!$I$6,$B671&lt;'112'!$M$9),"x","")</f>
        <v/>
      </c>
      <c r="W671" s="86" t="str">
        <f>IF(AND('131-CT'!$H$9=TH!H671,OR(N671="131",O671="131")),"x","")</f>
        <v/>
      </c>
      <c r="X671" s="86" t="str">
        <f>IF(AND($B671&gt;='1331'!$I$9,$B671&lt;='1331'!$J$9,OR($N671=$X$7,$O671=$X$7)),"x","")</f>
        <v/>
      </c>
      <c r="Y671" s="86" t="str">
        <f>IF(AND($N671=$X$7,$B671&lt;'1331'!$I$9),"x","")</f>
        <v/>
      </c>
      <c r="Z671" s="86" t="str">
        <f>IF(AND($O671=$X$7,$B671&lt;'1331'!$I$9),"x","")</f>
        <v/>
      </c>
      <c r="AA671" s="86" t="str">
        <f>IF(AND('341-CT'!$H$9=H671,OR(LEFT(N671,3)=$AA$7,LEFT(O671,3)=$AA$7)),"x","")</f>
        <v/>
      </c>
      <c r="AB671" s="86" t="str">
        <f>IF(OR(TH!N671=TH!$AB$7,O671=TH!$AB$7),"x","")</f>
        <v/>
      </c>
      <c r="AC671" s="86" t="str">
        <f t="shared" si="45"/>
        <v/>
      </c>
      <c r="AD671" s="86" t="str">
        <f>IF(AND(MONTH(E671)&lt;='IN-NX'!$P$3,'IN-NX'!$D$7=D671,OR(LEFT(TH!N671,2)="15",LEFT(TH!O671,2)="15")),"x","")</f>
        <v/>
      </c>
      <c r="AE671" s="86" t="str">
        <f>IF(AND(OR(LEFT(TH!N671,2)="15",LEFT(TH!O671,2)="15"),'152-CT'!$J$8=TH!F671),"x","")</f>
        <v/>
      </c>
      <c r="AF671" s="86" t="str">
        <f>IF(AND(OR(LEFT(TH!N671,2)="15",LEFT(TH!O671,2)="15"),'THE KHO'!$E$7=TH!F671),"x","")</f>
        <v/>
      </c>
      <c r="AG671" s="86" t="str">
        <f>IF(AND(N671="1521",MONTH(C671)='BK NL'!$M$11),"x","")</f>
        <v/>
      </c>
    </row>
    <row r="672" spans="1:33" ht="17.25" customHeight="1">
      <c r="A672" s="398" t="str">
        <f>IF(B672&lt;&gt;"",IF(AND(B672&gt;=_TM1,B672&lt;=_TM2,OR(TH!N672="1111",TH!O672="1111")),TH!D672,""),"")</f>
        <v/>
      </c>
      <c r="B672" s="63" t="str">
        <f t="shared" si="46"/>
        <v/>
      </c>
      <c r="C672" s="64"/>
      <c r="D672" s="64"/>
      <c r="E672" s="64"/>
      <c r="F672" s="67"/>
      <c r="G672" s="375"/>
      <c r="H672" s="74"/>
      <c r="I672" s="515"/>
      <c r="J672" s="515"/>
      <c r="K672" s="507"/>
      <c r="L672" s="515"/>
      <c r="M672" s="65"/>
      <c r="N672" s="66"/>
      <c r="O672" s="66"/>
      <c r="P672" s="86" t="str">
        <f>IF(AND('331-CT'!$E$7=TH!H672,OR(N672="331",O672="331")),"x","")</f>
        <v/>
      </c>
      <c r="Q672" s="86" t="str">
        <f>IF(AND($B672&gt;='111'!$N$11,$B672&lt;='111'!$O$11,OR($N672=$Q$7,$O672=$Q$7)),"x","")</f>
        <v/>
      </c>
      <c r="R672" s="86" t="str">
        <f>IF(AND($N672=$Q$7,$B672&lt;'111'!$N$11),"x","")</f>
        <v/>
      </c>
      <c r="S672" s="86" t="str">
        <f>IF(AND($O672=$Q$7,$B672&lt;'111'!$N$11),"x","")</f>
        <v/>
      </c>
      <c r="T672" s="86" t="str">
        <f>IF(AND($B672&gt;='112'!$M$9,$B672&lt;='112'!$N$9,OR($N672='112'!$I$6,$O672='112'!$I$6)),"x","")</f>
        <v/>
      </c>
      <c r="U672" s="86" t="str">
        <f>IF(AND($N672='112'!$I$6,$B672&lt;'112'!$M$9),"x","")</f>
        <v/>
      </c>
      <c r="V672" s="86" t="str">
        <f>IF(AND($O672='112'!$I$6,$B672&lt;'112'!$M$9),"x","")</f>
        <v/>
      </c>
      <c r="W672" s="86" t="str">
        <f>IF(AND('131-CT'!$H$9=TH!H672,OR(N672="131",O672="131")),"x","")</f>
        <v/>
      </c>
      <c r="X672" s="86" t="str">
        <f>IF(AND($B672&gt;='1331'!$I$9,$B672&lt;='1331'!$J$9,OR($N672=$X$7,$O672=$X$7)),"x","")</f>
        <v/>
      </c>
      <c r="Y672" s="86" t="str">
        <f>IF(AND($N672=$X$7,$B672&lt;'1331'!$I$9),"x","")</f>
        <v/>
      </c>
      <c r="Z672" s="86" t="str">
        <f>IF(AND($O672=$X$7,$B672&lt;'1331'!$I$9),"x","")</f>
        <v/>
      </c>
      <c r="AA672" s="86" t="str">
        <f>IF(AND('341-CT'!$H$9=H672,OR(LEFT(N672,3)=$AA$7,LEFT(O672,3)=$AA$7)),"x","")</f>
        <v/>
      </c>
      <c r="AB672" s="86" t="str">
        <f>IF(OR(TH!N672=TH!$AB$7,O672=TH!$AB$7),"x","")</f>
        <v/>
      </c>
      <c r="AC672" s="86" t="str">
        <f t="shared" si="45"/>
        <v/>
      </c>
      <c r="AD672" s="86" t="str">
        <f>IF(AND(MONTH(E672)&lt;='IN-NX'!$P$3,'IN-NX'!$D$7=D672,OR(LEFT(TH!N672,2)="15",LEFT(TH!O672,2)="15")),"x","")</f>
        <v/>
      </c>
      <c r="AE672" s="86" t="str">
        <f>IF(AND(OR(LEFT(TH!N672,2)="15",LEFT(TH!O672,2)="15"),'152-CT'!$J$8=TH!F672),"x","")</f>
        <v/>
      </c>
      <c r="AF672" s="86" t="str">
        <f>IF(AND(OR(LEFT(TH!N672,2)="15",LEFT(TH!O672,2)="15"),'THE KHO'!$E$7=TH!F672),"x","")</f>
        <v/>
      </c>
      <c r="AG672" s="86" t="str">
        <f>IF(AND(N672="1521",MONTH(C672)='BK NL'!$M$11),"x","")</f>
        <v/>
      </c>
    </row>
    <row r="673" spans="1:33" ht="17.25" customHeight="1">
      <c r="A673" s="398" t="str">
        <f>IF(B673&lt;&gt;"",IF(AND(B673&gt;=_TM1,B673&lt;=_TM2,OR(TH!N673="1111",TH!O673="1111")),TH!D673,""),"")</f>
        <v/>
      </c>
      <c r="B673" s="63" t="str">
        <f t="shared" si="46"/>
        <v/>
      </c>
      <c r="C673" s="64"/>
      <c r="D673" s="64"/>
      <c r="E673" s="64"/>
      <c r="F673" s="67"/>
      <c r="G673" s="375"/>
      <c r="H673" s="74"/>
      <c r="I673" s="515"/>
      <c r="J673" s="515"/>
      <c r="K673" s="507"/>
      <c r="L673" s="515"/>
      <c r="M673" s="65"/>
      <c r="N673" s="66"/>
      <c r="O673" s="66"/>
      <c r="P673" s="86" t="str">
        <f>IF(AND('331-CT'!$E$7=TH!H673,OR(N673="331",O673="331")),"x","")</f>
        <v/>
      </c>
      <c r="Q673" s="86" t="str">
        <f>IF(AND($B673&gt;='111'!$N$11,$B673&lt;='111'!$O$11,OR($N673=$Q$7,$O673=$Q$7)),"x","")</f>
        <v/>
      </c>
      <c r="R673" s="86" t="str">
        <f>IF(AND($N673=$Q$7,$B673&lt;'111'!$N$11),"x","")</f>
        <v/>
      </c>
      <c r="S673" s="86" t="str">
        <f>IF(AND($O673=$Q$7,$B673&lt;'111'!$N$11),"x","")</f>
        <v/>
      </c>
      <c r="T673" s="86" t="str">
        <f>IF(AND($B673&gt;='112'!$M$9,$B673&lt;='112'!$N$9,OR($N673='112'!$I$6,$O673='112'!$I$6)),"x","")</f>
        <v/>
      </c>
      <c r="U673" s="86" t="str">
        <f>IF(AND($N673='112'!$I$6,$B673&lt;'112'!$M$9),"x","")</f>
        <v/>
      </c>
      <c r="V673" s="86" t="str">
        <f>IF(AND($O673='112'!$I$6,$B673&lt;'112'!$M$9),"x","")</f>
        <v/>
      </c>
      <c r="W673" s="86" t="str">
        <f>IF(AND('131-CT'!$H$9=TH!H673,OR(N673="131",O673="131")),"x","")</f>
        <v/>
      </c>
      <c r="X673" s="86" t="str">
        <f>IF(AND($B673&gt;='1331'!$I$9,$B673&lt;='1331'!$J$9,OR($N673=$X$7,$O673=$X$7)),"x","")</f>
        <v/>
      </c>
      <c r="Y673" s="86" t="str">
        <f>IF(AND($N673=$X$7,$B673&lt;'1331'!$I$9),"x","")</f>
        <v/>
      </c>
      <c r="Z673" s="86" t="str">
        <f>IF(AND($O673=$X$7,$B673&lt;'1331'!$I$9),"x","")</f>
        <v/>
      </c>
      <c r="AA673" s="86" t="str">
        <f>IF(AND('341-CT'!$H$9=H673,OR(LEFT(N673,3)=$AA$7,LEFT(O673,3)=$AA$7)),"x","")</f>
        <v/>
      </c>
      <c r="AB673" s="86" t="str">
        <f>IF(OR(TH!N673=TH!$AB$7,O673=TH!$AB$7),"x","")</f>
        <v/>
      </c>
      <c r="AC673" s="86" t="str">
        <f t="shared" si="45"/>
        <v/>
      </c>
      <c r="AD673" s="86" t="str">
        <f>IF(AND(MONTH(E673)&lt;='IN-NX'!$P$3,'IN-NX'!$D$7=D673,OR(LEFT(TH!N673,2)="15",LEFT(TH!O673,2)="15")),"x","")</f>
        <v/>
      </c>
      <c r="AE673" s="86" t="str">
        <f>IF(AND(OR(LEFT(TH!N673,2)="15",LEFT(TH!O673,2)="15"),'152-CT'!$J$8=TH!F673),"x","")</f>
        <v/>
      </c>
      <c r="AF673" s="86" t="str">
        <f>IF(AND(OR(LEFT(TH!N673,2)="15",LEFT(TH!O673,2)="15"),'THE KHO'!$E$7=TH!F673),"x","")</f>
        <v/>
      </c>
      <c r="AG673" s="86" t="str">
        <f>IF(AND(N673="1521",MONTH(C673)='BK NL'!$M$11),"x","")</f>
        <v/>
      </c>
    </row>
    <row r="674" spans="1:33" s="411" customFormat="1" ht="17.25" customHeight="1">
      <c r="A674" s="398" t="str">
        <f>IF(B674&lt;&gt;"",IF(AND(B674&gt;=_TM1,B674&lt;=_TM2,OR(TH!N674="1111",TH!O674="1111")),TH!D674,""),"")</f>
        <v/>
      </c>
      <c r="B674" s="63" t="str">
        <f t="shared" si="46"/>
        <v/>
      </c>
      <c r="C674" s="64"/>
      <c r="D674" s="64"/>
      <c r="E674" s="64"/>
      <c r="F674" s="67"/>
      <c r="G674" s="375"/>
      <c r="H674" s="74"/>
      <c r="I674" s="515"/>
      <c r="J674" s="515"/>
      <c r="K674" s="507"/>
      <c r="L674" s="515"/>
      <c r="M674" s="65"/>
      <c r="N674" s="66"/>
      <c r="O674" s="66"/>
      <c r="P674" s="86" t="str">
        <f>IF(AND('331-CT'!$E$7=TH!H674,OR(N674="331",O674="331")),"x","")</f>
        <v/>
      </c>
      <c r="Q674" s="86" t="str">
        <f>IF(AND($B674&gt;='111'!$N$11,$B674&lt;='111'!$O$11,OR($N674=$Q$7,$O674=$Q$7)),"x","")</f>
        <v/>
      </c>
      <c r="R674" s="86" t="str">
        <f>IF(AND($N674=$Q$7,$B674&lt;'111'!$N$11),"x","")</f>
        <v/>
      </c>
      <c r="S674" s="86" t="str">
        <f>IF(AND($O674=$Q$7,$B674&lt;'111'!$N$11),"x","")</f>
        <v/>
      </c>
      <c r="T674" s="86" t="str">
        <f>IF(AND($B674&gt;='112'!$M$9,$B674&lt;='112'!$N$9,OR($N674='112'!$I$6,$O674='112'!$I$6)),"x","")</f>
        <v/>
      </c>
      <c r="U674" s="86" t="str">
        <f>IF(AND($N674='112'!$I$6,$B674&lt;'112'!$M$9),"x","")</f>
        <v/>
      </c>
      <c r="V674" s="86" t="str">
        <f>IF(AND($O674='112'!$I$6,$B674&lt;'112'!$M$9),"x","")</f>
        <v/>
      </c>
      <c r="W674" s="86" t="str">
        <f>IF(AND('131-CT'!$H$9=TH!H674,OR(N674="131",O674="131")),"x","")</f>
        <v/>
      </c>
      <c r="X674" s="86" t="str">
        <f>IF(AND($B674&gt;='1331'!$I$9,$B674&lt;='1331'!$J$9,OR($N674=$X$7,$O674=$X$7)),"x","")</f>
        <v/>
      </c>
      <c r="Y674" s="86" t="str">
        <f>IF(AND($N674=$X$7,$B674&lt;'1331'!$I$9),"x","")</f>
        <v/>
      </c>
      <c r="Z674" s="86" t="str">
        <f>IF(AND($O674=$X$7,$B674&lt;'1331'!$I$9),"x","")</f>
        <v/>
      </c>
      <c r="AA674" s="86" t="str">
        <f>IF(AND('341-CT'!$H$9=H674,OR(LEFT(N674,3)=$AA$7,LEFT(O674,3)=$AA$7)),"x","")</f>
        <v/>
      </c>
      <c r="AB674" s="86" t="str">
        <f>IF(OR(TH!N674=TH!$AB$7,O674=TH!$AB$7),"x","")</f>
        <v/>
      </c>
      <c r="AC674" s="86" t="str">
        <f t="shared" si="45"/>
        <v/>
      </c>
      <c r="AD674" s="86" t="str">
        <f>IF(AND(MONTH(E674)&lt;='IN-NX'!$P$3,'IN-NX'!$D$7=D674,OR(LEFT(TH!N674,2)="15",LEFT(TH!O674,2)="15")),"x","")</f>
        <v/>
      </c>
      <c r="AE674" s="86" t="str">
        <f>IF(AND(OR(LEFT(TH!N674,2)="15",LEFT(TH!O674,2)="15"),'152-CT'!$J$8=TH!F674),"x","")</f>
        <v/>
      </c>
      <c r="AF674" s="86" t="str">
        <f>IF(AND(OR(LEFT(TH!N674,2)="15",LEFT(TH!O674,2)="15"),'THE KHO'!$E$7=TH!F674),"x","")</f>
        <v/>
      </c>
      <c r="AG674" s="86" t="str">
        <f>IF(AND(N674="1521",MONTH(C674)='BK NL'!$M$11),"x","")</f>
        <v/>
      </c>
    </row>
    <row r="675" spans="1:33" s="411" customFormat="1" ht="17.25" customHeight="1">
      <c r="A675" s="398" t="str">
        <f>IF(B675&lt;&gt;"",IF(AND(B675&gt;=_TM1,B675&lt;=_TM2,OR(TH!N675="1111",TH!O675="1111")),TH!D675,""),"")</f>
        <v/>
      </c>
      <c r="B675" s="63" t="str">
        <f t="shared" si="46"/>
        <v/>
      </c>
      <c r="C675" s="64"/>
      <c r="D675" s="64"/>
      <c r="E675" s="64"/>
      <c r="F675" s="67"/>
      <c r="G675" s="375"/>
      <c r="H675" s="74"/>
      <c r="I675" s="515"/>
      <c r="J675" s="515"/>
      <c r="K675" s="507"/>
      <c r="L675" s="515"/>
      <c r="M675" s="65"/>
      <c r="N675" s="66"/>
      <c r="O675" s="66"/>
      <c r="P675" s="86" t="str">
        <f>IF(AND('331-CT'!$E$7=TH!H675,OR(N675="331",O675="331")),"x","")</f>
        <v/>
      </c>
      <c r="Q675" s="86" t="str">
        <f>IF(AND($B675&gt;='111'!$N$11,$B675&lt;='111'!$O$11,OR($N675=$Q$7,$O675=$Q$7)),"x","")</f>
        <v/>
      </c>
      <c r="R675" s="86" t="str">
        <f>IF(AND($N675=$Q$7,$B675&lt;'111'!$N$11),"x","")</f>
        <v/>
      </c>
      <c r="S675" s="86" t="str">
        <f>IF(AND($O675=$Q$7,$B675&lt;'111'!$N$11),"x","")</f>
        <v/>
      </c>
      <c r="T675" s="86" t="str">
        <f>IF(AND($B675&gt;='112'!$M$9,$B675&lt;='112'!$N$9,OR($N675='112'!$I$6,$O675='112'!$I$6)),"x","")</f>
        <v/>
      </c>
      <c r="U675" s="86" t="str">
        <f>IF(AND($N675='112'!$I$6,$B675&lt;'112'!$M$9),"x","")</f>
        <v/>
      </c>
      <c r="V675" s="86" t="str">
        <f>IF(AND($O675='112'!$I$6,$B675&lt;'112'!$M$9),"x","")</f>
        <v/>
      </c>
      <c r="W675" s="86" t="str">
        <f>IF(AND('131-CT'!$H$9=TH!H675,OR(N675="131",O675="131")),"x","")</f>
        <v/>
      </c>
      <c r="X675" s="86" t="str">
        <f>IF(AND($B675&gt;='1331'!$I$9,$B675&lt;='1331'!$J$9,OR($N675=$X$7,$O675=$X$7)),"x","")</f>
        <v/>
      </c>
      <c r="Y675" s="86" t="str">
        <f>IF(AND($N675=$X$7,$B675&lt;'1331'!$I$9),"x","")</f>
        <v/>
      </c>
      <c r="Z675" s="86" t="str">
        <f>IF(AND($O675=$X$7,$B675&lt;'1331'!$I$9),"x","")</f>
        <v/>
      </c>
      <c r="AA675" s="86" t="str">
        <f>IF(AND('341-CT'!$H$9=H675,OR(LEFT(N675,3)=$AA$7,LEFT(O675,3)=$AA$7)),"x","")</f>
        <v/>
      </c>
      <c r="AB675" s="86" t="str">
        <f>IF(OR(TH!N675=TH!$AB$7,O675=TH!$AB$7),"x","")</f>
        <v/>
      </c>
      <c r="AC675" s="86" t="str">
        <f t="shared" si="45"/>
        <v/>
      </c>
      <c r="AD675" s="86" t="str">
        <f>IF(AND(MONTH(E675)&lt;='IN-NX'!$P$3,'IN-NX'!$D$7=D675,OR(LEFT(TH!N675,2)="15",LEFT(TH!O675,2)="15")),"x","")</f>
        <v/>
      </c>
      <c r="AE675" s="86" t="str">
        <f>IF(AND(OR(LEFT(TH!N675,2)="15",LEFT(TH!O675,2)="15"),'152-CT'!$J$8=TH!F675),"x","")</f>
        <v/>
      </c>
      <c r="AF675" s="86" t="str">
        <f>IF(AND(OR(LEFT(TH!N675,2)="15",LEFT(TH!O675,2)="15"),'THE KHO'!$E$7=TH!F675),"x","")</f>
        <v/>
      </c>
      <c r="AG675" s="86" t="str">
        <f>IF(AND(N675="1521",MONTH(C675)='BK NL'!$M$11),"x","")</f>
        <v/>
      </c>
    </row>
    <row r="676" spans="1:33" ht="17.25" customHeight="1">
      <c r="A676" s="398" t="str">
        <f>IF(B676&lt;&gt;"",IF(AND(B676&gt;=_TM1,B676&lt;=_TM2,OR(TH!N676="1111",TH!O676="1111")),TH!D676,""),"")</f>
        <v/>
      </c>
      <c r="B676" s="63" t="str">
        <f t="shared" si="46"/>
        <v/>
      </c>
      <c r="C676" s="64"/>
      <c r="D676" s="64"/>
      <c r="E676" s="64"/>
      <c r="F676" s="67"/>
      <c r="G676" s="375"/>
      <c r="H676" s="74"/>
      <c r="I676" s="515"/>
      <c r="J676" s="515"/>
      <c r="K676" s="507"/>
      <c r="L676" s="515"/>
      <c r="M676" s="65"/>
      <c r="N676" s="66"/>
      <c r="O676" s="66"/>
      <c r="P676" s="86" t="str">
        <f>IF(AND('331-CT'!$E$7=TH!H676,OR(N676="331",O676="331")),"x","")</f>
        <v/>
      </c>
      <c r="Q676" s="86" t="str">
        <f>IF(AND($B676&gt;='111'!$N$11,$B676&lt;='111'!$O$11,OR($N676=$Q$7,$O676=$Q$7)),"x","")</f>
        <v/>
      </c>
      <c r="R676" s="86" t="str">
        <f>IF(AND($N676=$Q$7,$B676&lt;'111'!$N$11),"x","")</f>
        <v/>
      </c>
      <c r="S676" s="86" t="str">
        <f>IF(AND($O676=$Q$7,$B676&lt;'111'!$N$11),"x","")</f>
        <v/>
      </c>
      <c r="T676" s="86" t="str">
        <f>IF(AND($B676&gt;='112'!$M$9,$B676&lt;='112'!$N$9,OR($N676='112'!$I$6,$O676='112'!$I$6)),"x","")</f>
        <v/>
      </c>
      <c r="U676" s="86" t="str">
        <f>IF(AND($N676='112'!$I$6,$B676&lt;'112'!$M$9),"x","")</f>
        <v/>
      </c>
      <c r="V676" s="86" t="str">
        <f>IF(AND($O676='112'!$I$6,$B676&lt;'112'!$M$9),"x","")</f>
        <v/>
      </c>
      <c r="W676" s="86" t="str">
        <f>IF(AND('131-CT'!$H$9=TH!H676,OR(N676="131",O676="131")),"x","")</f>
        <v/>
      </c>
      <c r="X676" s="86" t="str">
        <f>IF(AND($B676&gt;='1331'!$I$9,$B676&lt;='1331'!$J$9,OR($N676=$X$7,$O676=$X$7)),"x","")</f>
        <v/>
      </c>
      <c r="Y676" s="86" t="str">
        <f>IF(AND($N676=$X$7,$B676&lt;'1331'!$I$9),"x","")</f>
        <v/>
      </c>
      <c r="Z676" s="86" t="str">
        <f>IF(AND($O676=$X$7,$B676&lt;'1331'!$I$9),"x","")</f>
        <v/>
      </c>
      <c r="AA676" s="86" t="str">
        <f>IF(AND('341-CT'!$H$9=H676,OR(LEFT(N676,3)=$AA$7,LEFT(O676,3)=$AA$7)),"x","")</f>
        <v/>
      </c>
      <c r="AB676" s="86" t="str">
        <f>IF(OR(TH!N676=TH!$AB$7,O676=TH!$AB$7),"x","")</f>
        <v/>
      </c>
      <c r="AC676" s="86" t="str">
        <f t="shared" si="45"/>
        <v/>
      </c>
      <c r="AD676" s="86" t="str">
        <f>IF(AND(MONTH(E676)&lt;='IN-NX'!$P$3,'IN-NX'!$D$7=D676,OR(LEFT(TH!N676,2)="15",LEFT(TH!O676,2)="15")),"x","")</f>
        <v/>
      </c>
      <c r="AE676" s="86" t="str">
        <f>IF(AND(OR(LEFT(TH!N676,2)="15",LEFT(TH!O676,2)="15"),'152-CT'!$J$8=TH!F676),"x","")</f>
        <v/>
      </c>
      <c r="AF676" s="86" t="str">
        <f>IF(AND(OR(LEFT(TH!N676,2)="15",LEFT(TH!O676,2)="15"),'THE KHO'!$E$7=TH!F676),"x","")</f>
        <v/>
      </c>
      <c r="AG676" s="86" t="str">
        <f>IF(AND(N676="1521",MONTH(C676)='BK NL'!$M$11),"x","")</f>
        <v/>
      </c>
    </row>
    <row r="677" spans="1:33" ht="17.25" customHeight="1">
      <c r="A677" s="398" t="str">
        <f>IF(B677&lt;&gt;"",IF(AND(B677&gt;=_TM1,B677&lt;=_TM2,OR(TH!N677="1111",TH!O677="1111")),TH!D677,""),"")</f>
        <v/>
      </c>
      <c r="B677" s="63" t="str">
        <f t="shared" si="46"/>
        <v/>
      </c>
      <c r="C677" s="64"/>
      <c r="D677" s="64"/>
      <c r="E677" s="64"/>
      <c r="F677" s="67"/>
      <c r="G677" s="375"/>
      <c r="H677" s="74"/>
      <c r="I677" s="515"/>
      <c r="J677" s="515"/>
      <c r="K677" s="507"/>
      <c r="L677" s="515"/>
      <c r="M677" s="65"/>
      <c r="N677" s="66"/>
      <c r="O677" s="66"/>
      <c r="P677" s="86" t="str">
        <f>IF(AND('331-CT'!$E$7=TH!H677,OR(N677="331",O677="331")),"x","")</f>
        <v/>
      </c>
      <c r="Q677" s="86" t="str">
        <f>IF(AND($B677&gt;='111'!$N$11,$B677&lt;='111'!$O$11,OR($N677=$Q$7,$O677=$Q$7)),"x","")</f>
        <v/>
      </c>
      <c r="R677" s="86" t="str">
        <f>IF(AND($N677=$Q$7,$B677&lt;'111'!$N$11),"x","")</f>
        <v/>
      </c>
      <c r="S677" s="86" t="str">
        <f>IF(AND($O677=$Q$7,$B677&lt;'111'!$N$11),"x","")</f>
        <v/>
      </c>
      <c r="T677" s="86" t="str">
        <f>IF(AND($B677&gt;='112'!$M$9,$B677&lt;='112'!$N$9,OR($N677='112'!$I$6,$O677='112'!$I$6)),"x","")</f>
        <v/>
      </c>
      <c r="U677" s="86" t="str">
        <f>IF(AND($N677='112'!$I$6,$B677&lt;'112'!$M$9),"x","")</f>
        <v/>
      </c>
      <c r="V677" s="86" t="str">
        <f>IF(AND($O677='112'!$I$6,$B677&lt;'112'!$M$9),"x","")</f>
        <v/>
      </c>
      <c r="W677" s="86" t="str">
        <f>IF(AND('131-CT'!$H$9=TH!H677,OR(N677="131",O677="131")),"x","")</f>
        <v/>
      </c>
      <c r="X677" s="86" t="str">
        <f>IF(AND($B677&gt;='1331'!$I$9,$B677&lt;='1331'!$J$9,OR($N677=$X$7,$O677=$X$7)),"x","")</f>
        <v/>
      </c>
      <c r="Y677" s="86" t="str">
        <f>IF(AND($N677=$X$7,$B677&lt;'1331'!$I$9),"x","")</f>
        <v/>
      </c>
      <c r="Z677" s="86" t="str">
        <f>IF(AND($O677=$X$7,$B677&lt;'1331'!$I$9),"x","")</f>
        <v/>
      </c>
      <c r="AA677" s="86" t="str">
        <f>IF(AND('341-CT'!$H$9=H677,OR(LEFT(N677,3)=$AA$7,LEFT(O677,3)=$AA$7)),"x","")</f>
        <v/>
      </c>
      <c r="AB677" s="86" t="str">
        <f>IF(OR(TH!N677=TH!$AB$7,O677=TH!$AB$7),"x","")</f>
        <v/>
      </c>
      <c r="AC677" s="86" t="str">
        <f t="shared" si="45"/>
        <v/>
      </c>
      <c r="AD677" s="86" t="str">
        <f>IF(AND(MONTH(E677)&lt;='IN-NX'!$P$3,'IN-NX'!$D$7=D677,OR(LEFT(TH!N677,2)="15",LEFT(TH!O677,2)="15")),"x","")</f>
        <v/>
      </c>
      <c r="AE677" s="86" t="str">
        <f>IF(AND(OR(LEFT(TH!N677,2)="15",LEFT(TH!O677,2)="15"),'152-CT'!$J$8=TH!F677),"x","")</f>
        <v/>
      </c>
      <c r="AF677" s="86" t="str">
        <f>IF(AND(OR(LEFT(TH!N677,2)="15",LEFT(TH!O677,2)="15"),'THE KHO'!$E$7=TH!F677),"x","")</f>
        <v/>
      </c>
      <c r="AG677" s="86" t="str">
        <f>IF(AND(N677="1521",MONTH(C677)='BK NL'!$M$11),"x","")</f>
        <v/>
      </c>
    </row>
    <row r="678" spans="1:33" ht="17.25" customHeight="1">
      <c r="A678" s="398" t="str">
        <f>IF(B678&lt;&gt;"",IF(AND(B678&gt;=_TM1,B678&lt;=_TM2,OR(TH!N678="1111",TH!O678="1111")),TH!D678,""),"")</f>
        <v/>
      </c>
      <c r="B678" s="63" t="str">
        <f t="shared" si="46"/>
        <v/>
      </c>
      <c r="C678" s="64"/>
      <c r="D678" s="64"/>
      <c r="E678" s="64"/>
      <c r="F678" s="67"/>
      <c r="G678" s="361"/>
      <c r="H678" s="74"/>
      <c r="I678" s="515"/>
      <c r="J678" s="515"/>
      <c r="K678" s="507"/>
      <c r="L678" s="515"/>
      <c r="M678" s="65"/>
      <c r="N678" s="66"/>
      <c r="O678" s="66"/>
      <c r="P678" s="86" t="str">
        <f>IF(AND('331-CT'!$E$7=TH!H678,OR(N678="331",O678="331")),"x","")</f>
        <v/>
      </c>
      <c r="Q678" s="86" t="str">
        <f>IF(AND($B678&gt;='111'!$N$11,$B678&lt;='111'!$O$11,OR($N678=$Q$7,$O678=$Q$7)),"x","")</f>
        <v/>
      </c>
      <c r="R678" s="86" t="str">
        <f>IF(AND($N678=$Q$7,$B678&lt;'111'!$N$11),"x","")</f>
        <v/>
      </c>
      <c r="S678" s="86" t="str">
        <f>IF(AND($O678=$Q$7,$B678&lt;'111'!$N$11),"x","")</f>
        <v/>
      </c>
      <c r="T678" s="86" t="str">
        <f>IF(AND($B678&gt;='112'!$M$9,$B678&lt;='112'!$N$9,OR($N678='112'!$I$6,$O678='112'!$I$6)),"x","")</f>
        <v/>
      </c>
      <c r="U678" s="86" t="str">
        <f>IF(AND($N678='112'!$I$6,$B678&lt;'112'!$M$9),"x","")</f>
        <v/>
      </c>
      <c r="V678" s="86" t="str">
        <f>IF(AND($O678='112'!$I$6,$B678&lt;'112'!$M$9),"x","")</f>
        <v/>
      </c>
      <c r="W678" s="86" t="str">
        <f>IF(AND('131-CT'!$H$9=TH!H678,OR(N678="131",O678="131")),"x","")</f>
        <v/>
      </c>
      <c r="X678" s="86" t="str">
        <f>IF(AND($B678&gt;='1331'!$I$9,$B678&lt;='1331'!$J$9,OR($N678=$X$7,$O678=$X$7)),"x","")</f>
        <v/>
      </c>
      <c r="Y678" s="86" t="str">
        <f>IF(AND($N678=$X$7,$B678&lt;'1331'!$I$9),"x","")</f>
        <v/>
      </c>
      <c r="Z678" s="86" t="str">
        <f>IF(AND($O678=$X$7,$B678&lt;'1331'!$I$9),"x","")</f>
        <v/>
      </c>
      <c r="AA678" s="86" t="str">
        <f>IF(AND('341-CT'!$H$9=H678,OR(LEFT(N678,3)=$AA$7,LEFT(O678,3)=$AA$7)),"x","")</f>
        <v/>
      </c>
      <c r="AB678" s="86" t="str">
        <f>IF(OR(TH!N678=TH!$AB$7,O678=TH!$AB$7),"x","")</f>
        <v/>
      </c>
      <c r="AC678" s="86" t="str">
        <f t="shared" si="45"/>
        <v/>
      </c>
      <c r="AD678" s="86" t="str">
        <f>IF(AND(MONTH(E678)&lt;='IN-NX'!$P$3,'IN-NX'!$D$7=D678,OR(LEFT(TH!N678,2)="15",LEFT(TH!O678,2)="15")),"x","")</f>
        <v/>
      </c>
      <c r="AE678" s="86" t="str">
        <f>IF(AND(OR(LEFT(TH!N678,2)="15",LEFT(TH!O678,2)="15"),'152-CT'!$J$8=TH!F678),"x","")</f>
        <v/>
      </c>
      <c r="AF678" s="86" t="str">
        <f>IF(AND(OR(LEFT(TH!N678,2)="15",LEFT(TH!O678,2)="15"),'THE KHO'!$E$7=TH!F678),"x","")</f>
        <v/>
      </c>
      <c r="AG678" s="86" t="str">
        <f>IF(AND(N678="1521",MONTH(C678)='BK NL'!$M$11),"x","")</f>
        <v/>
      </c>
    </row>
    <row r="679" spans="1:33" ht="17.25" customHeight="1">
      <c r="A679" s="398" t="str">
        <f>IF(B679&lt;&gt;"",IF(AND(B679&gt;=_TM1,B679&lt;=_TM2,OR(TH!N679="1111",TH!O679="1111")),TH!D679,""),"")</f>
        <v/>
      </c>
      <c r="B679" s="63" t="str">
        <f t="shared" si="46"/>
        <v/>
      </c>
      <c r="C679" s="64"/>
      <c r="D679" s="64"/>
      <c r="E679" s="64"/>
      <c r="F679" s="67"/>
      <c r="G679" s="361"/>
      <c r="H679" s="74"/>
      <c r="I679" s="515"/>
      <c r="J679" s="515"/>
      <c r="K679" s="507"/>
      <c r="L679" s="515"/>
      <c r="M679" s="65"/>
      <c r="N679" s="66"/>
      <c r="O679" s="66"/>
      <c r="P679" s="86" t="str">
        <f>IF(AND('331-CT'!$E$7=TH!H679,OR(N679="331",O679="331")),"x","")</f>
        <v/>
      </c>
      <c r="Q679" s="86" t="str">
        <f>IF(AND($B679&gt;='111'!$N$11,$B679&lt;='111'!$O$11,OR($N679=$Q$7,$O679=$Q$7)),"x","")</f>
        <v/>
      </c>
      <c r="R679" s="86" t="str">
        <f>IF(AND($N679=$Q$7,$B679&lt;'111'!$N$11),"x","")</f>
        <v/>
      </c>
      <c r="S679" s="86" t="str">
        <f>IF(AND($O679=$Q$7,$B679&lt;'111'!$N$11),"x","")</f>
        <v/>
      </c>
      <c r="T679" s="86" t="str">
        <f>IF(AND($B679&gt;='112'!$M$9,$B679&lt;='112'!$N$9,OR($N679='112'!$I$6,$O679='112'!$I$6)),"x","")</f>
        <v/>
      </c>
      <c r="U679" s="86" t="str">
        <f>IF(AND($N679='112'!$I$6,$B679&lt;'112'!$M$9),"x","")</f>
        <v/>
      </c>
      <c r="V679" s="86" t="str">
        <f>IF(AND($O679='112'!$I$6,$B679&lt;'112'!$M$9),"x","")</f>
        <v/>
      </c>
      <c r="W679" s="86" t="str">
        <f>IF(AND('131-CT'!$H$9=TH!H679,OR(N679="131",O679="131")),"x","")</f>
        <v/>
      </c>
      <c r="X679" s="86" t="str">
        <f>IF(AND($B679&gt;='1331'!$I$9,$B679&lt;='1331'!$J$9,OR($N679=$X$7,$O679=$X$7)),"x","")</f>
        <v/>
      </c>
      <c r="Y679" s="86" t="str">
        <f>IF(AND($N679=$X$7,$B679&lt;'1331'!$I$9),"x","")</f>
        <v/>
      </c>
      <c r="Z679" s="86" t="str">
        <f>IF(AND($O679=$X$7,$B679&lt;'1331'!$I$9),"x","")</f>
        <v/>
      </c>
      <c r="AA679" s="86" t="str">
        <f>IF(AND('341-CT'!$H$9=H679,OR(LEFT(N679,3)=$AA$7,LEFT(O679,3)=$AA$7)),"x","")</f>
        <v/>
      </c>
      <c r="AB679" s="86" t="str">
        <f>IF(OR(TH!N679=TH!$AB$7,O679=TH!$AB$7),"x","")</f>
        <v/>
      </c>
      <c r="AC679" s="86" t="str">
        <f t="shared" si="45"/>
        <v/>
      </c>
      <c r="AD679" s="86" t="str">
        <f>IF(AND(MONTH(E679)&lt;='IN-NX'!$P$3,'IN-NX'!$D$7=D679,OR(LEFT(TH!N679,2)="15",LEFT(TH!O679,2)="15")),"x","")</f>
        <v/>
      </c>
      <c r="AE679" s="86" t="str">
        <f>IF(AND(OR(LEFT(TH!N679,2)="15",LEFT(TH!O679,2)="15"),'152-CT'!$J$8=TH!F679),"x","")</f>
        <v/>
      </c>
      <c r="AF679" s="86" t="str">
        <f>IF(AND(OR(LEFT(TH!N679,2)="15",LEFT(TH!O679,2)="15"),'THE KHO'!$E$7=TH!F679),"x","")</f>
        <v/>
      </c>
      <c r="AG679" s="86" t="str">
        <f>IF(AND(N679="1521",MONTH(C679)='BK NL'!$M$11),"x","")</f>
        <v/>
      </c>
    </row>
    <row r="680" spans="1:33" ht="15.75" customHeight="1">
      <c r="A680" s="398" t="str">
        <f>IF(B680&lt;&gt;"",IF(AND(B680&gt;=_TM1,B680&lt;=_TM2,OR(TH!N680="1111",TH!O680="1111")),TH!D680,""),"")</f>
        <v/>
      </c>
      <c r="B680" s="63" t="str">
        <f t="shared" si="46"/>
        <v/>
      </c>
      <c r="C680" s="64"/>
      <c r="D680" s="64"/>
      <c r="E680" s="64"/>
      <c r="F680" s="67"/>
      <c r="G680" s="361"/>
      <c r="H680" s="74"/>
      <c r="I680" s="515"/>
      <c r="J680" s="515"/>
      <c r="K680" s="507"/>
      <c r="L680" s="515"/>
      <c r="M680" s="65"/>
      <c r="N680" s="66"/>
      <c r="O680" s="66"/>
      <c r="P680" s="86" t="str">
        <f>IF(AND('331-CT'!$E$7=TH!H680,OR(N680="331",O680="331")),"x","")</f>
        <v/>
      </c>
      <c r="Q680" s="86" t="str">
        <f>IF(AND($B680&gt;='111'!$N$11,$B680&lt;='111'!$O$11,OR($N680=$Q$7,$O680=$Q$7)),"x","")</f>
        <v/>
      </c>
      <c r="R680" s="86" t="str">
        <f>IF(AND($N680=$Q$7,$B680&lt;'111'!$N$11),"x","")</f>
        <v/>
      </c>
      <c r="S680" s="86" t="str">
        <f>IF(AND($O680=$Q$7,$B680&lt;'111'!$N$11),"x","")</f>
        <v/>
      </c>
      <c r="T680" s="86" t="str">
        <f>IF(AND($B680&gt;='112'!$M$9,$B680&lt;='112'!$N$9,OR($N680='112'!$I$6,$O680='112'!$I$6)),"x","")</f>
        <v/>
      </c>
      <c r="U680" s="86" t="str">
        <f>IF(AND($N680='112'!$I$6,$B680&lt;'112'!$M$9),"x","")</f>
        <v/>
      </c>
      <c r="V680" s="86" t="str">
        <f>IF(AND($O680='112'!$I$6,$B680&lt;'112'!$M$9),"x","")</f>
        <v/>
      </c>
      <c r="W680" s="86" t="str">
        <f>IF(AND('131-CT'!$H$9=TH!H680,OR(N680="131",O680="131")),"x","")</f>
        <v/>
      </c>
      <c r="X680" s="86" t="str">
        <f>IF(AND($B680&gt;='1331'!$I$9,$B680&lt;='1331'!$J$9,OR($N680=$X$7,$O680=$X$7)),"x","")</f>
        <v/>
      </c>
      <c r="Y680" s="86" t="str">
        <f>IF(AND($N680=$X$7,$B680&lt;'1331'!$I$9),"x","")</f>
        <v/>
      </c>
      <c r="Z680" s="86" t="str">
        <f>IF(AND($O680=$X$7,$B680&lt;'1331'!$I$9),"x","")</f>
        <v/>
      </c>
      <c r="AA680" s="86" t="str">
        <f>IF(AND('341-CT'!$H$9=H680,OR(LEFT(N680,3)=$AA$7,LEFT(O680,3)=$AA$7)),"x","")</f>
        <v/>
      </c>
      <c r="AB680" s="86" t="str">
        <f>IF(OR(TH!N680=TH!$AB$7,O680=TH!$AB$7),"x","")</f>
        <v/>
      </c>
      <c r="AC680" s="86" t="str">
        <f t="shared" si="45"/>
        <v/>
      </c>
      <c r="AD680" s="86" t="str">
        <f>IF(AND(MONTH(E680)&lt;='IN-NX'!$P$3,'IN-NX'!$D$7=D680,OR(LEFT(TH!N680,2)="15",LEFT(TH!O680,2)="15")),"x","")</f>
        <v/>
      </c>
      <c r="AE680" s="86" t="str">
        <f>IF(AND(OR(LEFT(TH!N680,2)="15",LEFT(TH!O680,2)="15"),'152-CT'!$J$8=TH!F680),"x","")</f>
        <v/>
      </c>
      <c r="AF680" s="86" t="str">
        <f>IF(AND(OR(LEFT(TH!N680,2)="15",LEFT(TH!O680,2)="15"),'THE KHO'!$E$7=TH!F680),"x","")</f>
        <v/>
      </c>
      <c r="AG680" s="86" t="str">
        <f>IF(AND(N680="1521",MONTH(C680)='BK NL'!$M$11),"x","")</f>
        <v/>
      </c>
    </row>
    <row r="681" spans="1:33" ht="15.75" customHeight="1">
      <c r="A681" s="398" t="str">
        <f>IF(B681&lt;&gt;"",IF(AND(B681&gt;=_TM1,B681&lt;=_TM2,OR(TH!N681="1111",TH!O681="1111")),TH!D681,""),"")</f>
        <v/>
      </c>
      <c r="B681" s="63" t="str">
        <f t="shared" si="46"/>
        <v/>
      </c>
      <c r="C681" s="64"/>
      <c r="D681" s="64"/>
      <c r="E681" s="64"/>
      <c r="F681" s="67"/>
      <c r="G681" s="361"/>
      <c r="H681" s="74"/>
      <c r="I681" s="515"/>
      <c r="J681" s="515"/>
      <c r="K681" s="507"/>
      <c r="L681" s="515"/>
      <c r="M681" s="65"/>
      <c r="N681" s="66"/>
      <c r="O681" s="66"/>
      <c r="P681" s="86" t="str">
        <f>IF(AND('331-CT'!$E$7=TH!H681,OR(N681="331",O681="331")),"x","")</f>
        <v/>
      </c>
      <c r="Q681" s="86" t="str">
        <f>IF(AND($B681&gt;='111'!$N$11,$B681&lt;='111'!$O$11,OR($N681=$Q$7,$O681=$Q$7)),"x","")</f>
        <v/>
      </c>
      <c r="R681" s="86" t="str">
        <f>IF(AND($N681=$Q$7,$B681&lt;'111'!$N$11),"x","")</f>
        <v/>
      </c>
      <c r="S681" s="86" t="str">
        <f>IF(AND($O681=$Q$7,$B681&lt;'111'!$N$11),"x","")</f>
        <v/>
      </c>
      <c r="T681" s="86" t="str">
        <f>IF(AND($B681&gt;='112'!$M$9,$B681&lt;='112'!$N$9,OR($N681='112'!$I$6,$O681='112'!$I$6)),"x","")</f>
        <v/>
      </c>
      <c r="U681" s="86" t="str">
        <f>IF(AND($N681='112'!$I$6,$B681&lt;'112'!$M$9),"x","")</f>
        <v/>
      </c>
      <c r="V681" s="86" t="str">
        <f>IF(AND($O681='112'!$I$6,$B681&lt;'112'!$M$9),"x","")</f>
        <v/>
      </c>
      <c r="W681" s="86" t="str">
        <f>IF(AND('131-CT'!$H$9=TH!H681,OR(N681="131",O681="131")),"x","")</f>
        <v/>
      </c>
      <c r="X681" s="86" t="str">
        <f>IF(AND($B681&gt;='1331'!$I$9,$B681&lt;='1331'!$J$9,OR($N681=$X$7,$O681=$X$7)),"x","")</f>
        <v/>
      </c>
      <c r="Y681" s="86" t="str">
        <f>IF(AND($N681=$X$7,$B681&lt;'1331'!$I$9),"x","")</f>
        <v/>
      </c>
      <c r="Z681" s="86" t="str">
        <f>IF(AND($O681=$X$7,$B681&lt;'1331'!$I$9),"x","")</f>
        <v/>
      </c>
      <c r="AA681" s="86" t="str">
        <f>IF(AND('341-CT'!$H$9=H681,OR(LEFT(N681,3)=$AA$7,LEFT(O681,3)=$AA$7)),"x","")</f>
        <v/>
      </c>
      <c r="AB681" s="86" t="str">
        <f>IF(OR(TH!N681=TH!$AB$7,O681=TH!$AB$7),"x","")</f>
        <v/>
      </c>
      <c r="AC681" s="86" t="str">
        <f t="shared" ref="AC681:AC744" si="47">IF(AND(1&lt;=$B681,$B681&lt;=3),"1",IF(AND(4&lt;=$B681,$B681&lt;=6),"2",IF(AND(7&lt;=$B681,$B681&lt;=9),"3",IF(AND(10&lt;=$B681,$B681&lt;=12),"4",""))))</f>
        <v/>
      </c>
      <c r="AD681" s="86" t="str">
        <f>IF(AND(MONTH(E681)&lt;='IN-NX'!$P$3,'IN-NX'!$D$7=D681,OR(LEFT(TH!N681,2)="15",LEFT(TH!O681,2)="15")),"x","")</f>
        <v/>
      </c>
      <c r="AE681" s="86" t="str">
        <f>IF(AND(OR(LEFT(TH!N681,2)="15",LEFT(TH!O681,2)="15"),'152-CT'!$J$8=TH!F681),"x","")</f>
        <v/>
      </c>
      <c r="AF681" s="86" t="str">
        <f>IF(AND(OR(LEFT(TH!N681,2)="15",LEFT(TH!O681,2)="15"),'THE KHO'!$E$7=TH!F681),"x","")</f>
        <v/>
      </c>
      <c r="AG681" s="86" t="str">
        <f>IF(AND(N681="1521",MONTH(C681)='BK NL'!$M$11),"x","")</f>
        <v/>
      </c>
    </row>
    <row r="682" spans="1:33" ht="15.75" customHeight="1">
      <c r="A682" s="398" t="str">
        <f>IF(B682&lt;&gt;"",IF(AND(B682&gt;=_TM1,B682&lt;=_TM2,OR(TH!N682="1111",TH!O682="1111")),TH!D682,""),"")</f>
        <v/>
      </c>
      <c r="B682" s="63" t="str">
        <f t="shared" si="46"/>
        <v/>
      </c>
      <c r="C682" s="64"/>
      <c r="D682" s="64"/>
      <c r="E682" s="64"/>
      <c r="F682" s="67"/>
      <c r="G682" s="361"/>
      <c r="H682" s="74"/>
      <c r="I682" s="515"/>
      <c r="J682" s="515"/>
      <c r="K682" s="507"/>
      <c r="L682" s="515"/>
      <c r="M682" s="65"/>
      <c r="N682" s="66"/>
      <c r="O682" s="66"/>
      <c r="P682" s="86" t="str">
        <f>IF(AND('331-CT'!$E$7=TH!H682,OR(N682="331",O682="331")),"x","")</f>
        <v/>
      </c>
      <c r="Q682" s="86" t="str">
        <f>IF(AND($B682&gt;='111'!$N$11,$B682&lt;='111'!$O$11,OR($N682=$Q$7,$O682=$Q$7)),"x","")</f>
        <v/>
      </c>
      <c r="R682" s="86" t="str">
        <f>IF(AND($N682=$Q$7,$B682&lt;'111'!$N$11),"x","")</f>
        <v/>
      </c>
      <c r="S682" s="86" t="str">
        <f>IF(AND($O682=$Q$7,$B682&lt;'111'!$N$11),"x","")</f>
        <v/>
      </c>
      <c r="T682" s="86" t="str">
        <f>IF(AND($B682&gt;='112'!$M$9,$B682&lt;='112'!$N$9,OR($N682='112'!$I$6,$O682='112'!$I$6)),"x","")</f>
        <v/>
      </c>
      <c r="U682" s="86" t="str">
        <f>IF(AND($N682='112'!$I$6,$B682&lt;'112'!$M$9),"x","")</f>
        <v/>
      </c>
      <c r="V682" s="86" t="str">
        <f>IF(AND($O682='112'!$I$6,$B682&lt;'112'!$M$9),"x","")</f>
        <v/>
      </c>
      <c r="W682" s="86" t="str">
        <f>IF(AND('131-CT'!$H$9=TH!H682,OR(N682="131",O682="131")),"x","")</f>
        <v/>
      </c>
      <c r="X682" s="86" t="str">
        <f>IF(AND($B682&gt;='1331'!$I$9,$B682&lt;='1331'!$J$9,OR($N682=$X$7,$O682=$X$7)),"x","")</f>
        <v/>
      </c>
      <c r="Y682" s="86" t="str">
        <f>IF(AND($N682=$X$7,$B682&lt;'1331'!$I$9),"x","")</f>
        <v/>
      </c>
      <c r="Z682" s="86" t="str">
        <f>IF(AND($O682=$X$7,$B682&lt;'1331'!$I$9),"x","")</f>
        <v/>
      </c>
      <c r="AA682" s="86" t="str">
        <f>IF(AND('341-CT'!$H$9=H682,OR(LEFT(N682,3)=$AA$7,LEFT(O682,3)=$AA$7)),"x","")</f>
        <v/>
      </c>
      <c r="AB682" s="86" t="str">
        <f>IF(OR(TH!N682=TH!$AB$7,O682=TH!$AB$7),"x","")</f>
        <v/>
      </c>
      <c r="AC682" s="86" t="str">
        <f t="shared" si="47"/>
        <v/>
      </c>
      <c r="AD682" s="86" t="str">
        <f>IF(AND(MONTH(E682)&lt;='IN-NX'!$P$3,'IN-NX'!$D$7=D682,OR(LEFT(TH!N682,2)="15",LEFT(TH!O682,2)="15")),"x","")</f>
        <v/>
      </c>
      <c r="AE682" s="86" t="str">
        <f>IF(AND(OR(LEFT(TH!N682,2)="15",LEFT(TH!O682,2)="15"),'152-CT'!$J$8=TH!F682),"x","")</f>
        <v/>
      </c>
      <c r="AF682" s="86" t="str">
        <f>IF(AND(OR(LEFT(TH!N682,2)="15",LEFT(TH!O682,2)="15"),'THE KHO'!$E$7=TH!F682),"x","")</f>
        <v/>
      </c>
      <c r="AG682" s="86" t="str">
        <f>IF(AND(N682="1521",MONTH(C682)='BK NL'!$M$11),"x","")</f>
        <v/>
      </c>
    </row>
    <row r="683" spans="1:33" ht="15.75" customHeight="1">
      <c r="A683" s="398" t="str">
        <f>IF(B683&lt;&gt;"",IF(AND(B683&gt;=_TM1,B683&lt;=_TM2,OR(TH!N683="1111",TH!O683="1111")),TH!D683,""),"")</f>
        <v/>
      </c>
      <c r="B683" s="63" t="str">
        <f t="shared" si="46"/>
        <v/>
      </c>
      <c r="C683" s="64"/>
      <c r="D683" s="64"/>
      <c r="E683" s="64"/>
      <c r="F683" s="67"/>
      <c r="G683" s="375"/>
      <c r="H683" s="74"/>
      <c r="I683" s="515"/>
      <c r="J683" s="515"/>
      <c r="K683" s="507"/>
      <c r="L683" s="515"/>
      <c r="M683" s="65"/>
      <c r="N683" s="66"/>
      <c r="O683" s="66"/>
      <c r="P683" s="86" t="str">
        <f>IF(AND('331-CT'!$E$7=TH!H683,OR(N683="331",O683="331")),"x","")</f>
        <v/>
      </c>
      <c r="Q683" s="86" t="str">
        <f>IF(AND($B683&gt;='111'!$N$11,$B683&lt;='111'!$O$11,OR($N683=$Q$7,$O683=$Q$7)),"x","")</f>
        <v/>
      </c>
      <c r="R683" s="86" t="str">
        <f>IF(AND($N683=$Q$7,$B683&lt;'111'!$N$11),"x","")</f>
        <v/>
      </c>
      <c r="S683" s="86" t="str">
        <f>IF(AND($O683=$Q$7,$B683&lt;'111'!$N$11),"x","")</f>
        <v/>
      </c>
      <c r="T683" s="86" t="str">
        <f>IF(AND($B683&gt;='112'!$M$9,$B683&lt;='112'!$N$9,OR($N683='112'!$I$6,$O683='112'!$I$6)),"x","")</f>
        <v/>
      </c>
      <c r="U683" s="86" t="str">
        <f>IF(AND($N683='112'!$I$6,$B683&lt;'112'!$M$9),"x","")</f>
        <v/>
      </c>
      <c r="V683" s="86" t="str">
        <f>IF(AND($O683='112'!$I$6,$B683&lt;'112'!$M$9),"x","")</f>
        <v/>
      </c>
      <c r="W683" s="86" t="str">
        <f>IF(AND('131-CT'!$H$9=TH!H683,OR(N683="131",O683="131")),"x","")</f>
        <v/>
      </c>
      <c r="X683" s="86" t="str">
        <f>IF(AND($B683&gt;='1331'!$I$9,$B683&lt;='1331'!$J$9,OR($N683=$X$7,$O683=$X$7)),"x","")</f>
        <v/>
      </c>
      <c r="Y683" s="86" t="str">
        <f>IF(AND($N683=$X$7,$B683&lt;'1331'!$I$9),"x","")</f>
        <v/>
      </c>
      <c r="Z683" s="86" t="str">
        <f>IF(AND($O683=$X$7,$B683&lt;'1331'!$I$9),"x","")</f>
        <v/>
      </c>
      <c r="AA683" s="86" t="str">
        <f>IF(AND('341-CT'!$H$9=H683,OR(LEFT(N683,3)=$AA$7,LEFT(O683,3)=$AA$7)),"x","")</f>
        <v/>
      </c>
      <c r="AB683" s="86" t="str">
        <f>IF(OR(TH!N683=TH!$AB$7,O683=TH!$AB$7),"x","")</f>
        <v/>
      </c>
      <c r="AC683" s="86" t="str">
        <f t="shared" si="47"/>
        <v/>
      </c>
      <c r="AD683" s="86" t="str">
        <f>IF(AND(MONTH(E683)&lt;='IN-NX'!$P$3,'IN-NX'!$D$7=D683,OR(LEFT(TH!N683,2)="15",LEFT(TH!O683,2)="15")),"x","")</f>
        <v/>
      </c>
      <c r="AE683" s="86" t="str">
        <f>IF(AND(OR(LEFT(TH!N683,2)="15",LEFT(TH!O683,2)="15"),'152-CT'!$J$8=TH!F683),"x","")</f>
        <v/>
      </c>
      <c r="AF683" s="86" t="str">
        <f>IF(AND(OR(LEFT(TH!N683,2)="15",LEFT(TH!O683,2)="15"),'THE KHO'!$E$7=TH!F683),"x","")</f>
        <v/>
      </c>
      <c r="AG683" s="86" t="str">
        <f>IF(AND(N683="1521",MONTH(C683)='BK NL'!$M$11),"x","")</f>
        <v/>
      </c>
    </row>
    <row r="684" spans="1:33" ht="15.75" customHeight="1">
      <c r="A684" s="398" t="str">
        <f>IF(B684&lt;&gt;"",IF(AND(B684&gt;=_TM1,B684&lt;=_TM2,OR(TH!N684="1111",TH!O684="1111")),TH!D684,""),"")</f>
        <v/>
      </c>
      <c r="B684" s="63" t="str">
        <f t="shared" si="46"/>
        <v/>
      </c>
      <c r="C684" s="64"/>
      <c r="D684" s="64"/>
      <c r="E684" s="64"/>
      <c r="F684" s="67"/>
      <c r="G684" s="375"/>
      <c r="H684" s="74"/>
      <c r="I684" s="515"/>
      <c r="J684" s="515"/>
      <c r="K684" s="507"/>
      <c r="L684" s="515"/>
      <c r="M684" s="65"/>
      <c r="N684" s="66"/>
      <c r="O684" s="66"/>
      <c r="P684" s="86" t="str">
        <f>IF(AND('331-CT'!$E$7=TH!H684,OR(N684="331",O684="331")),"x","")</f>
        <v/>
      </c>
      <c r="Q684" s="86" t="str">
        <f>IF(AND($B684&gt;='111'!$N$11,$B684&lt;='111'!$O$11,OR($N684=$Q$7,$O684=$Q$7)),"x","")</f>
        <v/>
      </c>
      <c r="R684" s="86" t="str">
        <f>IF(AND($N684=$Q$7,$B684&lt;'111'!$N$11),"x","")</f>
        <v/>
      </c>
      <c r="S684" s="86" t="str">
        <f>IF(AND($O684=$Q$7,$B684&lt;'111'!$N$11),"x","")</f>
        <v/>
      </c>
      <c r="T684" s="86" t="str">
        <f>IF(AND($B684&gt;='112'!$M$9,$B684&lt;='112'!$N$9,OR($N684='112'!$I$6,$O684='112'!$I$6)),"x","")</f>
        <v/>
      </c>
      <c r="U684" s="86" t="str">
        <f>IF(AND($N684='112'!$I$6,$B684&lt;'112'!$M$9),"x","")</f>
        <v/>
      </c>
      <c r="V684" s="86" t="str">
        <f>IF(AND($O684='112'!$I$6,$B684&lt;'112'!$M$9),"x","")</f>
        <v/>
      </c>
      <c r="W684" s="86" t="str">
        <f>IF(AND('131-CT'!$H$9=TH!H684,OR(N684="131",O684="131")),"x","")</f>
        <v/>
      </c>
      <c r="X684" s="86" t="str">
        <f>IF(AND($B684&gt;='1331'!$I$9,$B684&lt;='1331'!$J$9,OR($N684=$X$7,$O684=$X$7)),"x","")</f>
        <v/>
      </c>
      <c r="Y684" s="86" t="str">
        <f>IF(AND($N684=$X$7,$B684&lt;'1331'!$I$9),"x","")</f>
        <v/>
      </c>
      <c r="Z684" s="86" t="str">
        <f>IF(AND($O684=$X$7,$B684&lt;'1331'!$I$9),"x","")</f>
        <v/>
      </c>
      <c r="AA684" s="86" t="str">
        <f>IF(AND('341-CT'!$H$9=H684,OR(LEFT(N684,3)=$AA$7,LEFT(O684,3)=$AA$7)),"x","")</f>
        <v/>
      </c>
      <c r="AB684" s="86" t="str">
        <f>IF(OR(TH!N684=TH!$AB$7,O684=TH!$AB$7),"x","")</f>
        <v/>
      </c>
      <c r="AC684" s="86" t="str">
        <f t="shared" si="47"/>
        <v/>
      </c>
      <c r="AD684" s="86" t="str">
        <f>IF(AND(MONTH(E684)&lt;='IN-NX'!$P$3,'IN-NX'!$D$7=D684,OR(LEFT(TH!N684,2)="15",LEFT(TH!O684,2)="15")),"x","")</f>
        <v/>
      </c>
      <c r="AE684" s="86" t="str">
        <f>IF(AND(OR(LEFT(TH!N684,2)="15",LEFT(TH!O684,2)="15"),'152-CT'!$J$8=TH!F684),"x","")</f>
        <v/>
      </c>
      <c r="AF684" s="86" t="str">
        <f>IF(AND(OR(LEFT(TH!N684,2)="15",LEFT(TH!O684,2)="15"),'THE KHO'!$E$7=TH!F684),"x","")</f>
        <v/>
      </c>
      <c r="AG684" s="86" t="str">
        <f>IF(AND(N684="1521",MONTH(C684)='BK NL'!$M$11),"x","")</f>
        <v/>
      </c>
    </row>
    <row r="685" spans="1:33" ht="15.75" customHeight="1">
      <c r="A685" s="398" t="str">
        <f>IF(B685&lt;&gt;"",IF(AND(B685&gt;=_TM1,B685&lt;=_TM2,OR(TH!N685="1111",TH!O685="1111")),TH!D685,""),"")</f>
        <v/>
      </c>
      <c r="B685" s="63" t="str">
        <f t="shared" si="46"/>
        <v/>
      </c>
      <c r="C685" s="64"/>
      <c r="D685" s="64"/>
      <c r="E685" s="64"/>
      <c r="F685" s="67"/>
      <c r="G685" s="375"/>
      <c r="H685" s="74"/>
      <c r="I685" s="515"/>
      <c r="J685" s="515"/>
      <c r="K685" s="507"/>
      <c r="L685" s="515"/>
      <c r="M685" s="65"/>
      <c r="N685" s="66"/>
      <c r="O685" s="66"/>
      <c r="P685" s="86" t="str">
        <f>IF(AND('331-CT'!$E$7=TH!H685,OR(N685="331",O685="331")),"x","")</f>
        <v/>
      </c>
      <c r="Q685" s="86" t="str">
        <f>IF(AND($B685&gt;='111'!$N$11,$B685&lt;='111'!$O$11,OR($N685=$Q$7,$O685=$Q$7)),"x","")</f>
        <v/>
      </c>
      <c r="R685" s="86" t="str">
        <f>IF(AND($N685=$Q$7,$B685&lt;'111'!$N$11),"x","")</f>
        <v/>
      </c>
      <c r="S685" s="86" t="str">
        <f>IF(AND($O685=$Q$7,$B685&lt;'111'!$N$11),"x","")</f>
        <v/>
      </c>
      <c r="T685" s="86" t="str">
        <f>IF(AND($B685&gt;='112'!$M$9,$B685&lt;='112'!$N$9,OR($N685='112'!$I$6,$O685='112'!$I$6)),"x","")</f>
        <v/>
      </c>
      <c r="U685" s="86" t="str">
        <f>IF(AND($N685='112'!$I$6,$B685&lt;'112'!$M$9),"x","")</f>
        <v/>
      </c>
      <c r="V685" s="86" t="str">
        <f>IF(AND($O685='112'!$I$6,$B685&lt;'112'!$M$9),"x","")</f>
        <v/>
      </c>
      <c r="W685" s="86" t="str">
        <f>IF(AND('131-CT'!$H$9=TH!H685,OR(N685="131",O685="131")),"x","")</f>
        <v/>
      </c>
      <c r="X685" s="86" t="str">
        <f>IF(AND($B685&gt;='1331'!$I$9,$B685&lt;='1331'!$J$9,OR($N685=$X$7,$O685=$X$7)),"x","")</f>
        <v/>
      </c>
      <c r="Y685" s="86" t="str">
        <f>IF(AND($N685=$X$7,$B685&lt;'1331'!$I$9),"x","")</f>
        <v/>
      </c>
      <c r="Z685" s="86" t="str">
        <f>IF(AND($O685=$X$7,$B685&lt;'1331'!$I$9),"x","")</f>
        <v/>
      </c>
      <c r="AA685" s="86" t="str">
        <f>IF(AND('341-CT'!$H$9=H685,OR(LEFT(N685,3)=$AA$7,LEFT(O685,3)=$AA$7)),"x","")</f>
        <v/>
      </c>
      <c r="AB685" s="86" t="str">
        <f>IF(OR(TH!N685=TH!$AB$7,O685=TH!$AB$7),"x","")</f>
        <v/>
      </c>
      <c r="AC685" s="86" t="str">
        <f t="shared" si="47"/>
        <v/>
      </c>
      <c r="AD685" s="86" t="str">
        <f>IF(AND(MONTH(E685)&lt;='IN-NX'!$P$3,'IN-NX'!$D$7=D685,OR(LEFT(TH!N685,2)="15",LEFT(TH!O685,2)="15")),"x","")</f>
        <v/>
      </c>
      <c r="AE685" s="86" t="str">
        <f>IF(AND(OR(LEFT(TH!N685,2)="15",LEFT(TH!O685,2)="15"),'152-CT'!$J$8=TH!F685),"x","")</f>
        <v/>
      </c>
      <c r="AF685" s="86" t="str">
        <f>IF(AND(OR(LEFT(TH!N685,2)="15",LEFT(TH!O685,2)="15"),'THE KHO'!$E$7=TH!F685),"x","")</f>
        <v/>
      </c>
      <c r="AG685" s="86" t="str">
        <f>IF(AND(N685="1521",MONTH(C685)='BK NL'!$M$11),"x","")</f>
        <v/>
      </c>
    </row>
    <row r="686" spans="1:33" ht="15.75" customHeight="1">
      <c r="A686" s="398" t="str">
        <f>IF(B686&lt;&gt;"",IF(AND(B686&gt;=_TM1,B686&lt;=_TM2,OR(TH!N686="1111",TH!O686="1111")),TH!D686,""),"")</f>
        <v/>
      </c>
      <c r="B686" s="63" t="str">
        <f t="shared" si="46"/>
        <v/>
      </c>
      <c r="C686" s="64"/>
      <c r="D686" s="64"/>
      <c r="E686" s="64"/>
      <c r="F686" s="67"/>
      <c r="G686" s="375"/>
      <c r="H686" s="74"/>
      <c r="I686" s="515"/>
      <c r="J686" s="515"/>
      <c r="K686" s="507"/>
      <c r="L686" s="515"/>
      <c r="M686" s="65"/>
      <c r="N686" s="386"/>
      <c r="O686" s="66"/>
      <c r="P686" s="86" t="str">
        <f>IF(AND('331-CT'!$E$7=TH!H686,OR(N686="331",O686="331")),"x","")</f>
        <v/>
      </c>
      <c r="Q686" s="86" t="str">
        <f>IF(AND($B686&gt;='111'!$N$11,$B686&lt;='111'!$O$11,OR($N686=$Q$7,$O686=$Q$7)),"x","")</f>
        <v/>
      </c>
      <c r="R686" s="86" t="str">
        <f>IF(AND($N686=$Q$7,$B686&lt;'111'!$N$11),"x","")</f>
        <v/>
      </c>
      <c r="S686" s="86" t="str">
        <f>IF(AND($O686=$Q$7,$B686&lt;'111'!$N$11),"x","")</f>
        <v/>
      </c>
      <c r="T686" s="86" t="str">
        <f>IF(AND($B686&gt;='112'!$M$9,$B686&lt;='112'!$N$9,OR($N686='112'!$I$6,$O686='112'!$I$6)),"x","")</f>
        <v/>
      </c>
      <c r="U686" s="86" t="str">
        <f>IF(AND($N686='112'!$I$6,$B686&lt;'112'!$M$9),"x","")</f>
        <v/>
      </c>
      <c r="V686" s="86" t="str">
        <f>IF(AND($O686='112'!$I$6,$B686&lt;'112'!$M$9),"x","")</f>
        <v/>
      </c>
      <c r="W686" s="86" t="str">
        <f>IF(AND('131-CT'!$H$9=TH!H686,OR(N686="131",O686="131")),"x","")</f>
        <v/>
      </c>
      <c r="X686" s="86" t="str">
        <f>IF(AND($B686&gt;='1331'!$I$9,$B686&lt;='1331'!$J$9,OR($N686=$X$7,$O686=$X$7)),"x","")</f>
        <v/>
      </c>
      <c r="Y686" s="86" t="str">
        <f>IF(AND($N686=$X$7,$B686&lt;'1331'!$I$9),"x","")</f>
        <v/>
      </c>
      <c r="Z686" s="86" t="str">
        <f>IF(AND($O686=$X$7,$B686&lt;'1331'!$I$9),"x","")</f>
        <v/>
      </c>
      <c r="AA686" s="86" t="str">
        <f>IF(AND('341-CT'!$H$9=H686,OR(LEFT(N686,3)=$AA$7,LEFT(O686,3)=$AA$7)),"x","")</f>
        <v/>
      </c>
      <c r="AB686" s="86" t="str">
        <f>IF(OR(TH!N686=TH!$AB$7,O686=TH!$AB$7),"x","")</f>
        <v/>
      </c>
      <c r="AC686" s="86" t="str">
        <f t="shared" si="47"/>
        <v/>
      </c>
      <c r="AD686" s="86" t="str">
        <f>IF(AND(MONTH(E686)&lt;='IN-NX'!$P$3,'IN-NX'!$D$7=D686,OR(LEFT(TH!N686,2)="15",LEFT(TH!O686,2)="15")),"x","")</f>
        <v/>
      </c>
      <c r="AE686" s="86" t="str">
        <f>IF(AND(OR(LEFT(TH!N686,2)="15",LEFT(TH!O686,2)="15"),'152-CT'!$J$8=TH!F686),"x","")</f>
        <v/>
      </c>
      <c r="AF686" s="86" t="str">
        <f>IF(AND(OR(LEFT(TH!N686,2)="15",LEFT(TH!O686,2)="15"),'THE KHO'!$E$7=TH!F686),"x","")</f>
        <v/>
      </c>
      <c r="AG686" s="86" t="str">
        <f>IF(AND(N686="1521",MONTH(C686)='BK NL'!$M$11),"x","")</f>
        <v/>
      </c>
    </row>
    <row r="687" spans="1:33" ht="15.75" customHeight="1">
      <c r="A687" s="398" t="str">
        <f>IF(B687&lt;&gt;"",IF(AND(B687&gt;=_TM1,B687&lt;=_TM2,OR(TH!N687="1111",TH!O687="1111")),TH!D687,""),"")</f>
        <v/>
      </c>
      <c r="B687" s="63" t="str">
        <f t="shared" si="46"/>
        <v/>
      </c>
      <c r="C687" s="82"/>
      <c r="D687" s="82"/>
      <c r="E687" s="64"/>
      <c r="F687" s="83"/>
      <c r="G687" s="377"/>
      <c r="H687" s="366"/>
      <c r="I687" s="513"/>
      <c r="J687" s="513"/>
      <c r="K687" s="505"/>
      <c r="L687" s="513"/>
      <c r="M687" s="85"/>
      <c r="N687" s="86"/>
      <c r="O687" s="86"/>
      <c r="P687" s="86" t="str">
        <f>IF(AND('331-CT'!$E$7=TH!H687,OR(N687="331",O687="331")),"x","")</f>
        <v/>
      </c>
      <c r="Q687" s="86" t="str">
        <f>IF(AND($B687&gt;='111'!$N$11,$B687&lt;='111'!$O$11,OR($N687=$Q$7,$O687=$Q$7)),"x","")</f>
        <v/>
      </c>
      <c r="R687" s="86" t="str">
        <f>IF(AND($N687=$Q$7,$B687&lt;'111'!$N$11),"x","")</f>
        <v/>
      </c>
      <c r="S687" s="86" t="str">
        <f>IF(AND($O687=$Q$7,$B687&lt;'111'!$N$11),"x","")</f>
        <v/>
      </c>
      <c r="T687" s="86" t="str">
        <f>IF(AND($B687&gt;='112'!$M$9,$B687&lt;='112'!$N$9,OR($N687='112'!$I$6,$O687='112'!$I$6)),"x","")</f>
        <v/>
      </c>
      <c r="U687" s="86" t="str">
        <f>IF(AND($N687='112'!$I$6,$B687&lt;'112'!$M$9),"x","")</f>
        <v/>
      </c>
      <c r="V687" s="86" t="str">
        <f>IF(AND($O687='112'!$I$6,$B687&lt;'112'!$M$9),"x","")</f>
        <v/>
      </c>
      <c r="W687" s="86" t="str">
        <f>IF(AND('131-CT'!$H$9=TH!H687,OR(N687="131",O687="131")),"x","")</f>
        <v/>
      </c>
      <c r="X687" s="86" t="str">
        <f>IF(AND($B687&gt;='1331'!$I$9,$B687&lt;='1331'!$J$9,OR($N687=$X$7,$O687=$X$7)),"x","")</f>
        <v/>
      </c>
      <c r="Y687" s="86" t="str">
        <f>IF(AND($N687=$X$7,$B687&lt;'1331'!$I$9),"x","")</f>
        <v/>
      </c>
      <c r="Z687" s="86" t="str">
        <f>IF(AND($O687=$X$7,$B687&lt;'1331'!$I$9),"x","")</f>
        <v/>
      </c>
      <c r="AA687" s="86" t="str">
        <f>IF(AND('341-CT'!$H$9=H687,OR(LEFT(N687,3)=$AA$7,LEFT(O687,3)=$AA$7)),"x","")</f>
        <v/>
      </c>
      <c r="AB687" s="86" t="str">
        <f>IF(OR(TH!N687=TH!$AB$7,O687=TH!$AB$7),"x","")</f>
        <v/>
      </c>
      <c r="AC687" s="86" t="str">
        <f t="shared" si="47"/>
        <v/>
      </c>
      <c r="AD687" s="86" t="str">
        <f>IF(AND(MONTH(E687)&lt;='IN-NX'!$P$3,'IN-NX'!$D$7=D687,OR(LEFT(TH!N687,2)="15",LEFT(TH!O687,2)="15")),"x","")</f>
        <v/>
      </c>
      <c r="AE687" s="86" t="str">
        <f>IF(AND(OR(LEFT(TH!N687,2)="15",LEFT(TH!O687,2)="15"),'152-CT'!$J$8=TH!F687),"x","")</f>
        <v/>
      </c>
      <c r="AF687" s="86" t="str">
        <f>IF(AND(OR(LEFT(TH!N687,2)="15",LEFT(TH!O687,2)="15"),'THE KHO'!$E$7=TH!F687),"x","")</f>
        <v/>
      </c>
      <c r="AG687" s="86" t="str">
        <f>IF(AND(N687="1521",MONTH(C687)='BK NL'!$M$11),"x","")</f>
        <v/>
      </c>
    </row>
    <row r="688" spans="1:33" ht="15.75" customHeight="1">
      <c r="A688" s="398" t="str">
        <f>IF(B688&lt;&gt;"",IF(AND(B688&gt;=_TM1,B688&lt;=_TM2,OR(TH!N688="1111",TH!O688="1111")),TH!D688,""),"")</f>
        <v/>
      </c>
      <c r="B688" s="63" t="str">
        <f t="shared" si="46"/>
        <v/>
      </c>
      <c r="C688" s="64"/>
      <c r="D688" s="64"/>
      <c r="E688" s="64"/>
      <c r="F688" s="67"/>
      <c r="G688" s="375"/>
      <c r="H688" s="74"/>
      <c r="I688" s="515"/>
      <c r="J688" s="515"/>
      <c r="K688" s="507"/>
      <c r="L688" s="515"/>
      <c r="M688" s="65"/>
      <c r="N688" s="66"/>
      <c r="O688" s="66"/>
      <c r="P688" s="86" t="str">
        <f>IF(AND('331-CT'!$E$7=TH!H688,OR(N688="331",O688="331")),"x","")</f>
        <v/>
      </c>
      <c r="Q688" s="86" t="str">
        <f>IF(AND($B688&gt;='111'!$N$11,$B688&lt;='111'!$O$11,OR($N688=$Q$7,$O688=$Q$7)),"x","")</f>
        <v/>
      </c>
      <c r="R688" s="86" t="str">
        <f>IF(AND($N688=$Q$7,$B688&lt;'111'!$N$11),"x","")</f>
        <v/>
      </c>
      <c r="S688" s="86" t="str">
        <f>IF(AND($O688=$Q$7,$B688&lt;'111'!$N$11),"x","")</f>
        <v/>
      </c>
      <c r="T688" s="86" t="str">
        <f>IF(AND($B688&gt;='112'!$M$9,$B688&lt;='112'!$N$9,OR($N688='112'!$I$6,$O688='112'!$I$6)),"x","")</f>
        <v/>
      </c>
      <c r="U688" s="86" t="str">
        <f>IF(AND($N688='112'!$I$6,$B688&lt;'112'!$M$9),"x","")</f>
        <v/>
      </c>
      <c r="V688" s="86" t="str">
        <f>IF(AND($O688='112'!$I$6,$B688&lt;'112'!$M$9),"x","")</f>
        <v/>
      </c>
      <c r="W688" s="86" t="str">
        <f>IF(AND('131-CT'!$H$9=TH!H688,OR(N688="131",O688="131")),"x","")</f>
        <v/>
      </c>
      <c r="X688" s="86" t="str">
        <f>IF(AND($B688&gt;='1331'!$I$9,$B688&lt;='1331'!$J$9,OR($N688=$X$7,$O688=$X$7)),"x","")</f>
        <v/>
      </c>
      <c r="Y688" s="86" t="str">
        <f>IF(AND($N688=$X$7,$B688&lt;'1331'!$I$9),"x","")</f>
        <v/>
      </c>
      <c r="Z688" s="86" t="str">
        <f>IF(AND($O688=$X$7,$B688&lt;'1331'!$I$9),"x","")</f>
        <v/>
      </c>
      <c r="AA688" s="86" t="str">
        <f>IF(AND('341-CT'!$H$9=H688,OR(LEFT(N688,3)=$AA$7,LEFT(O688,3)=$AA$7)),"x","")</f>
        <v/>
      </c>
      <c r="AB688" s="86" t="str">
        <f>IF(OR(TH!N688=TH!$AB$7,O688=TH!$AB$7),"x","")</f>
        <v/>
      </c>
      <c r="AC688" s="86" t="str">
        <f t="shared" si="47"/>
        <v/>
      </c>
      <c r="AD688" s="86" t="str">
        <f>IF(AND(MONTH(E688)&lt;='IN-NX'!$P$3,'IN-NX'!$D$7=D688,OR(LEFT(TH!N688,2)="15",LEFT(TH!O688,2)="15")),"x","")</f>
        <v/>
      </c>
      <c r="AE688" s="86" t="str">
        <f>IF(AND(OR(LEFT(TH!N688,2)="15",LEFT(TH!O688,2)="15"),'152-CT'!$J$8=TH!F688),"x","")</f>
        <v/>
      </c>
      <c r="AF688" s="86" t="str">
        <f>IF(AND(OR(LEFT(TH!N688,2)="15",LEFT(TH!O688,2)="15"),'THE KHO'!$E$7=TH!F688),"x","")</f>
        <v/>
      </c>
      <c r="AG688" s="86" t="str">
        <f>IF(AND(N688="1521",MONTH(C688)='BK NL'!$M$11),"x","")</f>
        <v/>
      </c>
    </row>
    <row r="689" spans="1:33" ht="15.75" customHeight="1">
      <c r="A689" s="398" t="str">
        <f>IF(B689&lt;&gt;"",IF(AND(B689&gt;=_TM1,B689&lt;=_TM2,OR(TH!N689="1111",TH!O689="1111")),TH!D689,""),"")</f>
        <v/>
      </c>
      <c r="B689" s="63" t="str">
        <f t="shared" si="46"/>
        <v/>
      </c>
      <c r="C689" s="64"/>
      <c r="D689" s="64"/>
      <c r="E689" s="64"/>
      <c r="F689" s="67"/>
      <c r="G689" s="375"/>
      <c r="H689" s="74"/>
      <c r="I689" s="515"/>
      <c r="J689" s="515"/>
      <c r="K689" s="507"/>
      <c r="L689" s="515"/>
      <c r="M689" s="65"/>
      <c r="N689" s="66"/>
      <c r="O689" s="66"/>
      <c r="P689" s="86" t="str">
        <f>IF(AND('331-CT'!$E$7=TH!H689,OR(N689="331",O689="331")),"x","")</f>
        <v/>
      </c>
      <c r="Q689" s="86" t="str">
        <f>IF(AND($B689&gt;='111'!$N$11,$B689&lt;='111'!$O$11,OR($N689=$Q$7,$O689=$Q$7)),"x","")</f>
        <v/>
      </c>
      <c r="R689" s="86" t="str">
        <f>IF(AND($N689=$Q$7,$B689&lt;'111'!$N$11),"x","")</f>
        <v/>
      </c>
      <c r="S689" s="86" t="str">
        <f>IF(AND($O689=$Q$7,$B689&lt;'111'!$N$11),"x","")</f>
        <v/>
      </c>
      <c r="T689" s="86" t="str">
        <f>IF(AND($B689&gt;='112'!$M$9,$B689&lt;='112'!$N$9,OR($N689='112'!$I$6,$O689='112'!$I$6)),"x","")</f>
        <v/>
      </c>
      <c r="U689" s="86" t="str">
        <f>IF(AND($N689='112'!$I$6,$B689&lt;'112'!$M$9),"x","")</f>
        <v/>
      </c>
      <c r="V689" s="86" t="str">
        <f>IF(AND($O689='112'!$I$6,$B689&lt;'112'!$M$9),"x","")</f>
        <v/>
      </c>
      <c r="W689" s="86" t="str">
        <f>IF(AND('131-CT'!$H$9=TH!H689,OR(N689="131",O689="131")),"x","")</f>
        <v/>
      </c>
      <c r="X689" s="86" t="str">
        <f>IF(AND($B689&gt;='1331'!$I$9,$B689&lt;='1331'!$J$9,OR($N689=$X$7,$O689=$X$7)),"x","")</f>
        <v/>
      </c>
      <c r="Y689" s="86" t="str">
        <f>IF(AND($N689=$X$7,$B689&lt;'1331'!$I$9),"x","")</f>
        <v/>
      </c>
      <c r="Z689" s="86" t="str">
        <f>IF(AND($O689=$X$7,$B689&lt;'1331'!$I$9),"x","")</f>
        <v/>
      </c>
      <c r="AA689" s="86" t="str">
        <f>IF(AND('341-CT'!$H$9=H689,OR(LEFT(N689,3)=$AA$7,LEFT(O689,3)=$AA$7)),"x","")</f>
        <v/>
      </c>
      <c r="AB689" s="86" t="str">
        <f>IF(OR(TH!N689=TH!$AB$7,O689=TH!$AB$7),"x","")</f>
        <v/>
      </c>
      <c r="AC689" s="86" t="str">
        <f t="shared" si="47"/>
        <v/>
      </c>
      <c r="AD689" s="86" t="str">
        <f>IF(AND(MONTH(E689)&lt;='IN-NX'!$P$3,'IN-NX'!$D$7=D689,OR(LEFT(TH!N689,2)="15",LEFT(TH!O689,2)="15")),"x","")</f>
        <v/>
      </c>
      <c r="AE689" s="86" t="str">
        <f>IF(AND(OR(LEFT(TH!N689,2)="15",LEFT(TH!O689,2)="15"),'152-CT'!$J$8=TH!F689),"x","")</f>
        <v/>
      </c>
      <c r="AF689" s="86" t="str">
        <f>IF(AND(OR(LEFT(TH!N689,2)="15",LEFT(TH!O689,2)="15"),'THE KHO'!$E$7=TH!F689),"x","")</f>
        <v/>
      </c>
      <c r="AG689" s="86" t="str">
        <f>IF(AND(N689="1521",MONTH(C689)='BK NL'!$M$11),"x","")</f>
        <v/>
      </c>
    </row>
    <row r="690" spans="1:33" ht="15.75" customHeight="1">
      <c r="A690" s="398" t="str">
        <f>IF(B690&lt;&gt;"",IF(AND(B690&gt;=_TM1,B690&lt;=_TM2,OR(TH!N690="1111",TH!O690="1111")),TH!D690,""),"")</f>
        <v/>
      </c>
      <c r="B690" s="63" t="str">
        <f t="shared" si="46"/>
        <v/>
      </c>
      <c r="C690" s="64"/>
      <c r="D690" s="64"/>
      <c r="E690" s="64"/>
      <c r="F690" s="67"/>
      <c r="G690" s="375"/>
      <c r="H690" s="74"/>
      <c r="I690" s="515"/>
      <c r="J690" s="515"/>
      <c r="K690" s="507"/>
      <c r="L690" s="515"/>
      <c r="M690" s="65"/>
      <c r="N690" s="66"/>
      <c r="O690" s="66"/>
      <c r="P690" s="86" t="str">
        <f>IF(AND('331-CT'!$E$7=TH!H690,OR(N690="331",O690="331")),"x","")</f>
        <v/>
      </c>
      <c r="Q690" s="86" t="str">
        <f>IF(AND($B690&gt;='111'!$N$11,$B690&lt;='111'!$O$11,OR($N690=$Q$7,$O690=$Q$7)),"x","")</f>
        <v/>
      </c>
      <c r="R690" s="86" t="str">
        <f>IF(AND($N690=$Q$7,$B690&lt;'111'!$N$11),"x","")</f>
        <v/>
      </c>
      <c r="S690" s="86" t="str">
        <f>IF(AND($O690=$Q$7,$B690&lt;'111'!$N$11),"x","")</f>
        <v/>
      </c>
      <c r="T690" s="86" t="str">
        <f>IF(AND($B690&gt;='112'!$M$9,$B690&lt;='112'!$N$9,OR($N690='112'!$I$6,$O690='112'!$I$6)),"x","")</f>
        <v/>
      </c>
      <c r="U690" s="86" t="str">
        <f>IF(AND($N690='112'!$I$6,$B690&lt;'112'!$M$9),"x","")</f>
        <v/>
      </c>
      <c r="V690" s="86" t="str">
        <f>IF(AND($O690='112'!$I$6,$B690&lt;'112'!$M$9),"x","")</f>
        <v/>
      </c>
      <c r="W690" s="86" t="str">
        <f>IF(AND('131-CT'!$H$9=TH!H690,OR(N690="131",O690="131")),"x","")</f>
        <v/>
      </c>
      <c r="X690" s="86" t="str">
        <f>IF(AND($B690&gt;='1331'!$I$9,$B690&lt;='1331'!$J$9,OR($N690=$X$7,$O690=$X$7)),"x","")</f>
        <v/>
      </c>
      <c r="Y690" s="86" t="str">
        <f>IF(AND($N690=$X$7,$B690&lt;'1331'!$I$9),"x","")</f>
        <v/>
      </c>
      <c r="Z690" s="86" t="str">
        <f>IF(AND($O690=$X$7,$B690&lt;'1331'!$I$9),"x","")</f>
        <v/>
      </c>
      <c r="AA690" s="86" t="str">
        <f>IF(AND('341-CT'!$H$9=H690,OR(LEFT(N690,3)=$AA$7,LEFT(O690,3)=$AA$7)),"x","")</f>
        <v/>
      </c>
      <c r="AB690" s="86" t="str">
        <f>IF(OR(TH!N690=TH!$AB$7,O690=TH!$AB$7),"x","")</f>
        <v/>
      </c>
      <c r="AC690" s="86" t="str">
        <f t="shared" si="47"/>
        <v/>
      </c>
      <c r="AD690" s="86" t="str">
        <f>IF(AND(MONTH(E690)&lt;='IN-NX'!$P$3,'IN-NX'!$D$7=D690,OR(LEFT(TH!N690,2)="15",LEFT(TH!O690,2)="15")),"x","")</f>
        <v/>
      </c>
      <c r="AE690" s="86" t="str">
        <f>IF(AND(OR(LEFT(TH!N690,2)="15",LEFT(TH!O690,2)="15"),'152-CT'!$J$8=TH!F690),"x","")</f>
        <v/>
      </c>
      <c r="AF690" s="86" t="str">
        <f>IF(AND(OR(LEFT(TH!N690,2)="15",LEFT(TH!O690,2)="15"),'THE KHO'!$E$7=TH!F690),"x","")</f>
        <v/>
      </c>
      <c r="AG690" s="86" t="str">
        <f>IF(AND(N690="1521",MONTH(C690)='BK NL'!$M$11),"x","")</f>
        <v/>
      </c>
    </row>
    <row r="691" spans="1:33" ht="15.75" customHeight="1">
      <c r="A691" s="398" t="str">
        <f>IF(B691&lt;&gt;"",IF(AND(B691&gt;=_TM1,B691&lt;=_TM2,OR(TH!N691="1111",TH!O691="1111")),TH!D691,""),"")</f>
        <v/>
      </c>
      <c r="B691" s="63" t="str">
        <f t="shared" si="46"/>
        <v/>
      </c>
      <c r="C691" s="64"/>
      <c r="D691" s="64"/>
      <c r="E691" s="64"/>
      <c r="F691" s="67"/>
      <c r="G691" s="375"/>
      <c r="H691" s="74"/>
      <c r="I691" s="515"/>
      <c r="J691" s="515"/>
      <c r="K691" s="507"/>
      <c r="L691" s="515"/>
      <c r="M691" s="65"/>
      <c r="N691" s="66"/>
      <c r="O691" s="66"/>
      <c r="P691" s="86" t="str">
        <f>IF(AND('331-CT'!$E$7=TH!H691,OR(N691="331",O691="331")),"x","")</f>
        <v/>
      </c>
      <c r="Q691" s="86" t="str">
        <f>IF(AND($B691&gt;='111'!$N$11,$B691&lt;='111'!$O$11,OR($N691=$Q$7,$O691=$Q$7)),"x","")</f>
        <v/>
      </c>
      <c r="R691" s="86" t="str">
        <f>IF(AND($N691=$Q$7,$B691&lt;'111'!$N$11),"x","")</f>
        <v/>
      </c>
      <c r="S691" s="86" t="str">
        <f>IF(AND($O691=$Q$7,$B691&lt;'111'!$N$11),"x","")</f>
        <v/>
      </c>
      <c r="T691" s="86" t="str">
        <f>IF(AND($B691&gt;='112'!$M$9,$B691&lt;='112'!$N$9,OR($N691='112'!$I$6,$O691='112'!$I$6)),"x","")</f>
        <v/>
      </c>
      <c r="U691" s="86" t="str">
        <f>IF(AND($N691='112'!$I$6,$B691&lt;'112'!$M$9),"x","")</f>
        <v/>
      </c>
      <c r="V691" s="86" t="str">
        <f>IF(AND($O691='112'!$I$6,$B691&lt;'112'!$M$9),"x","")</f>
        <v/>
      </c>
      <c r="W691" s="86" t="str">
        <f>IF(AND('131-CT'!$H$9=TH!H691,OR(N691="131",O691="131")),"x","")</f>
        <v/>
      </c>
      <c r="X691" s="86" t="str">
        <f>IF(AND($B691&gt;='1331'!$I$9,$B691&lt;='1331'!$J$9,OR($N691=$X$7,$O691=$X$7)),"x","")</f>
        <v/>
      </c>
      <c r="Y691" s="86" t="str">
        <f>IF(AND($N691=$X$7,$B691&lt;'1331'!$I$9),"x","")</f>
        <v/>
      </c>
      <c r="Z691" s="86" t="str">
        <f>IF(AND($O691=$X$7,$B691&lt;'1331'!$I$9),"x","")</f>
        <v/>
      </c>
      <c r="AA691" s="86" t="str">
        <f>IF(AND('341-CT'!$H$9=H691,OR(LEFT(N691,3)=$AA$7,LEFT(O691,3)=$AA$7)),"x","")</f>
        <v/>
      </c>
      <c r="AB691" s="86" t="str">
        <f>IF(OR(TH!N691=TH!$AB$7,O691=TH!$AB$7),"x","")</f>
        <v/>
      </c>
      <c r="AC691" s="86" t="str">
        <f t="shared" si="47"/>
        <v/>
      </c>
      <c r="AD691" s="86" t="str">
        <f>IF(AND(MONTH(E691)&lt;='IN-NX'!$P$3,'IN-NX'!$D$7=D691,OR(LEFT(TH!N691,2)="15",LEFT(TH!O691,2)="15")),"x","")</f>
        <v/>
      </c>
      <c r="AE691" s="86" t="str">
        <f>IF(AND(OR(LEFT(TH!N691,2)="15",LEFT(TH!O691,2)="15"),'152-CT'!$J$8=TH!F691),"x","")</f>
        <v/>
      </c>
      <c r="AF691" s="86" t="str">
        <f>IF(AND(OR(LEFT(TH!N691,2)="15",LEFT(TH!O691,2)="15"),'THE KHO'!$E$7=TH!F691),"x","")</f>
        <v/>
      </c>
      <c r="AG691" s="86" t="str">
        <f>IF(AND(N691="1521",MONTH(C691)='BK NL'!$M$11),"x","")</f>
        <v/>
      </c>
    </row>
    <row r="692" spans="1:33" ht="15.75" customHeight="1">
      <c r="A692" s="398" t="str">
        <f>IF(B692&lt;&gt;"",IF(AND(B692&gt;=_TM1,B692&lt;=_TM2,OR(TH!N692="1111",TH!O692="1111")),TH!D692,""),"")</f>
        <v/>
      </c>
      <c r="B692" s="63" t="str">
        <f t="shared" si="46"/>
        <v/>
      </c>
      <c r="C692" s="64"/>
      <c r="D692" s="64"/>
      <c r="E692" s="64"/>
      <c r="F692" s="67"/>
      <c r="G692" s="361"/>
      <c r="H692" s="74"/>
      <c r="I692" s="515"/>
      <c r="J692" s="515"/>
      <c r="K692" s="507"/>
      <c r="L692" s="515"/>
      <c r="M692" s="65"/>
      <c r="N692" s="66"/>
      <c r="O692" s="66"/>
      <c r="P692" s="86" t="str">
        <f>IF(AND('331-CT'!$E$7=TH!H692,OR(N692="331",O692="331")),"x","")</f>
        <v/>
      </c>
      <c r="Q692" s="86" t="str">
        <f>IF(AND($B692&gt;='111'!$N$11,$B692&lt;='111'!$O$11,OR($N692=$Q$7,$O692=$Q$7)),"x","")</f>
        <v/>
      </c>
      <c r="R692" s="86" t="str">
        <f>IF(AND($N692=$Q$7,$B692&lt;'111'!$N$11),"x","")</f>
        <v/>
      </c>
      <c r="S692" s="86" t="str">
        <f>IF(AND($O692=$Q$7,$B692&lt;'111'!$N$11),"x","")</f>
        <v/>
      </c>
      <c r="T692" s="86" t="str">
        <f>IF(AND($B692&gt;='112'!$M$9,$B692&lt;='112'!$N$9,OR($N692='112'!$I$6,$O692='112'!$I$6)),"x","")</f>
        <v/>
      </c>
      <c r="U692" s="86" t="str">
        <f>IF(AND($N692='112'!$I$6,$B692&lt;'112'!$M$9),"x","")</f>
        <v/>
      </c>
      <c r="V692" s="86" t="str">
        <f>IF(AND($O692='112'!$I$6,$B692&lt;'112'!$M$9),"x","")</f>
        <v/>
      </c>
      <c r="W692" s="86" t="str">
        <f>IF(AND('131-CT'!$H$9=TH!H692,OR(N692="131",O692="131")),"x","")</f>
        <v/>
      </c>
      <c r="X692" s="86" t="str">
        <f>IF(AND($B692&gt;='1331'!$I$9,$B692&lt;='1331'!$J$9,OR($N692=$X$7,$O692=$X$7)),"x","")</f>
        <v/>
      </c>
      <c r="Y692" s="86" t="str">
        <f>IF(AND($N692=$X$7,$B692&lt;'1331'!$I$9),"x","")</f>
        <v/>
      </c>
      <c r="Z692" s="86" t="str">
        <f>IF(AND($O692=$X$7,$B692&lt;'1331'!$I$9),"x","")</f>
        <v/>
      </c>
      <c r="AA692" s="86" t="str">
        <f>IF(AND('341-CT'!$H$9=H692,OR(LEFT(N692,3)=$AA$7,LEFT(O692,3)=$AA$7)),"x","")</f>
        <v/>
      </c>
      <c r="AB692" s="86" t="str">
        <f>IF(OR(TH!N692=TH!$AB$7,O692=TH!$AB$7),"x","")</f>
        <v/>
      </c>
      <c r="AC692" s="86" t="str">
        <f t="shared" si="47"/>
        <v/>
      </c>
      <c r="AD692" s="86" t="str">
        <f>IF(AND(MONTH(E692)&lt;='IN-NX'!$P$3,'IN-NX'!$D$7=D692,OR(LEFT(TH!N692,2)="15",LEFT(TH!O692,2)="15")),"x","")</f>
        <v/>
      </c>
      <c r="AE692" s="86" t="str">
        <f>IF(AND(OR(LEFT(TH!N692,2)="15",LEFT(TH!O692,2)="15"),'152-CT'!$J$8=TH!F692),"x","")</f>
        <v/>
      </c>
      <c r="AF692" s="86" t="str">
        <f>IF(AND(OR(LEFT(TH!N692,2)="15",LEFT(TH!O692,2)="15"),'THE KHO'!$E$7=TH!F692),"x","")</f>
        <v/>
      </c>
      <c r="AG692" s="86" t="str">
        <f>IF(AND(N692="1521",MONTH(C692)='BK NL'!$M$11),"x","")</f>
        <v/>
      </c>
    </row>
    <row r="693" spans="1:33" ht="15.75" customHeight="1">
      <c r="A693" s="398" t="str">
        <f>IF(B693&lt;&gt;"",IF(AND(B693&gt;=_TM1,B693&lt;=_TM2,OR(TH!N693="1111",TH!O693="1111")),TH!D693,""),"")</f>
        <v/>
      </c>
      <c r="B693" s="63" t="str">
        <f t="shared" si="46"/>
        <v/>
      </c>
      <c r="C693" s="64"/>
      <c r="D693" s="64"/>
      <c r="E693" s="64"/>
      <c r="F693" s="67"/>
      <c r="G693" s="361"/>
      <c r="H693" s="74"/>
      <c r="I693" s="515"/>
      <c r="J693" s="515"/>
      <c r="K693" s="507"/>
      <c r="L693" s="515"/>
      <c r="M693" s="65"/>
      <c r="N693" s="66"/>
      <c r="O693" s="66"/>
      <c r="P693" s="86" t="str">
        <f>IF(AND('331-CT'!$E$7=TH!H693,OR(N693="331",O693="331")),"x","")</f>
        <v/>
      </c>
      <c r="Q693" s="86" t="str">
        <f>IF(AND($B693&gt;='111'!$N$11,$B693&lt;='111'!$O$11,OR($N693=$Q$7,$O693=$Q$7)),"x","")</f>
        <v/>
      </c>
      <c r="R693" s="86" t="str">
        <f>IF(AND($N693=$Q$7,$B693&lt;'111'!$N$11),"x","")</f>
        <v/>
      </c>
      <c r="S693" s="86" t="str">
        <f>IF(AND($O693=$Q$7,$B693&lt;'111'!$N$11),"x","")</f>
        <v/>
      </c>
      <c r="T693" s="86" t="str">
        <f>IF(AND($B693&gt;='112'!$M$9,$B693&lt;='112'!$N$9,OR($N693='112'!$I$6,$O693='112'!$I$6)),"x","")</f>
        <v/>
      </c>
      <c r="U693" s="86" t="str">
        <f>IF(AND($N693='112'!$I$6,$B693&lt;'112'!$M$9),"x","")</f>
        <v/>
      </c>
      <c r="V693" s="86" t="str">
        <f>IF(AND($O693='112'!$I$6,$B693&lt;'112'!$M$9),"x","")</f>
        <v/>
      </c>
      <c r="W693" s="86" t="str">
        <f>IF(AND('131-CT'!$H$9=TH!H693,OR(N693="131",O693="131")),"x","")</f>
        <v/>
      </c>
      <c r="X693" s="86" t="str">
        <f>IF(AND($B693&gt;='1331'!$I$9,$B693&lt;='1331'!$J$9,OR($N693=$X$7,$O693=$X$7)),"x","")</f>
        <v/>
      </c>
      <c r="Y693" s="86" t="str">
        <f>IF(AND($N693=$X$7,$B693&lt;'1331'!$I$9),"x","")</f>
        <v/>
      </c>
      <c r="Z693" s="86" t="str">
        <f>IF(AND($O693=$X$7,$B693&lt;'1331'!$I$9),"x","")</f>
        <v/>
      </c>
      <c r="AA693" s="86" t="str">
        <f>IF(AND('341-CT'!$H$9=H693,OR(LEFT(N693,3)=$AA$7,LEFT(O693,3)=$AA$7)),"x","")</f>
        <v/>
      </c>
      <c r="AB693" s="86" t="str">
        <f>IF(OR(TH!N693=TH!$AB$7,O693=TH!$AB$7),"x","")</f>
        <v/>
      </c>
      <c r="AC693" s="86" t="str">
        <f t="shared" si="47"/>
        <v/>
      </c>
      <c r="AD693" s="86" t="str">
        <f>IF(AND(MONTH(E693)&lt;='IN-NX'!$P$3,'IN-NX'!$D$7=D693,OR(LEFT(TH!N693,2)="15",LEFT(TH!O693,2)="15")),"x","")</f>
        <v/>
      </c>
      <c r="AE693" s="86" t="str">
        <f>IF(AND(OR(LEFT(TH!N693,2)="15",LEFT(TH!O693,2)="15"),'152-CT'!$J$8=TH!F693),"x","")</f>
        <v/>
      </c>
      <c r="AF693" s="86" t="str">
        <f>IF(AND(OR(LEFT(TH!N693,2)="15",LEFT(TH!O693,2)="15"),'THE KHO'!$E$7=TH!F693),"x","")</f>
        <v/>
      </c>
      <c r="AG693" s="86" t="str">
        <f>IF(AND(N693="1521",MONTH(C693)='BK NL'!$M$11),"x","")</f>
        <v/>
      </c>
    </row>
    <row r="694" spans="1:33" ht="15.75" customHeight="1">
      <c r="A694" s="398" t="str">
        <f>IF(B694&lt;&gt;"",IF(AND(B694&gt;=_TM1,B694&lt;=_TM2,OR(TH!N694="1111",TH!O694="1111")),TH!D694,""),"")</f>
        <v/>
      </c>
      <c r="B694" s="63" t="str">
        <f t="shared" si="46"/>
        <v/>
      </c>
      <c r="C694" s="64"/>
      <c r="D694" s="64"/>
      <c r="E694" s="64"/>
      <c r="F694" s="67"/>
      <c r="G694" s="361"/>
      <c r="H694" s="74"/>
      <c r="I694" s="515"/>
      <c r="J694" s="515"/>
      <c r="K694" s="507"/>
      <c r="L694" s="515"/>
      <c r="M694" s="65"/>
      <c r="N694" s="66"/>
      <c r="O694" s="66"/>
      <c r="P694" s="86" t="str">
        <f>IF(AND('331-CT'!$E$7=TH!H694,OR(N694="331",O694="331")),"x","")</f>
        <v/>
      </c>
      <c r="Q694" s="86" t="str">
        <f>IF(AND($B694&gt;='111'!$N$11,$B694&lt;='111'!$O$11,OR($N694=$Q$7,$O694=$Q$7)),"x","")</f>
        <v/>
      </c>
      <c r="R694" s="86" t="str">
        <f>IF(AND($N694=$Q$7,$B694&lt;'111'!$N$11),"x","")</f>
        <v/>
      </c>
      <c r="S694" s="86" t="str">
        <f>IF(AND($O694=$Q$7,$B694&lt;'111'!$N$11),"x","")</f>
        <v/>
      </c>
      <c r="T694" s="86" t="str">
        <f>IF(AND($B694&gt;='112'!$M$9,$B694&lt;='112'!$N$9,OR($N694='112'!$I$6,$O694='112'!$I$6)),"x","")</f>
        <v/>
      </c>
      <c r="U694" s="86" t="str">
        <f>IF(AND($N694='112'!$I$6,$B694&lt;'112'!$M$9),"x","")</f>
        <v/>
      </c>
      <c r="V694" s="86" t="str">
        <f>IF(AND($O694='112'!$I$6,$B694&lt;'112'!$M$9),"x","")</f>
        <v/>
      </c>
      <c r="W694" s="86" t="str">
        <f>IF(AND('131-CT'!$H$9=TH!H694,OR(N694="131",O694="131")),"x","")</f>
        <v/>
      </c>
      <c r="X694" s="86" t="str">
        <f>IF(AND($B694&gt;='1331'!$I$9,$B694&lt;='1331'!$J$9,OR($N694=$X$7,$O694=$X$7)),"x","")</f>
        <v/>
      </c>
      <c r="Y694" s="86" t="str">
        <f>IF(AND($N694=$X$7,$B694&lt;'1331'!$I$9),"x","")</f>
        <v/>
      </c>
      <c r="Z694" s="86" t="str">
        <f>IF(AND($O694=$X$7,$B694&lt;'1331'!$I$9),"x","")</f>
        <v/>
      </c>
      <c r="AA694" s="86" t="str">
        <f>IF(AND('341-CT'!$H$9=H694,OR(LEFT(N694,3)=$AA$7,LEFT(O694,3)=$AA$7)),"x","")</f>
        <v/>
      </c>
      <c r="AB694" s="86" t="str">
        <f>IF(OR(TH!N694=TH!$AB$7,O694=TH!$AB$7),"x","")</f>
        <v/>
      </c>
      <c r="AC694" s="86" t="str">
        <f t="shared" si="47"/>
        <v/>
      </c>
      <c r="AD694" s="86" t="str">
        <f>IF(AND(MONTH(E694)&lt;='IN-NX'!$P$3,'IN-NX'!$D$7=D694,OR(LEFT(TH!N694,2)="15",LEFT(TH!O694,2)="15")),"x","")</f>
        <v/>
      </c>
      <c r="AE694" s="86" t="str">
        <f>IF(AND(OR(LEFT(TH!N694,2)="15",LEFT(TH!O694,2)="15"),'152-CT'!$J$8=TH!F694),"x","")</f>
        <v/>
      </c>
      <c r="AF694" s="86" t="str">
        <f>IF(AND(OR(LEFT(TH!N694,2)="15",LEFT(TH!O694,2)="15"),'THE KHO'!$E$7=TH!F694),"x","")</f>
        <v/>
      </c>
      <c r="AG694" s="86" t="str">
        <f>IF(AND(N694="1521",MONTH(C694)='BK NL'!$M$11),"x","")</f>
        <v/>
      </c>
    </row>
    <row r="695" spans="1:33" ht="15.75" customHeight="1">
      <c r="A695" s="398" t="str">
        <f>IF(B695&lt;&gt;"",IF(AND(B695&gt;=_TM1,B695&lt;=_TM2,OR(TH!N695="1111",TH!O695="1111")),TH!D695,""),"")</f>
        <v/>
      </c>
      <c r="B695" s="63" t="str">
        <f t="shared" si="46"/>
        <v/>
      </c>
      <c r="C695" s="64"/>
      <c r="D695" s="64"/>
      <c r="E695" s="64"/>
      <c r="F695" s="67"/>
      <c r="G695" s="361"/>
      <c r="H695" s="405"/>
      <c r="I695" s="516"/>
      <c r="J695" s="516"/>
      <c r="K695" s="508"/>
      <c r="L695" s="516"/>
      <c r="M695" s="65"/>
      <c r="N695" s="66"/>
      <c r="O695" s="66"/>
      <c r="P695" s="86" t="str">
        <f>IF(AND('331-CT'!$E$7=TH!H695,OR(N695="331",O695="331")),"x","")</f>
        <v/>
      </c>
      <c r="Q695" s="86" t="str">
        <f>IF(AND($B695&gt;='111'!$N$11,$B695&lt;='111'!$O$11,OR($N695=$Q$7,$O695=$Q$7)),"x","")</f>
        <v/>
      </c>
      <c r="R695" s="86" t="str">
        <f>IF(AND($N695=$Q$7,$B695&lt;'111'!$N$11),"x","")</f>
        <v/>
      </c>
      <c r="S695" s="86" t="str">
        <f>IF(AND($O695=$Q$7,$B695&lt;'111'!$N$11),"x","")</f>
        <v/>
      </c>
      <c r="T695" s="86" t="str">
        <f>IF(AND($B695&gt;='112'!$M$9,$B695&lt;='112'!$N$9,OR($N695='112'!$I$6,$O695='112'!$I$6)),"x","")</f>
        <v/>
      </c>
      <c r="U695" s="86" t="str">
        <f>IF(AND($N695='112'!$I$6,$B695&lt;'112'!$M$9),"x","")</f>
        <v/>
      </c>
      <c r="V695" s="86" t="str">
        <f>IF(AND($O695='112'!$I$6,$B695&lt;'112'!$M$9),"x","")</f>
        <v/>
      </c>
      <c r="W695" s="86" t="str">
        <f>IF(AND('131-CT'!$H$9=TH!H695,OR(N695="131",O695="131")),"x","")</f>
        <v/>
      </c>
      <c r="X695" s="86" t="str">
        <f>IF(AND($B695&gt;='1331'!$I$9,$B695&lt;='1331'!$J$9,OR($N695=$X$7,$O695=$X$7)),"x","")</f>
        <v/>
      </c>
      <c r="Y695" s="86" t="str">
        <f>IF(AND($N695=$X$7,$B695&lt;'1331'!$I$9),"x","")</f>
        <v/>
      </c>
      <c r="Z695" s="86" t="str">
        <f>IF(AND($O695=$X$7,$B695&lt;'1331'!$I$9),"x","")</f>
        <v/>
      </c>
      <c r="AA695" s="86" t="str">
        <f>IF(AND('341-CT'!$H$9=H695,OR(LEFT(N695,3)=$AA$7,LEFT(O695,3)=$AA$7)),"x","")</f>
        <v/>
      </c>
      <c r="AB695" s="86" t="str">
        <f>IF(OR(TH!N695=TH!$AB$7,O695=TH!$AB$7),"x","")</f>
        <v/>
      </c>
      <c r="AC695" s="86" t="str">
        <f t="shared" si="47"/>
        <v/>
      </c>
      <c r="AD695" s="86" t="str">
        <f>IF(AND(MONTH(E695)&lt;='IN-NX'!$P$3,'IN-NX'!$D$7=D695,OR(LEFT(TH!N695,2)="15",LEFT(TH!O695,2)="15")),"x","")</f>
        <v/>
      </c>
      <c r="AE695" s="86" t="str">
        <f>IF(AND(OR(LEFT(TH!N695,2)="15",LEFT(TH!O695,2)="15"),'152-CT'!$J$8=TH!F695),"x","")</f>
        <v/>
      </c>
      <c r="AF695" s="86" t="str">
        <f>IF(AND(OR(LEFT(TH!N695,2)="15",LEFT(TH!O695,2)="15"),'THE KHO'!$E$7=TH!F695),"x","")</f>
        <v/>
      </c>
      <c r="AG695" s="86" t="str">
        <f>IF(AND(N695="1521",MONTH(C695)='BK NL'!$M$11),"x","")</f>
        <v/>
      </c>
    </row>
    <row r="696" spans="1:33" ht="15.75" customHeight="1">
      <c r="A696" s="398" t="str">
        <f>IF(B696&lt;&gt;"",IF(AND(B696&gt;=_TM1,B696&lt;=_TM2,OR(TH!N696="1111",TH!O696="1111")),TH!D696,""),"")</f>
        <v/>
      </c>
      <c r="B696" s="63" t="str">
        <f t="shared" si="46"/>
        <v/>
      </c>
      <c r="C696" s="64"/>
      <c r="D696" s="64"/>
      <c r="E696" s="64"/>
      <c r="F696" s="67"/>
      <c r="G696" s="361"/>
      <c r="H696" s="74"/>
      <c r="I696" s="515"/>
      <c r="J696" s="515"/>
      <c r="K696" s="507"/>
      <c r="L696" s="515"/>
      <c r="M696" s="65"/>
      <c r="N696" s="66"/>
      <c r="O696" s="66"/>
      <c r="P696" s="86" t="str">
        <f>IF(AND('331-CT'!$E$7=TH!H696,OR(N696="331",O696="331")),"x","")</f>
        <v/>
      </c>
      <c r="Q696" s="86" t="str">
        <f>IF(AND($B696&gt;='111'!$N$11,$B696&lt;='111'!$O$11,OR($N696=$Q$7,$O696=$Q$7)),"x","")</f>
        <v/>
      </c>
      <c r="R696" s="86" t="str">
        <f>IF(AND($N696=$Q$7,$B696&lt;'111'!$N$11),"x","")</f>
        <v/>
      </c>
      <c r="S696" s="86" t="str">
        <f>IF(AND($O696=$Q$7,$B696&lt;'111'!$N$11),"x","")</f>
        <v/>
      </c>
      <c r="T696" s="86" t="str">
        <f>IF(AND($B696&gt;='112'!$M$9,$B696&lt;='112'!$N$9,OR($N696='112'!$I$6,$O696='112'!$I$6)),"x","")</f>
        <v/>
      </c>
      <c r="U696" s="86" t="str">
        <f>IF(AND($N696='112'!$I$6,$B696&lt;'112'!$M$9),"x","")</f>
        <v/>
      </c>
      <c r="V696" s="86" t="str">
        <f>IF(AND($O696='112'!$I$6,$B696&lt;'112'!$M$9),"x","")</f>
        <v/>
      </c>
      <c r="W696" s="86" t="str">
        <f>IF(AND('131-CT'!$H$9=TH!H696,OR(N696="131",O696="131")),"x","")</f>
        <v/>
      </c>
      <c r="X696" s="86" t="str">
        <f>IF(AND($B696&gt;='1331'!$I$9,$B696&lt;='1331'!$J$9,OR($N696=$X$7,$O696=$X$7)),"x","")</f>
        <v/>
      </c>
      <c r="Y696" s="86" t="str">
        <f>IF(AND($N696=$X$7,$B696&lt;'1331'!$I$9),"x","")</f>
        <v/>
      </c>
      <c r="Z696" s="86" t="str">
        <f>IF(AND($O696=$X$7,$B696&lt;'1331'!$I$9),"x","")</f>
        <v/>
      </c>
      <c r="AA696" s="86" t="str">
        <f>IF(AND('341-CT'!$H$9=H696,OR(LEFT(N696,3)=$AA$7,LEFT(O696,3)=$AA$7)),"x","")</f>
        <v/>
      </c>
      <c r="AB696" s="86" t="str">
        <f>IF(OR(TH!N696=TH!$AB$7,O696=TH!$AB$7),"x","")</f>
        <v/>
      </c>
      <c r="AC696" s="86" t="str">
        <f t="shared" si="47"/>
        <v/>
      </c>
      <c r="AD696" s="86" t="str">
        <f>IF(AND(MONTH(E696)&lt;='IN-NX'!$P$3,'IN-NX'!$D$7=D696,OR(LEFT(TH!N696,2)="15",LEFT(TH!O696,2)="15")),"x","")</f>
        <v/>
      </c>
      <c r="AE696" s="86" t="str">
        <f>IF(AND(OR(LEFT(TH!N696,2)="15",LEFT(TH!O696,2)="15"),'152-CT'!$J$8=TH!F696),"x","")</f>
        <v/>
      </c>
      <c r="AF696" s="86" t="str">
        <f>IF(AND(OR(LEFT(TH!N696,2)="15",LEFT(TH!O696,2)="15"),'THE KHO'!$E$7=TH!F696),"x","")</f>
        <v/>
      </c>
      <c r="AG696" s="86" t="str">
        <f>IF(AND(N696="1521",MONTH(C696)='BK NL'!$M$11),"x","")</f>
        <v/>
      </c>
    </row>
    <row r="697" spans="1:33" ht="15.75" customHeight="1">
      <c r="A697" s="398" t="str">
        <f>IF(B697&lt;&gt;"",IF(AND(B697&gt;=_TM1,B697&lt;=_TM2,OR(TH!N697="1111",TH!O697="1111")),TH!D697,""),"")</f>
        <v/>
      </c>
      <c r="B697" s="63" t="str">
        <f t="shared" si="46"/>
        <v/>
      </c>
      <c r="C697" s="64"/>
      <c r="D697" s="64"/>
      <c r="E697" s="64"/>
      <c r="F697" s="67"/>
      <c r="G697" s="361"/>
      <c r="H697" s="74"/>
      <c r="I697" s="515"/>
      <c r="J697" s="515"/>
      <c r="K697" s="507"/>
      <c r="L697" s="515"/>
      <c r="M697" s="65"/>
      <c r="N697" s="66"/>
      <c r="O697" s="66"/>
      <c r="P697" s="86" t="str">
        <f>IF(AND('331-CT'!$E$7=TH!H697,OR(N697="331",O697="331")),"x","")</f>
        <v/>
      </c>
      <c r="Q697" s="86" t="str">
        <f>IF(AND($B697&gt;='111'!$N$11,$B697&lt;='111'!$O$11,OR($N697=$Q$7,$O697=$Q$7)),"x","")</f>
        <v/>
      </c>
      <c r="R697" s="86" t="str">
        <f>IF(AND($N697=$Q$7,$B697&lt;'111'!$N$11),"x","")</f>
        <v/>
      </c>
      <c r="S697" s="86" t="str">
        <f>IF(AND($O697=$Q$7,$B697&lt;'111'!$N$11),"x","")</f>
        <v/>
      </c>
      <c r="T697" s="86" t="str">
        <f>IF(AND($B697&gt;='112'!$M$9,$B697&lt;='112'!$N$9,OR($N697='112'!$I$6,$O697='112'!$I$6)),"x","")</f>
        <v/>
      </c>
      <c r="U697" s="86" t="str">
        <f>IF(AND($N697='112'!$I$6,$B697&lt;'112'!$M$9),"x","")</f>
        <v/>
      </c>
      <c r="V697" s="86" t="str">
        <f>IF(AND($O697='112'!$I$6,$B697&lt;'112'!$M$9),"x","")</f>
        <v/>
      </c>
      <c r="W697" s="86" t="str">
        <f>IF(AND('131-CT'!$H$9=TH!H697,OR(N697="131",O697="131")),"x","")</f>
        <v/>
      </c>
      <c r="X697" s="86" t="str">
        <f>IF(AND($B697&gt;='1331'!$I$9,$B697&lt;='1331'!$J$9,OR($N697=$X$7,$O697=$X$7)),"x","")</f>
        <v/>
      </c>
      <c r="Y697" s="86" t="str">
        <f>IF(AND($N697=$X$7,$B697&lt;'1331'!$I$9),"x","")</f>
        <v/>
      </c>
      <c r="Z697" s="86" t="str">
        <f>IF(AND($O697=$X$7,$B697&lt;'1331'!$I$9),"x","")</f>
        <v/>
      </c>
      <c r="AA697" s="86" t="str">
        <f>IF(AND('341-CT'!$H$9=H697,OR(LEFT(N697,3)=$AA$7,LEFT(O697,3)=$AA$7)),"x","")</f>
        <v/>
      </c>
      <c r="AB697" s="86" t="str">
        <f>IF(OR(TH!N697=TH!$AB$7,O697=TH!$AB$7),"x","")</f>
        <v/>
      </c>
      <c r="AC697" s="86" t="str">
        <f t="shared" si="47"/>
        <v/>
      </c>
      <c r="AD697" s="86" t="str">
        <f>IF(AND(MONTH(E697)&lt;='IN-NX'!$P$3,'IN-NX'!$D$7=D697,OR(LEFT(TH!N697,2)="15",LEFT(TH!O697,2)="15")),"x","")</f>
        <v/>
      </c>
      <c r="AE697" s="86" t="str">
        <f>IF(AND(OR(LEFT(TH!N697,2)="15",LEFT(TH!O697,2)="15"),'152-CT'!$J$8=TH!F697),"x","")</f>
        <v/>
      </c>
      <c r="AF697" s="86" t="str">
        <f>IF(AND(OR(LEFT(TH!N697,2)="15",LEFT(TH!O697,2)="15"),'THE KHO'!$E$7=TH!F697),"x","")</f>
        <v/>
      </c>
      <c r="AG697" s="86" t="str">
        <f>IF(AND(N697="1521",MONTH(C697)='BK NL'!$M$11),"x","")</f>
        <v/>
      </c>
    </row>
    <row r="698" spans="1:33" ht="15.75" customHeight="1">
      <c r="A698" s="398" t="str">
        <f>IF(B698&lt;&gt;"",IF(AND(B698&gt;=_TM1,B698&lt;=_TM2,OR(TH!N698="1111",TH!O698="1111")),TH!D698,""),"")</f>
        <v/>
      </c>
      <c r="B698" s="63" t="str">
        <f t="shared" si="46"/>
        <v/>
      </c>
      <c r="C698" s="64"/>
      <c r="D698" s="64"/>
      <c r="E698" s="64"/>
      <c r="F698" s="67"/>
      <c r="G698" s="375"/>
      <c r="H698" s="74"/>
      <c r="I698" s="515"/>
      <c r="J698" s="515"/>
      <c r="K698" s="507"/>
      <c r="L698" s="515"/>
      <c r="M698" s="65"/>
      <c r="N698" s="386"/>
      <c r="O698" s="66"/>
      <c r="P698" s="86" t="str">
        <f>IF(AND('331-CT'!$E$7=TH!H698,OR(N698="331",O698="331")),"x","")</f>
        <v/>
      </c>
      <c r="Q698" s="86" t="str">
        <f>IF(AND($B698&gt;='111'!$N$11,$B698&lt;='111'!$O$11,OR($N698=$Q$7,$O698=$Q$7)),"x","")</f>
        <v/>
      </c>
      <c r="R698" s="86" t="str">
        <f>IF(AND($N698=$Q$7,$B698&lt;'111'!$N$11),"x","")</f>
        <v/>
      </c>
      <c r="S698" s="86" t="str">
        <f>IF(AND($O698=$Q$7,$B698&lt;'111'!$N$11),"x","")</f>
        <v/>
      </c>
      <c r="T698" s="86" t="str">
        <f>IF(AND($B698&gt;='112'!$M$9,$B698&lt;='112'!$N$9,OR($N698='112'!$I$6,$O698='112'!$I$6)),"x","")</f>
        <v/>
      </c>
      <c r="U698" s="86" t="str">
        <f>IF(AND($N698='112'!$I$6,$B698&lt;'112'!$M$9),"x","")</f>
        <v/>
      </c>
      <c r="V698" s="86" t="str">
        <f>IF(AND($O698='112'!$I$6,$B698&lt;'112'!$M$9),"x","")</f>
        <v/>
      </c>
      <c r="W698" s="86" t="str">
        <f>IF(AND('131-CT'!$H$9=TH!H698,OR(N698="131",O698="131")),"x","")</f>
        <v/>
      </c>
      <c r="X698" s="86" t="str">
        <f>IF(AND($B698&gt;='1331'!$I$9,$B698&lt;='1331'!$J$9,OR($N698=$X$7,$O698=$X$7)),"x","")</f>
        <v/>
      </c>
      <c r="Y698" s="86" t="str">
        <f>IF(AND($N698=$X$7,$B698&lt;'1331'!$I$9),"x","")</f>
        <v/>
      </c>
      <c r="Z698" s="86" t="str">
        <f>IF(AND($O698=$X$7,$B698&lt;'1331'!$I$9),"x","")</f>
        <v/>
      </c>
      <c r="AA698" s="86" t="str">
        <f>IF(AND('341-CT'!$H$9=H698,OR(LEFT(N698,3)=$AA$7,LEFT(O698,3)=$AA$7)),"x","")</f>
        <v/>
      </c>
      <c r="AB698" s="86" t="str">
        <f>IF(OR(TH!N698=TH!$AB$7,O698=TH!$AB$7),"x","")</f>
        <v/>
      </c>
      <c r="AC698" s="86" t="str">
        <f t="shared" si="47"/>
        <v/>
      </c>
      <c r="AD698" s="86" t="str">
        <f>IF(AND(MONTH(E698)&lt;='IN-NX'!$P$3,'IN-NX'!$D$7=D698,OR(LEFT(TH!N698,2)="15",LEFT(TH!O698,2)="15")),"x","")</f>
        <v/>
      </c>
      <c r="AE698" s="86" t="str">
        <f>IF(AND(OR(LEFT(TH!N698,2)="15",LEFT(TH!O698,2)="15"),'152-CT'!$J$8=TH!F698),"x","")</f>
        <v/>
      </c>
      <c r="AF698" s="86" t="str">
        <f>IF(AND(OR(LEFT(TH!N698,2)="15",LEFT(TH!O698,2)="15"),'THE KHO'!$E$7=TH!F698),"x","")</f>
        <v/>
      </c>
      <c r="AG698" s="86" t="str">
        <f>IF(AND(N698="1521",MONTH(C698)='BK NL'!$M$11),"x","")</f>
        <v/>
      </c>
    </row>
    <row r="699" spans="1:33" ht="15.75" customHeight="1">
      <c r="A699" s="398" t="str">
        <f>IF(B699&lt;&gt;"",IF(AND(B699&gt;=_TM1,B699&lt;=_TM2,OR(TH!N699="1111",TH!O699="1111")),TH!D699,""),"")</f>
        <v/>
      </c>
      <c r="B699" s="63" t="str">
        <f t="shared" si="46"/>
        <v/>
      </c>
      <c r="C699" s="64"/>
      <c r="D699" s="64"/>
      <c r="E699" s="64"/>
      <c r="F699" s="67"/>
      <c r="G699" s="375"/>
      <c r="H699" s="74"/>
      <c r="I699" s="515"/>
      <c r="J699" s="515"/>
      <c r="K699" s="507"/>
      <c r="L699" s="515"/>
      <c r="M699" s="65"/>
      <c r="N699" s="386"/>
      <c r="O699" s="66"/>
      <c r="P699" s="86" t="str">
        <f>IF(AND('331-CT'!$E$7=TH!H699,OR(N699="331",O699="331")),"x","")</f>
        <v/>
      </c>
      <c r="Q699" s="86" t="str">
        <f>IF(AND($B699&gt;='111'!$N$11,$B699&lt;='111'!$O$11,OR($N699=$Q$7,$O699=$Q$7)),"x","")</f>
        <v/>
      </c>
      <c r="R699" s="86" t="str">
        <f>IF(AND($N699=$Q$7,$B699&lt;'111'!$N$11),"x","")</f>
        <v/>
      </c>
      <c r="S699" s="86" t="str">
        <f>IF(AND($O699=$Q$7,$B699&lt;'111'!$N$11),"x","")</f>
        <v/>
      </c>
      <c r="T699" s="86" t="str">
        <f>IF(AND($B699&gt;='112'!$M$9,$B699&lt;='112'!$N$9,OR($N699='112'!$I$6,$O699='112'!$I$6)),"x","")</f>
        <v/>
      </c>
      <c r="U699" s="86" t="str">
        <f>IF(AND($N699='112'!$I$6,$B699&lt;'112'!$M$9),"x","")</f>
        <v/>
      </c>
      <c r="V699" s="86" t="str">
        <f>IF(AND($O699='112'!$I$6,$B699&lt;'112'!$M$9),"x","")</f>
        <v/>
      </c>
      <c r="W699" s="86" t="str">
        <f>IF(AND('131-CT'!$H$9=TH!H699,OR(N699="131",O699="131")),"x","")</f>
        <v/>
      </c>
      <c r="X699" s="86" t="str">
        <f>IF(AND($B699&gt;='1331'!$I$9,$B699&lt;='1331'!$J$9,OR($N699=$X$7,$O699=$X$7)),"x","")</f>
        <v/>
      </c>
      <c r="Y699" s="86" t="str">
        <f>IF(AND($N699=$X$7,$B699&lt;'1331'!$I$9),"x","")</f>
        <v/>
      </c>
      <c r="Z699" s="86" t="str">
        <f>IF(AND($O699=$X$7,$B699&lt;'1331'!$I$9),"x","")</f>
        <v/>
      </c>
      <c r="AA699" s="86" t="str">
        <f>IF(AND('341-CT'!$H$9=H699,OR(LEFT(N699,3)=$AA$7,LEFT(O699,3)=$AA$7)),"x","")</f>
        <v/>
      </c>
      <c r="AB699" s="86" t="str">
        <f>IF(OR(TH!N699=TH!$AB$7,O699=TH!$AB$7),"x","")</f>
        <v/>
      </c>
      <c r="AC699" s="86" t="str">
        <f t="shared" si="47"/>
        <v/>
      </c>
      <c r="AD699" s="86" t="str">
        <f>IF(AND(MONTH(E699)&lt;='IN-NX'!$P$3,'IN-NX'!$D$7=D699,OR(LEFT(TH!N699,2)="15",LEFT(TH!O699,2)="15")),"x","")</f>
        <v/>
      </c>
      <c r="AE699" s="86" t="str">
        <f>IF(AND(OR(LEFT(TH!N699,2)="15",LEFT(TH!O699,2)="15"),'152-CT'!$J$8=TH!F699),"x","")</f>
        <v/>
      </c>
      <c r="AF699" s="86" t="str">
        <f>IF(AND(OR(LEFT(TH!N699,2)="15",LEFT(TH!O699,2)="15"),'THE KHO'!$E$7=TH!F699),"x","")</f>
        <v/>
      </c>
      <c r="AG699" s="86" t="str">
        <f>IF(AND(N699="1521",MONTH(C699)='BK NL'!$M$11),"x","")</f>
        <v/>
      </c>
    </row>
    <row r="700" spans="1:33" ht="15.75" customHeight="1">
      <c r="A700" s="398" t="str">
        <f>IF(B700&lt;&gt;"",IF(AND(B700&gt;=_TM1,B700&lt;=_TM2,OR(TH!N700="1111",TH!O700="1111")),TH!D700,""),"")</f>
        <v/>
      </c>
      <c r="B700" s="63" t="str">
        <f t="shared" si="46"/>
        <v/>
      </c>
      <c r="C700" s="64"/>
      <c r="D700" s="64"/>
      <c r="E700" s="64"/>
      <c r="F700" s="67"/>
      <c r="G700" s="375"/>
      <c r="H700" s="74"/>
      <c r="I700" s="515"/>
      <c r="J700" s="515"/>
      <c r="K700" s="507"/>
      <c r="L700" s="515"/>
      <c r="M700" s="65"/>
      <c r="N700" s="365"/>
      <c r="O700" s="66"/>
      <c r="P700" s="86" t="str">
        <f>IF(AND('331-CT'!$E$7=TH!H700,OR(N700="331",O700="331")),"x","")</f>
        <v/>
      </c>
      <c r="Q700" s="86" t="str">
        <f>IF(AND($B700&gt;='111'!$N$11,$B700&lt;='111'!$O$11,OR($N700=$Q$7,$O700=$Q$7)),"x","")</f>
        <v/>
      </c>
      <c r="R700" s="86" t="str">
        <f>IF(AND($N700=$Q$7,$B700&lt;'111'!$N$11),"x","")</f>
        <v/>
      </c>
      <c r="S700" s="86" t="str">
        <f>IF(AND($O700=$Q$7,$B700&lt;'111'!$N$11),"x","")</f>
        <v/>
      </c>
      <c r="T700" s="86" t="str">
        <f>IF(AND($B700&gt;='112'!$M$9,$B700&lt;='112'!$N$9,OR($N700='112'!$I$6,$O700='112'!$I$6)),"x","")</f>
        <v/>
      </c>
      <c r="U700" s="86" t="str">
        <f>IF(AND($N700='112'!$I$6,$B700&lt;'112'!$M$9),"x","")</f>
        <v/>
      </c>
      <c r="V700" s="86" t="str">
        <f>IF(AND($O700='112'!$I$6,$B700&lt;'112'!$M$9),"x","")</f>
        <v/>
      </c>
      <c r="W700" s="86" t="str">
        <f>IF(AND('131-CT'!$H$9=TH!H700,OR(N700="131",O700="131")),"x","")</f>
        <v/>
      </c>
      <c r="X700" s="86" t="str">
        <f>IF(AND($B700&gt;='1331'!$I$9,$B700&lt;='1331'!$J$9,OR($N700=$X$7,$O700=$X$7)),"x","")</f>
        <v/>
      </c>
      <c r="Y700" s="86" t="str">
        <f>IF(AND($N700=$X$7,$B700&lt;'1331'!$I$9),"x","")</f>
        <v/>
      </c>
      <c r="Z700" s="86" t="str">
        <f>IF(AND($O700=$X$7,$B700&lt;'1331'!$I$9),"x","")</f>
        <v/>
      </c>
      <c r="AA700" s="86" t="str">
        <f>IF(AND('341-CT'!$H$9=H700,OR(LEFT(N700,3)=$AA$7,LEFT(O700,3)=$AA$7)),"x","")</f>
        <v/>
      </c>
      <c r="AB700" s="86" t="str">
        <f>IF(OR(TH!N700=TH!$AB$7,O700=TH!$AB$7),"x","")</f>
        <v/>
      </c>
      <c r="AC700" s="86" t="str">
        <f t="shared" si="47"/>
        <v/>
      </c>
      <c r="AD700" s="86" t="str">
        <f>IF(AND(MONTH(E700)&lt;='IN-NX'!$P$3,'IN-NX'!$D$7=D700,OR(LEFT(TH!N700,2)="15",LEFT(TH!O700,2)="15")),"x","")</f>
        <v/>
      </c>
      <c r="AE700" s="86" t="str">
        <f>IF(AND(OR(LEFT(TH!N700,2)="15",LEFT(TH!O700,2)="15"),'152-CT'!$J$8=TH!F700),"x","")</f>
        <v/>
      </c>
      <c r="AF700" s="86" t="str">
        <f>IF(AND(OR(LEFT(TH!N700,2)="15",LEFT(TH!O700,2)="15"),'THE KHO'!$E$7=TH!F700),"x","")</f>
        <v/>
      </c>
      <c r="AG700" s="86" t="str">
        <f>IF(AND(N700="1521",MONTH(C700)='BK NL'!$M$11),"x","")</f>
        <v/>
      </c>
    </row>
    <row r="701" spans="1:33" ht="15.75" customHeight="1">
      <c r="A701" s="398" t="str">
        <f>IF(B701&lt;&gt;"",IF(AND(B701&gt;=_TM1,B701&lt;=_TM2,OR(TH!N701="1111",TH!O701="1111")),TH!D701,""),"")</f>
        <v/>
      </c>
      <c r="B701" s="63" t="str">
        <f t="shared" si="46"/>
        <v/>
      </c>
      <c r="C701" s="64"/>
      <c r="D701" s="64"/>
      <c r="E701" s="64"/>
      <c r="F701" s="67"/>
      <c r="G701" s="375"/>
      <c r="H701" s="74"/>
      <c r="I701" s="515"/>
      <c r="J701" s="515"/>
      <c r="K701" s="507"/>
      <c r="L701" s="515"/>
      <c r="M701" s="65"/>
      <c r="N701" s="365"/>
      <c r="O701" s="66"/>
      <c r="P701" s="86" t="str">
        <f>IF(AND('331-CT'!$E$7=TH!H701,OR(N701="331",O701="331")),"x","")</f>
        <v/>
      </c>
      <c r="Q701" s="86" t="str">
        <f>IF(AND($B701&gt;='111'!$N$11,$B701&lt;='111'!$O$11,OR($N701=$Q$7,$O701=$Q$7)),"x","")</f>
        <v/>
      </c>
      <c r="R701" s="86" t="str">
        <f>IF(AND($N701=$Q$7,$B701&lt;'111'!$N$11),"x","")</f>
        <v/>
      </c>
      <c r="S701" s="86" t="str">
        <f>IF(AND($O701=$Q$7,$B701&lt;'111'!$N$11),"x","")</f>
        <v/>
      </c>
      <c r="T701" s="86" t="str">
        <f>IF(AND($B701&gt;='112'!$M$9,$B701&lt;='112'!$N$9,OR($N701='112'!$I$6,$O701='112'!$I$6)),"x","")</f>
        <v/>
      </c>
      <c r="U701" s="86" t="str">
        <f>IF(AND($N701='112'!$I$6,$B701&lt;'112'!$M$9),"x","")</f>
        <v/>
      </c>
      <c r="V701" s="86" t="str">
        <f>IF(AND($O701='112'!$I$6,$B701&lt;'112'!$M$9),"x","")</f>
        <v/>
      </c>
      <c r="W701" s="86" t="str">
        <f>IF(AND('131-CT'!$H$9=TH!H701,OR(N701="131",O701="131")),"x","")</f>
        <v/>
      </c>
      <c r="X701" s="86" t="str">
        <f>IF(AND($B701&gt;='1331'!$I$9,$B701&lt;='1331'!$J$9,OR($N701=$X$7,$O701=$X$7)),"x","")</f>
        <v/>
      </c>
      <c r="Y701" s="86" t="str">
        <f>IF(AND($N701=$X$7,$B701&lt;'1331'!$I$9),"x","")</f>
        <v/>
      </c>
      <c r="Z701" s="86" t="str">
        <f>IF(AND($O701=$X$7,$B701&lt;'1331'!$I$9),"x","")</f>
        <v/>
      </c>
      <c r="AA701" s="86" t="str">
        <f>IF(AND('341-CT'!$H$9=H701,OR(LEFT(N701,3)=$AA$7,LEFT(O701,3)=$AA$7)),"x","")</f>
        <v/>
      </c>
      <c r="AB701" s="86" t="str">
        <f>IF(OR(TH!N701=TH!$AB$7,O701=TH!$AB$7),"x","")</f>
        <v/>
      </c>
      <c r="AC701" s="86" t="str">
        <f t="shared" si="47"/>
        <v/>
      </c>
      <c r="AD701" s="86" t="str">
        <f>IF(AND(MONTH(E701)&lt;='IN-NX'!$P$3,'IN-NX'!$D$7=D701,OR(LEFT(TH!N701,2)="15",LEFT(TH!O701,2)="15")),"x","")</f>
        <v/>
      </c>
      <c r="AE701" s="86" t="str">
        <f>IF(AND(OR(LEFT(TH!N701,2)="15",LEFT(TH!O701,2)="15"),'152-CT'!$J$8=TH!F701),"x","")</f>
        <v/>
      </c>
      <c r="AF701" s="86" t="str">
        <f>IF(AND(OR(LEFT(TH!N701,2)="15",LEFT(TH!O701,2)="15"),'THE KHO'!$E$7=TH!F701),"x","")</f>
        <v/>
      </c>
      <c r="AG701" s="86" t="str">
        <f>IF(AND(N701="1521",MONTH(C701)='BK NL'!$M$11),"x","")</f>
        <v/>
      </c>
    </row>
    <row r="702" spans="1:33" ht="15.75" customHeight="1">
      <c r="A702" s="398" t="str">
        <f>IF(B702&lt;&gt;"",IF(AND(B702&gt;=_TM1,B702&lt;=_TM2,OR(TH!N702="1111",TH!O702="1111")),TH!D702,""),"")</f>
        <v/>
      </c>
      <c r="B702" s="63" t="str">
        <f t="shared" si="46"/>
        <v/>
      </c>
      <c r="C702" s="64"/>
      <c r="D702" s="64"/>
      <c r="E702" s="64"/>
      <c r="F702" s="67"/>
      <c r="G702" s="375"/>
      <c r="H702" s="74"/>
      <c r="I702" s="515"/>
      <c r="J702" s="515"/>
      <c r="K702" s="507"/>
      <c r="L702" s="515"/>
      <c r="M702" s="65"/>
      <c r="N702" s="66"/>
      <c r="O702" s="66"/>
      <c r="P702" s="86" t="str">
        <f>IF(AND('331-CT'!$E$7=TH!H702,OR(N702="331",O702="331")),"x","")</f>
        <v/>
      </c>
      <c r="Q702" s="86" t="str">
        <f>IF(AND($B702&gt;='111'!$N$11,$B702&lt;='111'!$O$11,OR($N702=$Q$7,$O702=$Q$7)),"x","")</f>
        <v/>
      </c>
      <c r="R702" s="86" t="str">
        <f>IF(AND($N702=$Q$7,$B702&lt;'111'!$N$11),"x","")</f>
        <v/>
      </c>
      <c r="S702" s="86" t="str">
        <f>IF(AND($O702=$Q$7,$B702&lt;'111'!$N$11),"x","")</f>
        <v/>
      </c>
      <c r="T702" s="86" t="str">
        <f>IF(AND($B702&gt;='112'!$M$9,$B702&lt;='112'!$N$9,OR($N702='112'!$I$6,$O702='112'!$I$6)),"x","")</f>
        <v/>
      </c>
      <c r="U702" s="86" t="str">
        <f>IF(AND($N702='112'!$I$6,$B702&lt;'112'!$M$9),"x","")</f>
        <v/>
      </c>
      <c r="V702" s="86" t="str">
        <f>IF(AND($O702='112'!$I$6,$B702&lt;'112'!$M$9),"x","")</f>
        <v/>
      </c>
      <c r="W702" s="86" t="str">
        <f>IF(AND('131-CT'!$H$9=TH!H702,OR(N702="131",O702="131")),"x","")</f>
        <v/>
      </c>
      <c r="X702" s="86" t="str">
        <f>IF(AND($B702&gt;='1331'!$I$9,$B702&lt;='1331'!$J$9,OR($N702=$X$7,$O702=$X$7)),"x","")</f>
        <v/>
      </c>
      <c r="Y702" s="86" t="str">
        <f>IF(AND($N702=$X$7,$B702&lt;'1331'!$I$9),"x","")</f>
        <v/>
      </c>
      <c r="Z702" s="86" t="str">
        <f>IF(AND($O702=$X$7,$B702&lt;'1331'!$I$9),"x","")</f>
        <v/>
      </c>
      <c r="AA702" s="86" t="str">
        <f>IF(AND('341-CT'!$H$9=H702,OR(LEFT(N702,3)=$AA$7,LEFT(O702,3)=$AA$7)),"x","")</f>
        <v/>
      </c>
      <c r="AB702" s="86" t="str">
        <f>IF(OR(TH!N702=TH!$AB$7,O702=TH!$AB$7),"x","")</f>
        <v/>
      </c>
      <c r="AC702" s="86" t="str">
        <f t="shared" si="47"/>
        <v/>
      </c>
      <c r="AD702" s="86" t="str">
        <f>IF(AND(MONTH(E702)&lt;='IN-NX'!$P$3,'IN-NX'!$D$7=D702,OR(LEFT(TH!N702,2)="15",LEFT(TH!O702,2)="15")),"x","")</f>
        <v/>
      </c>
      <c r="AE702" s="86" t="str">
        <f>IF(AND(OR(LEFT(TH!N702,2)="15",LEFT(TH!O702,2)="15"),'152-CT'!$J$8=TH!F702),"x","")</f>
        <v/>
      </c>
      <c r="AF702" s="86" t="str">
        <f>IF(AND(OR(LEFT(TH!N702,2)="15",LEFT(TH!O702,2)="15"),'THE KHO'!$E$7=TH!F702),"x","")</f>
        <v/>
      </c>
      <c r="AG702" s="86" t="str">
        <f>IF(AND(N702="1521",MONTH(C702)='BK NL'!$M$11),"x","")</f>
        <v/>
      </c>
    </row>
    <row r="703" spans="1:33" ht="15.75" customHeight="1">
      <c r="A703" s="398" t="str">
        <f>IF(B703&lt;&gt;"",IF(AND(B703&gt;=_TM1,B703&lt;=_TM2,OR(TH!N703="1111",TH!O703="1111")),TH!D703,""),"")</f>
        <v/>
      </c>
      <c r="B703" s="63" t="str">
        <f t="shared" si="46"/>
        <v/>
      </c>
      <c r="C703" s="64"/>
      <c r="D703" s="64"/>
      <c r="E703" s="64"/>
      <c r="F703" s="67"/>
      <c r="G703" s="375"/>
      <c r="H703" s="74"/>
      <c r="I703" s="515"/>
      <c r="J703" s="515"/>
      <c r="K703" s="507"/>
      <c r="L703" s="515"/>
      <c r="M703" s="65"/>
      <c r="N703" s="66"/>
      <c r="O703" s="66"/>
      <c r="P703" s="86" t="str">
        <f>IF(AND('331-CT'!$E$7=TH!H703,OR(N703="331",O703="331")),"x","")</f>
        <v/>
      </c>
      <c r="Q703" s="86" t="str">
        <f>IF(AND($B703&gt;='111'!$N$11,$B703&lt;='111'!$O$11,OR($N703=$Q$7,$O703=$Q$7)),"x","")</f>
        <v/>
      </c>
      <c r="R703" s="86" t="str">
        <f>IF(AND($N703=$Q$7,$B703&lt;'111'!$N$11),"x","")</f>
        <v/>
      </c>
      <c r="S703" s="86" t="str">
        <f>IF(AND($O703=$Q$7,$B703&lt;'111'!$N$11),"x","")</f>
        <v/>
      </c>
      <c r="T703" s="86" t="str">
        <f>IF(AND($B703&gt;='112'!$M$9,$B703&lt;='112'!$N$9,OR($N703='112'!$I$6,$O703='112'!$I$6)),"x","")</f>
        <v/>
      </c>
      <c r="U703" s="86" t="str">
        <f>IF(AND($N703='112'!$I$6,$B703&lt;'112'!$M$9),"x","")</f>
        <v/>
      </c>
      <c r="V703" s="86" t="str">
        <f>IF(AND($O703='112'!$I$6,$B703&lt;'112'!$M$9),"x","")</f>
        <v/>
      </c>
      <c r="W703" s="86" t="str">
        <f>IF(AND('131-CT'!$H$9=TH!H703,OR(N703="131",O703="131")),"x","")</f>
        <v/>
      </c>
      <c r="X703" s="86" t="str">
        <f>IF(AND($B703&gt;='1331'!$I$9,$B703&lt;='1331'!$J$9,OR($N703=$X$7,$O703=$X$7)),"x","")</f>
        <v/>
      </c>
      <c r="Y703" s="86" t="str">
        <f>IF(AND($N703=$X$7,$B703&lt;'1331'!$I$9),"x","")</f>
        <v/>
      </c>
      <c r="Z703" s="86" t="str">
        <f>IF(AND($O703=$X$7,$B703&lt;'1331'!$I$9),"x","")</f>
        <v/>
      </c>
      <c r="AA703" s="86" t="str">
        <f>IF(AND('341-CT'!$H$9=H703,OR(LEFT(N703,3)=$AA$7,LEFT(O703,3)=$AA$7)),"x","")</f>
        <v/>
      </c>
      <c r="AB703" s="86" t="str">
        <f>IF(OR(TH!N703=TH!$AB$7,O703=TH!$AB$7),"x","")</f>
        <v/>
      </c>
      <c r="AC703" s="86" t="str">
        <f t="shared" si="47"/>
        <v/>
      </c>
      <c r="AD703" s="86" t="str">
        <f>IF(AND(MONTH(E703)&lt;='IN-NX'!$P$3,'IN-NX'!$D$7=D703,OR(LEFT(TH!N703,2)="15",LEFT(TH!O703,2)="15")),"x","")</f>
        <v/>
      </c>
      <c r="AE703" s="86" t="str">
        <f>IF(AND(OR(LEFT(TH!N703,2)="15",LEFT(TH!O703,2)="15"),'152-CT'!$J$8=TH!F703),"x","")</f>
        <v/>
      </c>
      <c r="AF703" s="86" t="str">
        <f>IF(AND(OR(LEFT(TH!N703,2)="15",LEFT(TH!O703,2)="15"),'THE KHO'!$E$7=TH!F703),"x","")</f>
        <v/>
      </c>
      <c r="AG703" s="86" t="str">
        <f>IF(AND(N703="1521",MONTH(C703)='BK NL'!$M$11),"x","")</f>
        <v/>
      </c>
    </row>
    <row r="704" spans="1:33" ht="15.75" customHeight="1">
      <c r="A704" s="398" t="str">
        <f>IF(B704&lt;&gt;"",IF(AND(B704&gt;=_TM1,B704&lt;=_TM2,OR(TH!N704="1111",TH!O704="1111")),TH!D704,""),"")</f>
        <v/>
      </c>
      <c r="B704" s="63" t="str">
        <f t="shared" si="46"/>
        <v/>
      </c>
      <c r="C704" s="64"/>
      <c r="D704" s="64"/>
      <c r="E704" s="64"/>
      <c r="F704" s="67"/>
      <c r="G704" s="375"/>
      <c r="H704" s="74"/>
      <c r="I704" s="515"/>
      <c r="J704" s="515"/>
      <c r="K704" s="507"/>
      <c r="L704" s="515"/>
      <c r="M704" s="65"/>
      <c r="N704" s="66"/>
      <c r="O704" s="66"/>
      <c r="P704" s="86" t="str">
        <f>IF(AND('331-CT'!$E$7=TH!H704,OR(N704="331",O704="331")),"x","")</f>
        <v/>
      </c>
      <c r="Q704" s="86" t="str">
        <f>IF(AND($B704&gt;='111'!$N$11,$B704&lt;='111'!$O$11,OR($N704=$Q$7,$O704=$Q$7)),"x","")</f>
        <v/>
      </c>
      <c r="R704" s="86" t="str">
        <f>IF(AND($N704=$Q$7,$B704&lt;'111'!$N$11),"x","")</f>
        <v/>
      </c>
      <c r="S704" s="86" t="str">
        <f>IF(AND($O704=$Q$7,$B704&lt;'111'!$N$11),"x","")</f>
        <v/>
      </c>
      <c r="T704" s="86" t="str">
        <f>IF(AND($B704&gt;='112'!$M$9,$B704&lt;='112'!$N$9,OR($N704='112'!$I$6,$O704='112'!$I$6)),"x","")</f>
        <v/>
      </c>
      <c r="U704" s="86" t="str">
        <f>IF(AND($N704='112'!$I$6,$B704&lt;'112'!$M$9),"x","")</f>
        <v/>
      </c>
      <c r="V704" s="86" t="str">
        <f>IF(AND($O704='112'!$I$6,$B704&lt;'112'!$M$9),"x","")</f>
        <v/>
      </c>
      <c r="W704" s="86" t="str">
        <f>IF(AND('131-CT'!$H$9=TH!H704,OR(N704="131",O704="131")),"x","")</f>
        <v/>
      </c>
      <c r="X704" s="86" t="str">
        <f>IF(AND($B704&gt;='1331'!$I$9,$B704&lt;='1331'!$J$9,OR($N704=$X$7,$O704=$X$7)),"x","")</f>
        <v/>
      </c>
      <c r="Y704" s="86" t="str">
        <f>IF(AND($N704=$X$7,$B704&lt;'1331'!$I$9),"x","")</f>
        <v/>
      </c>
      <c r="Z704" s="86" t="str">
        <f>IF(AND($O704=$X$7,$B704&lt;'1331'!$I$9),"x","")</f>
        <v/>
      </c>
      <c r="AA704" s="86" t="str">
        <f>IF(AND('341-CT'!$H$9=H704,OR(LEFT(N704,3)=$AA$7,LEFT(O704,3)=$AA$7)),"x","")</f>
        <v/>
      </c>
      <c r="AB704" s="86" t="str">
        <f>IF(OR(TH!N704=TH!$AB$7,O704=TH!$AB$7),"x","")</f>
        <v/>
      </c>
      <c r="AC704" s="86" t="str">
        <f t="shared" si="47"/>
        <v/>
      </c>
      <c r="AD704" s="86" t="str">
        <f>IF(AND(MONTH(E704)&lt;='IN-NX'!$P$3,'IN-NX'!$D$7=D704,OR(LEFT(TH!N704,2)="15",LEFT(TH!O704,2)="15")),"x","")</f>
        <v/>
      </c>
      <c r="AE704" s="86" t="str">
        <f>IF(AND(OR(LEFT(TH!N704,2)="15",LEFT(TH!O704,2)="15"),'152-CT'!$J$8=TH!F704),"x","")</f>
        <v/>
      </c>
      <c r="AF704" s="86" t="str">
        <f>IF(AND(OR(LEFT(TH!N704,2)="15",LEFT(TH!O704,2)="15"),'THE KHO'!$E$7=TH!F704),"x","")</f>
        <v/>
      </c>
      <c r="AG704" s="86" t="str">
        <f>IF(AND(N704="1521",MONTH(C704)='BK NL'!$M$11),"x","")</f>
        <v/>
      </c>
    </row>
    <row r="705" spans="1:33" ht="15.75" customHeight="1">
      <c r="A705" s="398" t="str">
        <f>IF(B705&lt;&gt;"",IF(AND(B705&gt;=_TM1,B705&lt;=_TM2,OR(TH!N705="1111",TH!O705="1111")),TH!D705,""),"")</f>
        <v/>
      </c>
      <c r="B705" s="63" t="str">
        <f t="shared" si="46"/>
        <v/>
      </c>
      <c r="C705" s="64"/>
      <c r="D705" s="64"/>
      <c r="E705" s="64"/>
      <c r="F705" s="67"/>
      <c r="G705" s="375"/>
      <c r="H705" s="74"/>
      <c r="I705" s="515"/>
      <c r="J705" s="515"/>
      <c r="K705" s="507"/>
      <c r="L705" s="515"/>
      <c r="M705" s="65"/>
      <c r="N705" s="66"/>
      <c r="O705" s="66"/>
      <c r="P705" s="86" t="str">
        <f>IF(AND('331-CT'!$E$7=TH!H705,OR(N705="331",O705="331")),"x","")</f>
        <v/>
      </c>
      <c r="Q705" s="86" t="str">
        <f>IF(AND($B705&gt;='111'!$N$11,$B705&lt;='111'!$O$11,OR($N705=$Q$7,$O705=$Q$7)),"x","")</f>
        <v/>
      </c>
      <c r="R705" s="86" t="str">
        <f>IF(AND($N705=$Q$7,$B705&lt;'111'!$N$11),"x","")</f>
        <v/>
      </c>
      <c r="S705" s="86" t="str">
        <f>IF(AND($O705=$Q$7,$B705&lt;'111'!$N$11),"x","")</f>
        <v/>
      </c>
      <c r="T705" s="86" t="str">
        <f>IF(AND($B705&gt;='112'!$M$9,$B705&lt;='112'!$N$9,OR($N705='112'!$I$6,$O705='112'!$I$6)),"x","")</f>
        <v/>
      </c>
      <c r="U705" s="86" t="str">
        <f>IF(AND($N705='112'!$I$6,$B705&lt;'112'!$M$9),"x","")</f>
        <v/>
      </c>
      <c r="V705" s="86" t="str">
        <f>IF(AND($O705='112'!$I$6,$B705&lt;'112'!$M$9),"x","")</f>
        <v/>
      </c>
      <c r="W705" s="86" t="str">
        <f>IF(AND('131-CT'!$H$9=TH!H705,OR(N705="131",O705="131")),"x","")</f>
        <v/>
      </c>
      <c r="X705" s="86" t="str">
        <f>IF(AND($B705&gt;='1331'!$I$9,$B705&lt;='1331'!$J$9,OR($N705=$X$7,$O705=$X$7)),"x","")</f>
        <v/>
      </c>
      <c r="Y705" s="86" t="str">
        <f>IF(AND($N705=$X$7,$B705&lt;'1331'!$I$9),"x","")</f>
        <v/>
      </c>
      <c r="Z705" s="86" t="str">
        <f>IF(AND($O705=$X$7,$B705&lt;'1331'!$I$9),"x","")</f>
        <v/>
      </c>
      <c r="AA705" s="86" t="str">
        <f>IF(AND('341-CT'!$H$9=H705,OR(LEFT(N705,3)=$AA$7,LEFT(O705,3)=$AA$7)),"x","")</f>
        <v/>
      </c>
      <c r="AB705" s="86" t="str">
        <f>IF(OR(TH!N705=TH!$AB$7,O705=TH!$AB$7),"x","")</f>
        <v/>
      </c>
      <c r="AC705" s="86" t="str">
        <f t="shared" si="47"/>
        <v/>
      </c>
      <c r="AD705" s="86" t="str">
        <f>IF(AND(MONTH(E705)&lt;='IN-NX'!$P$3,'IN-NX'!$D$7=D705,OR(LEFT(TH!N705,2)="15",LEFT(TH!O705,2)="15")),"x","")</f>
        <v/>
      </c>
      <c r="AE705" s="86" t="str">
        <f>IF(AND(OR(LEFT(TH!N705,2)="15",LEFT(TH!O705,2)="15"),'152-CT'!$J$8=TH!F705),"x","")</f>
        <v/>
      </c>
      <c r="AF705" s="86" t="str">
        <f>IF(AND(OR(LEFT(TH!N705,2)="15",LEFT(TH!O705,2)="15"),'THE KHO'!$E$7=TH!F705),"x","")</f>
        <v/>
      </c>
      <c r="AG705" s="86" t="str">
        <f>IF(AND(N705="1521",MONTH(C705)='BK NL'!$M$11),"x","")</f>
        <v/>
      </c>
    </row>
    <row r="706" spans="1:33" ht="15.75" customHeight="1">
      <c r="A706" s="398" t="str">
        <f>IF(B706&lt;&gt;"",IF(AND(B706&gt;=_TM1,B706&lt;=_TM2,OR(TH!N706="1111",TH!O706="1111")),TH!D706,""),"")</f>
        <v/>
      </c>
      <c r="B706" s="63" t="str">
        <f t="shared" si="46"/>
        <v/>
      </c>
      <c r="C706" s="64"/>
      <c r="D706" s="64"/>
      <c r="E706" s="64"/>
      <c r="F706" s="67"/>
      <c r="G706" s="375"/>
      <c r="H706" s="74"/>
      <c r="I706" s="515"/>
      <c r="J706" s="515"/>
      <c r="K706" s="507"/>
      <c r="L706" s="515"/>
      <c r="M706" s="65"/>
      <c r="N706" s="66"/>
      <c r="O706" s="66"/>
      <c r="P706" s="86" t="str">
        <f>IF(AND('331-CT'!$E$7=TH!H706,OR(N706="331",O706="331")),"x","")</f>
        <v/>
      </c>
      <c r="Q706" s="86" t="str">
        <f>IF(AND($B706&gt;='111'!$N$11,$B706&lt;='111'!$O$11,OR($N706=$Q$7,$O706=$Q$7)),"x","")</f>
        <v/>
      </c>
      <c r="R706" s="86" t="str">
        <f>IF(AND($N706=$Q$7,$B706&lt;'111'!$N$11),"x","")</f>
        <v/>
      </c>
      <c r="S706" s="86" t="str">
        <f>IF(AND($O706=$Q$7,$B706&lt;'111'!$N$11),"x","")</f>
        <v/>
      </c>
      <c r="T706" s="86" t="str">
        <f>IF(AND($B706&gt;='112'!$M$9,$B706&lt;='112'!$N$9,OR($N706='112'!$I$6,$O706='112'!$I$6)),"x","")</f>
        <v/>
      </c>
      <c r="U706" s="86" t="str">
        <f>IF(AND($N706='112'!$I$6,$B706&lt;'112'!$M$9),"x","")</f>
        <v/>
      </c>
      <c r="V706" s="86" t="str">
        <f>IF(AND($O706='112'!$I$6,$B706&lt;'112'!$M$9),"x","")</f>
        <v/>
      </c>
      <c r="W706" s="86" t="str">
        <f>IF(AND('131-CT'!$H$9=TH!H706,OR(N706="131",O706="131")),"x","")</f>
        <v/>
      </c>
      <c r="X706" s="86" t="str">
        <f>IF(AND($B706&gt;='1331'!$I$9,$B706&lt;='1331'!$J$9,OR($N706=$X$7,$O706=$X$7)),"x","")</f>
        <v/>
      </c>
      <c r="Y706" s="86" t="str">
        <f>IF(AND($N706=$X$7,$B706&lt;'1331'!$I$9),"x","")</f>
        <v/>
      </c>
      <c r="Z706" s="86" t="str">
        <f>IF(AND($O706=$X$7,$B706&lt;'1331'!$I$9),"x","")</f>
        <v/>
      </c>
      <c r="AA706" s="86" t="str">
        <f>IF(AND('341-CT'!$H$9=H706,OR(LEFT(N706,3)=$AA$7,LEFT(O706,3)=$AA$7)),"x","")</f>
        <v/>
      </c>
      <c r="AB706" s="86" t="str">
        <f>IF(OR(TH!N706=TH!$AB$7,O706=TH!$AB$7),"x","")</f>
        <v/>
      </c>
      <c r="AC706" s="86" t="str">
        <f t="shared" si="47"/>
        <v/>
      </c>
      <c r="AD706" s="86" t="str">
        <f>IF(AND(MONTH(E706)&lt;='IN-NX'!$P$3,'IN-NX'!$D$7=D706,OR(LEFT(TH!N706,2)="15",LEFT(TH!O706,2)="15")),"x","")</f>
        <v/>
      </c>
      <c r="AE706" s="86" t="str">
        <f>IF(AND(OR(LEFT(TH!N706,2)="15",LEFT(TH!O706,2)="15"),'152-CT'!$J$8=TH!F706),"x","")</f>
        <v/>
      </c>
      <c r="AF706" s="86" t="str">
        <f>IF(AND(OR(LEFT(TH!N706,2)="15",LEFT(TH!O706,2)="15"),'THE KHO'!$E$7=TH!F706),"x","")</f>
        <v/>
      </c>
      <c r="AG706" s="86" t="str">
        <f>IF(AND(N706="1521",MONTH(C706)='BK NL'!$M$11),"x","")</f>
        <v/>
      </c>
    </row>
    <row r="707" spans="1:33" ht="15.75" customHeight="1">
      <c r="A707" s="398" t="str">
        <f>IF(B707&lt;&gt;"",IF(AND(B707&gt;=_TM1,B707&lt;=_TM2,OR(TH!N707="1111",TH!O707="1111")),TH!D707,""),"")</f>
        <v/>
      </c>
      <c r="B707" s="63" t="str">
        <f t="shared" si="46"/>
        <v/>
      </c>
      <c r="C707" s="64"/>
      <c r="D707" s="64"/>
      <c r="E707" s="64"/>
      <c r="F707" s="67"/>
      <c r="G707" s="375"/>
      <c r="H707" s="74"/>
      <c r="I707" s="515"/>
      <c r="J707" s="515"/>
      <c r="K707" s="507"/>
      <c r="L707" s="515"/>
      <c r="M707" s="65"/>
      <c r="N707" s="66"/>
      <c r="O707" s="66"/>
      <c r="P707" s="86" t="str">
        <f>IF(AND('331-CT'!$E$7=TH!H707,OR(N707="331",O707="331")),"x","")</f>
        <v/>
      </c>
      <c r="Q707" s="86" t="str">
        <f>IF(AND($B707&gt;='111'!$N$11,$B707&lt;='111'!$O$11,OR($N707=$Q$7,$O707=$Q$7)),"x","")</f>
        <v/>
      </c>
      <c r="R707" s="86" t="str">
        <f>IF(AND($N707=$Q$7,$B707&lt;'111'!$N$11),"x","")</f>
        <v/>
      </c>
      <c r="S707" s="86" t="str">
        <f>IF(AND($O707=$Q$7,$B707&lt;'111'!$N$11),"x","")</f>
        <v/>
      </c>
      <c r="T707" s="86" t="str">
        <f>IF(AND($B707&gt;='112'!$M$9,$B707&lt;='112'!$N$9,OR($N707='112'!$I$6,$O707='112'!$I$6)),"x","")</f>
        <v/>
      </c>
      <c r="U707" s="86" t="str">
        <f>IF(AND($N707='112'!$I$6,$B707&lt;'112'!$M$9),"x","")</f>
        <v/>
      </c>
      <c r="V707" s="86" t="str">
        <f>IF(AND($O707='112'!$I$6,$B707&lt;'112'!$M$9),"x","")</f>
        <v/>
      </c>
      <c r="W707" s="86" t="str">
        <f>IF(AND('131-CT'!$H$9=TH!H707,OR(N707="131",O707="131")),"x","")</f>
        <v/>
      </c>
      <c r="X707" s="86" t="str">
        <f>IF(AND($B707&gt;='1331'!$I$9,$B707&lt;='1331'!$J$9,OR($N707=$X$7,$O707=$X$7)),"x","")</f>
        <v/>
      </c>
      <c r="Y707" s="86" t="str">
        <f>IF(AND($N707=$X$7,$B707&lt;'1331'!$I$9),"x","")</f>
        <v/>
      </c>
      <c r="Z707" s="86" t="str">
        <f>IF(AND($O707=$X$7,$B707&lt;'1331'!$I$9),"x","")</f>
        <v/>
      </c>
      <c r="AA707" s="86" t="str">
        <f>IF(AND('341-CT'!$H$9=H707,OR(LEFT(N707,3)=$AA$7,LEFT(O707,3)=$AA$7)),"x","")</f>
        <v/>
      </c>
      <c r="AB707" s="86" t="str">
        <f>IF(OR(TH!N707=TH!$AB$7,O707=TH!$AB$7),"x","")</f>
        <v/>
      </c>
      <c r="AC707" s="86" t="str">
        <f t="shared" si="47"/>
        <v/>
      </c>
      <c r="AD707" s="86" t="str">
        <f>IF(AND(MONTH(E707)&lt;='IN-NX'!$P$3,'IN-NX'!$D$7=D707,OR(LEFT(TH!N707,2)="15",LEFT(TH!O707,2)="15")),"x","")</f>
        <v/>
      </c>
      <c r="AE707" s="86" t="str">
        <f>IF(AND(OR(LEFT(TH!N707,2)="15",LEFT(TH!O707,2)="15"),'152-CT'!$J$8=TH!F707),"x","")</f>
        <v/>
      </c>
      <c r="AF707" s="86" t="str">
        <f>IF(AND(OR(LEFT(TH!N707,2)="15",LEFT(TH!O707,2)="15"),'THE KHO'!$E$7=TH!F707),"x","")</f>
        <v/>
      </c>
      <c r="AG707" s="86" t="str">
        <f>IF(AND(N707="1521",MONTH(C707)='BK NL'!$M$11),"x","")</f>
        <v/>
      </c>
    </row>
    <row r="708" spans="1:33" ht="15.75" customHeight="1">
      <c r="A708" s="398" t="str">
        <f>IF(B708&lt;&gt;"",IF(AND(B708&gt;=_TM1,B708&lt;=_TM2,OR(TH!N708="1111",TH!O708="1111")),TH!D708,""),"")</f>
        <v/>
      </c>
      <c r="B708" s="63" t="str">
        <f t="shared" si="46"/>
        <v/>
      </c>
      <c r="C708" s="64"/>
      <c r="D708" s="64"/>
      <c r="E708" s="64"/>
      <c r="F708" s="67"/>
      <c r="G708" s="375"/>
      <c r="H708" s="74"/>
      <c r="I708" s="515"/>
      <c r="J708" s="515"/>
      <c r="K708" s="507"/>
      <c r="L708" s="515"/>
      <c r="M708" s="65"/>
      <c r="N708" s="66"/>
      <c r="O708" s="66"/>
      <c r="P708" s="86" t="str">
        <f>IF(AND('331-CT'!$E$7=TH!H708,OR(N708="331",O708="331")),"x","")</f>
        <v/>
      </c>
      <c r="Q708" s="86" t="str">
        <f>IF(AND($B708&gt;='111'!$N$11,$B708&lt;='111'!$O$11,OR($N708=$Q$7,$O708=$Q$7)),"x","")</f>
        <v/>
      </c>
      <c r="R708" s="86" t="str">
        <f>IF(AND($N708=$Q$7,$B708&lt;'111'!$N$11),"x","")</f>
        <v/>
      </c>
      <c r="S708" s="86" t="str">
        <f>IF(AND($O708=$Q$7,$B708&lt;'111'!$N$11),"x","")</f>
        <v/>
      </c>
      <c r="T708" s="86" t="str">
        <f>IF(AND($B708&gt;='112'!$M$9,$B708&lt;='112'!$N$9,OR($N708='112'!$I$6,$O708='112'!$I$6)),"x","")</f>
        <v/>
      </c>
      <c r="U708" s="86" t="str">
        <f>IF(AND($N708='112'!$I$6,$B708&lt;'112'!$M$9),"x","")</f>
        <v/>
      </c>
      <c r="V708" s="86" t="str">
        <f>IF(AND($O708='112'!$I$6,$B708&lt;'112'!$M$9),"x","")</f>
        <v/>
      </c>
      <c r="W708" s="86" t="str">
        <f>IF(AND('131-CT'!$H$9=TH!H708,OR(N708="131",O708="131")),"x","")</f>
        <v/>
      </c>
      <c r="X708" s="86" t="str">
        <f>IF(AND($B708&gt;='1331'!$I$9,$B708&lt;='1331'!$J$9,OR($N708=$X$7,$O708=$X$7)),"x","")</f>
        <v/>
      </c>
      <c r="Y708" s="86" t="str">
        <f>IF(AND($N708=$X$7,$B708&lt;'1331'!$I$9),"x","")</f>
        <v/>
      </c>
      <c r="Z708" s="86" t="str">
        <f>IF(AND($O708=$X$7,$B708&lt;'1331'!$I$9),"x","")</f>
        <v/>
      </c>
      <c r="AA708" s="86" t="str">
        <f>IF(AND('341-CT'!$H$9=H708,OR(LEFT(N708,3)=$AA$7,LEFT(O708,3)=$AA$7)),"x","")</f>
        <v/>
      </c>
      <c r="AB708" s="86" t="str">
        <f>IF(OR(TH!N708=TH!$AB$7,O708=TH!$AB$7),"x","")</f>
        <v/>
      </c>
      <c r="AC708" s="86" t="str">
        <f t="shared" si="47"/>
        <v/>
      </c>
      <c r="AD708" s="86" t="str">
        <f>IF(AND(MONTH(E708)&lt;='IN-NX'!$P$3,'IN-NX'!$D$7=D708,OR(LEFT(TH!N708,2)="15",LEFT(TH!O708,2)="15")),"x","")</f>
        <v/>
      </c>
      <c r="AE708" s="86" t="str">
        <f>IF(AND(OR(LEFT(TH!N708,2)="15",LEFT(TH!O708,2)="15"),'152-CT'!$J$8=TH!F708),"x","")</f>
        <v/>
      </c>
      <c r="AF708" s="86" t="str">
        <f>IF(AND(OR(LEFT(TH!N708,2)="15",LEFT(TH!O708,2)="15"),'THE KHO'!$E$7=TH!F708),"x","")</f>
        <v/>
      </c>
      <c r="AG708" s="86" t="str">
        <f>IF(AND(N708="1521",MONTH(C708)='BK NL'!$M$11),"x","")</f>
        <v/>
      </c>
    </row>
    <row r="709" spans="1:33" ht="15.75" customHeight="1">
      <c r="A709" s="398" t="str">
        <f>IF(B709&lt;&gt;"",IF(AND(B709&gt;=_TM1,B709&lt;=_TM2,OR(TH!N709="1111",TH!O709="1111")),TH!D709,""),"")</f>
        <v/>
      </c>
      <c r="B709" s="63" t="str">
        <f t="shared" si="46"/>
        <v/>
      </c>
      <c r="C709" s="64"/>
      <c r="D709" s="64"/>
      <c r="E709" s="64"/>
      <c r="F709" s="67"/>
      <c r="G709" s="375"/>
      <c r="H709" s="74"/>
      <c r="I709" s="515"/>
      <c r="J709" s="515"/>
      <c r="K709" s="507"/>
      <c r="L709" s="515"/>
      <c r="M709" s="65"/>
      <c r="N709" s="66"/>
      <c r="O709" s="66"/>
      <c r="P709" s="86" t="str">
        <f>IF(AND('331-CT'!$E$7=TH!H709,OR(N709="331",O709="331")),"x","")</f>
        <v/>
      </c>
      <c r="Q709" s="86" t="str">
        <f>IF(AND($B709&gt;='111'!$N$11,$B709&lt;='111'!$O$11,OR($N709=$Q$7,$O709=$Q$7)),"x","")</f>
        <v/>
      </c>
      <c r="R709" s="86" t="str">
        <f>IF(AND($N709=$Q$7,$B709&lt;'111'!$N$11),"x","")</f>
        <v/>
      </c>
      <c r="S709" s="86" t="str">
        <f>IF(AND($O709=$Q$7,$B709&lt;'111'!$N$11),"x","")</f>
        <v/>
      </c>
      <c r="T709" s="86" t="str">
        <f>IF(AND($B709&gt;='112'!$M$9,$B709&lt;='112'!$N$9,OR($N709='112'!$I$6,$O709='112'!$I$6)),"x","")</f>
        <v/>
      </c>
      <c r="U709" s="86" t="str">
        <f>IF(AND($N709='112'!$I$6,$B709&lt;'112'!$M$9),"x","")</f>
        <v/>
      </c>
      <c r="V709" s="86" t="str">
        <f>IF(AND($O709='112'!$I$6,$B709&lt;'112'!$M$9),"x","")</f>
        <v/>
      </c>
      <c r="W709" s="86" t="str">
        <f>IF(AND('131-CT'!$H$9=TH!H709,OR(N709="131",O709="131")),"x","")</f>
        <v/>
      </c>
      <c r="X709" s="86" t="str">
        <f>IF(AND($B709&gt;='1331'!$I$9,$B709&lt;='1331'!$J$9,OR($N709=$X$7,$O709=$X$7)),"x","")</f>
        <v/>
      </c>
      <c r="Y709" s="86" t="str">
        <f>IF(AND($N709=$X$7,$B709&lt;'1331'!$I$9),"x","")</f>
        <v/>
      </c>
      <c r="Z709" s="86" t="str">
        <f>IF(AND($O709=$X$7,$B709&lt;'1331'!$I$9),"x","")</f>
        <v/>
      </c>
      <c r="AA709" s="86" t="str">
        <f>IF(AND('341-CT'!$H$9=H709,OR(LEFT(N709,3)=$AA$7,LEFT(O709,3)=$AA$7)),"x","")</f>
        <v/>
      </c>
      <c r="AB709" s="86" t="str">
        <f>IF(OR(TH!N709=TH!$AB$7,O709=TH!$AB$7),"x","")</f>
        <v/>
      </c>
      <c r="AC709" s="86" t="str">
        <f t="shared" si="47"/>
        <v/>
      </c>
      <c r="AD709" s="86" t="str">
        <f>IF(AND(MONTH(E709)&lt;='IN-NX'!$P$3,'IN-NX'!$D$7=D709,OR(LEFT(TH!N709,2)="15",LEFT(TH!O709,2)="15")),"x","")</f>
        <v/>
      </c>
      <c r="AE709" s="86" t="str">
        <f>IF(AND(OR(LEFT(TH!N709,2)="15",LEFT(TH!O709,2)="15"),'152-CT'!$J$8=TH!F709),"x","")</f>
        <v/>
      </c>
      <c r="AF709" s="86" t="str">
        <f>IF(AND(OR(LEFT(TH!N709,2)="15",LEFT(TH!O709,2)="15"),'THE KHO'!$E$7=TH!F709),"x","")</f>
        <v/>
      </c>
      <c r="AG709" s="86" t="str">
        <f>IF(AND(N709="1521",MONTH(C709)='BK NL'!$M$11),"x","")</f>
        <v/>
      </c>
    </row>
    <row r="710" spans="1:33" ht="15.75" customHeight="1">
      <c r="A710" s="398" t="str">
        <f>IF(B710&lt;&gt;"",IF(AND(B710&gt;=_TM1,B710&lt;=_TM2,OR(TH!N710="1111",TH!O710="1111")),TH!D710,""),"")</f>
        <v/>
      </c>
      <c r="B710" s="63" t="str">
        <f t="shared" si="46"/>
        <v/>
      </c>
      <c r="C710" s="64"/>
      <c r="D710" s="64"/>
      <c r="E710" s="64"/>
      <c r="F710" s="67"/>
      <c r="G710" s="375"/>
      <c r="H710" s="74"/>
      <c r="I710" s="515"/>
      <c r="J710" s="515"/>
      <c r="K710" s="507"/>
      <c r="L710" s="515"/>
      <c r="M710" s="65"/>
      <c r="N710" s="66"/>
      <c r="O710" s="66"/>
      <c r="P710" s="86" t="str">
        <f>IF(AND('331-CT'!$E$7=TH!H710,OR(N710="331",O710="331")),"x","")</f>
        <v/>
      </c>
      <c r="Q710" s="86" t="str">
        <f>IF(AND($B710&gt;='111'!$N$11,$B710&lt;='111'!$O$11,OR($N710=$Q$7,$O710=$Q$7)),"x","")</f>
        <v/>
      </c>
      <c r="R710" s="86" t="str">
        <f>IF(AND($N710=$Q$7,$B710&lt;'111'!$N$11),"x","")</f>
        <v/>
      </c>
      <c r="S710" s="86" t="str">
        <f>IF(AND($O710=$Q$7,$B710&lt;'111'!$N$11),"x","")</f>
        <v/>
      </c>
      <c r="T710" s="86" t="str">
        <f>IF(AND($B710&gt;='112'!$M$9,$B710&lt;='112'!$N$9,OR($N710='112'!$I$6,$O710='112'!$I$6)),"x","")</f>
        <v/>
      </c>
      <c r="U710" s="86" t="str">
        <f>IF(AND($N710='112'!$I$6,$B710&lt;'112'!$M$9),"x","")</f>
        <v/>
      </c>
      <c r="V710" s="86" t="str">
        <f>IF(AND($O710='112'!$I$6,$B710&lt;'112'!$M$9),"x","")</f>
        <v/>
      </c>
      <c r="W710" s="86" t="str">
        <f>IF(AND('131-CT'!$H$9=TH!H710,OR(N710="131",O710="131")),"x","")</f>
        <v/>
      </c>
      <c r="X710" s="86" t="str">
        <f>IF(AND($B710&gt;='1331'!$I$9,$B710&lt;='1331'!$J$9,OR($N710=$X$7,$O710=$X$7)),"x","")</f>
        <v/>
      </c>
      <c r="Y710" s="86" t="str">
        <f>IF(AND($N710=$X$7,$B710&lt;'1331'!$I$9),"x","")</f>
        <v/>
      </c>
      <c r="Z710" s="86" t="str">
        <f>IF(AND($O710=$X$7,$B710&lt;'1331'!$I$9),"x","")</f>
        <v/>
      </c>
      <c r="AA710" s="86" t="str">
        <f>IF(AND('341-CT'!$H$9=H710,OR(LEFT(N710,3)=$AA$7,LEFT(O710,3)=$AA$7)),"x","")</f>
        <v/>
      </c>
      <c r="AB710" s="86" t="str">
        <f>IF(OR(TH!N710=TH!$AB$7,O710=TH!$AB$7),"x","")</f>
        <v/>
      </c>
      <c r="AC710" s="86" t="str">
        <f t="shared" si="47"/>
        <v/>
      </c>
      <c r="AD710" s="86" t="str">
        <f>IF(AND(MONTH(E710)&lt;='IN-NX'!$P$3,'IN-NX'!$D$7=D710,OR(LEFT(TH!N710,2)="15",LEFT(TH!O710,2)="15")),"x","")</f>
        <v/>
      </c>
      <c r="AE710" s="86" t="str">
        <f>IF(AND(OR(LEFT(TH!N710,2)="15",LEFT(TH!O710,2)="15"),'152-CT'!$J$8=TH!F710),"x","")</f>
        <v/>
      </c>
      <c r="AF710" s="86" t="str">
        <f>IF(AND(OR(LEFT(TH!N710,2)="15",LEFT(TH!O710,2)="15"),'THE KHO'!$E$7=TH!F710),"x","")</f>
        <v/>
      </c>
      <c r="AG710" s="86" t="str">
        <f>IF(AND(N710="1521",MONTH(C710)='BK NL'!$M$11),"x","")</f>
        <v/>
      </c>
    </row>
    <row r="711" spans="1:33" ht="15.75" customHeight="1">
      <c r="A711" s="398" t="str">
        <f>IF(B711&lt;&gt;"",IF(AND(B711&gt;=_TM1,B711&lt;=_TM2,OR(TH!N711="1111",TH!O711="1111")),TH!D711,""),"")</f>
        <v/>
      </c>
      <c r="B711" s="63" t="str">
        <f t="shared" si="46"/>
        <v/>
      </c>
      <c r="C711" s="64"/>
      <c r="D711" s="64"/>
      <c r="E711" s="64"/>
      <c r="F711" s="67"/>
      <c r="G711" s="361"/>
      <c r="H711" s="364"/>
      <c r="I711" s="515"/>
      <c r="J711" s="515"/>
      <c r="K711" s="507"/>
      <c r="L711" s="515"/>
      <c r="M711" s="65"/>
      <c r="N711" s="66"/>
      <c r="O711" s="66"/>
      <c r="P711" s="86" t="str">
        <f>IF(AND('331-CT'!$E$7=TH!H711,OR(N711="331",O711="331")),"x","")</f>
        <v/>
      </c>
      <c r="Q711" s="86" t="str">
        <f>IF(AND($B711&gt;='111'!$N$11,$B711&lt;='111'!$O$11,OR($N711=$Q$7,$O711=$Q$7)),"x","")</f>
        <v/>
      </c>
      <c r="R711" s="86" t="str">
        <f>IF(AND($N711=$Q$7,$B711&lt;'111'!$N$11),"x","")</f>
        <v/>
      </c>
      <c r="S711" s="86" t="str">
        <f>IF(AND($O711=$Q$7,$B711&lt;'111'!$N$11),"x","")</f>
        <v/>
      </c>
      <c r="T711" s="86" t="str">
        <f>IF(AND($B711&gt;='112'!$M$9,$B711&lt;='112'!$N$9,OR($N711='112'!$I$6,$O711='112'!$I$6)),"x","")</f>
        <v/>
      </c>
      <c r="U711" s="86" t="str">
        <f>IF(AND($N711='112'!$I$6,$B711&lt;'112'!$M$9),"x","")</f>
        <v/>
      </c>
      <c r="V711" s="86" t="str">
        <f>IF(AND($O711='112'!$I$6,$B711&lt;'112'!$M$9),"x","")</f>
        <v/>
      </c>
      <c r="W711" s="86" t="str">
        <f>IF(AND('131-CT'!$H$9=TH!H711,OR(N711="131",O711="131")),"x","")</f>
        <v/>
      </c>
      <c r="X711" s="86" t="str">
        <f>IF(AND($B711&gt;='1331'!$I$9,$B711&lt;='1331'!$J$9,OR($N711=$X$7,$O711=$X$7)),"x","")</f>
        <v/>
      </c>
      <c r="Y711" s="86" t="str">
        <f>IF(AND($N711=$X$7,$B711&lt;'1331'!$I$9),"x","")</f>
        <v/>
      </c>
      <c r="Z711" s="86" t="str">
        <f>IF(AND($O711=$X$7,$B711&lt;'1331'!$I$9),"x","")</f>
        <v/>
      </c>
      <c r="AA711" s="86" t="str">
        <f>IF(AND('341-CT'!$H$9=H711,OR(LEFT(N711,3)=$AA$7,LEFT(O711,3)=$AA$7)),"x","")</f>
        <v/>
      </c>
      <c r="AB711" s="86" t="str">
        <f>IF(OR(TH!N711=TH!$AB$7,O711=TH!$AB$7),"x","")</f>
        <v/>
      </c>
      <c r="AC711" s="86" t="str">
        <f t="shared" si="47"/>
        <v/>
      </c>
      <c r="AD711" s="86" t="str">
        <f>IF(AND(MONTH(E711)&lt;='IN-NX'!$P$3,'IN-NX'!$D$7=D711,OR(LEFT(TH!N711,2)="15",LEFT(TH!O711,2)="15")),"x","")</f>
        <v/>
      </c>
      <c r="AE711" s="86" t="str">
        <f>IF(AND(OR(LEFT(TH!N711,2)="15",LEFT(TH!O711,2)="15"),'152-CT'!$J$8=TH!F711),"x","")</f>
        <v/>
      </c>
      <c r="AF711" s="86" t="str">
        <f>IF(AND(OR(LEFT(TH!N711,2)="15",LEFT(TH!O711,2)="15"),'THE KHO'!$E$7=TH!F711),"x","")</f>
        <v/>
      </c>
      <c r="AG711" s="86" t="str">
        <f>IF(AND(N711="1521",MONTH(C711)='BK NL'!$M$11),"x","")</f>
        <v/>
      </c>
    </row>
    <row r="712" spans="1:33" ht="15.75" customHeight="1">
      <c r="A712" s="398" t="str">
        <f>IF(B712&lt;&gt;"",IF(AND(B712&gt;=_TM1,B712&lt;=_TM2,OR(TH!N712="1111",TH!O712="1111")),TH!D712,""),"")</f>
        <v/>
      </c>
      <c r="B712" s="63" t="str">
        <f t="shared" ref="B712:B775" si="48">IF(C712&lt;&gt;"",MONTH(C712),"")</f>
        <v/>
      </c>
      <c r="C712" s="64"/>
      <c r="D712" s="64"/>
      <c r="E712" s="64"/>
      <c r="F712" s="67"/>
      <c r="G712" s="361"/>
      <c r="H712" s="74"/>
      <c r="I712" s="515"/>
      <c r="J712" s="515"/>
      <c r="K712" s="507"/>
      <c r="L712" s="515"/>
      <c r="M712" s="65"/>
      <c r="N712" s="66"/>
      <c r="O712" s="66"/>
      <c r="P712" s="86" t="str">
        <f>IF(AND('331-CT'!$E$7=TH!H712,OR(N712="331",O712="331")),"x","")</f>
        <v/>
      </c>
      <c r="Q712" s="86" t="str">
        <f>IF(AND($B712&gt;='111'!$N$11,$B712&lt;='111'!$O$11,OR($N712=$Q$7,$O712=$Q$7)),"x","")</f>
        <v/>
      </c>
      <c r="R712" s="86" t="str">
        <f>IF(AND($N712=$Q$7,$B712&lt;'111'!$N$11),"x","")</f>
        <v/>
      </c>
      <c r="S712" s="86" t="str">
        <f>IF(AND($O712=$Q$7,$B712&lt;'111'!$N$11),"x","")</f>
        <v/>
      </c>
      <c r="T712" s="86" t="str">
        <f>IF(AND($B712&gt;='112'!$M$9,$B712&lt;='112'!$N$9,OR($N712='112'!$I$6,$O712='112'!$I$6)),"x","")</f>
        <v/>
      </c>
      <c r="U712" s="86" t="str">
        <f>IF(AND($N712='112'!$I$6,$B712&lt;'112'!$M$9),"x","")</f>
        <v/>
      </c>
      <c r="V712" s="86" t="str">
        <f>IF(AND($O712='112'!$I$6,$B712&lt;'112'!$M$9),"x","")</f>
        <v/>
      </c>
      <c r="W712" s="86" t="str">
        <f>IF(AND('131-CT'!$H$9=TH!H712,OR(N712="131",O712="131")),"x","")</f>
        <v/>
      </c>
      <c r="X712" s="86" t="str">
        <f>IF(AND($B712&gt;='1331'!$I$9,$B712&lt;='1331'!$J$9,OR($N712=$X$7,$O712=$X$7)),"x","")</f>
        <v/>
      </c>
      <c r="Y712" s="86" t="str">
        <f>IF(AND($N712=$X$7,$B712&lt;'1331'!$I$9),"x","")</f>
        <v/>
      </c>
      <c r="Z712" s="86" t="str">
        <f>IF(AND($O712=$X$7,$B712&lt;'1331'!$I$9),"x","")</f>
        <v/>
      </c>
      <c r="AA712" s="86" t="str">
        <f>IF(AND('341-CT'!$H$9=H712,OR(LEFT(N712,3)=$AA$7,LEFT(O712,3)=$AA$7)),"x","")</f>
        <v/>
      </c>
      <c r="AB712" s="86" t="str">
        <f>IF(OR(TH!N712=TH!$AB$7,O712=TH!$AB$7),"x","")</f>
        <v/>
      </c>
      <c r="AC712" s="86" t="str">
        <f t="shared" si="47"/>
        <v/>
      </c>
      <c r="AD712" s="86" t="str">
        <f>IF(AND(MONTH(E712)&lt;='IN-NX'!$P$3,'IN-NX'!$D$7=D712,OR(LEFT(TH!N712,2)="15",LEFT(TH!O712,2)="15")),"x","")</f>
        <v/>
      </c>
      <c r="AE712" s="86" t="str">
        <f>IF(AND(OR(LEFT(TH!N712,2)="15",LEFT(TH!O712,2)="15"),'152-CT'!$J$8=TH!F712),"x","")</f>
        <v/>
      </c>
      <c r="AF712" s="86" t="str">
        <f>IF(AND(OR(LEFT(TH!N712,2)="15",LEFT(TH!O712,2)="15"),'THE KHO'!$E$7=TH!F712),"x","")</f>
        <v/>
      </c>
      <c r="AG712" s="86" t="str">
        <f>IF(AND(N712="1521",MONTH(C712)='BK NL'!$M$11),"x","")</f>
        <v/>
      </c>
    </row>
    <row r="713" spans="1:33" ht="15.75" customHeight="1">
      <c r="A713" s="398" t="str">
        <f>IF(B713&lt;&gt;"",IF(AND(B713&gt;=_TM1,B713&lt;=_TM2,OR(TH!N713="1111",TH!O713="1111")),TH!D713,""),"")</f>
        <v/>
      </c>
      <c r="B713" s="63" t="str">
        <f t="shared" si="48"/>
        <v/>
      </c>
      <c r="C713" s="64"/>
      <c r="D713" s="64"/>
      <c r="E713" s="64"/>
      <c r="F713" s="67"/>
      <c r="G713" s="361"/>
      <c r="H713" s="74"/>
      <c r="I713" s="515"/>
      <c r="J713" s="515"/>
      <c r="K713" s="507"/>
      <c r="L713" s="515"/>
      <c r="M713" s="65"/>
      <c r="N713" s="66"/>
      <c r="O713" s="66"/>
      <c r="P713" s="86" t="str">
        <f>IF(AND('331-CT'!$E$7=TH!H713,OR(N713="331",O713="331")),"x","")</f>
        <v/>
      </c>
      <c r="Q713" s="86" t="str">
        <f>IF(AND($B713&gt;='111'!$N$11,$B713&lt;='111'!$O$11,OR($N713=$Q$7,$O713=$Q$7)),"x","")</f>
        <v/>
      </c>
      <c r="R713" s="86" t="str">
        <f>IF(AND($N713=$Q$7,$B713&lt;'111'!$N$11),"x","")</f>
        <v/>
      </c>
      <c r="S713" s="86" t="str">
        <f>IF(AND($O713=$Q$7,$B713&lt;'111'!$N$11),"x","")</f>
        <v/>
      </c>
      <c r="T713" s="86" t="str">
        <f>IF(AND($B713&gt;='112'!$M$9,$B713&lt;='112'!$N$9,OR($N713='112'!$I$6,$O713='112'!$I$6)),"x","")</f>
        <v/>
      </c>
      <c r="U713" s="86" t="str">
        <f>IF(AND($N713='112'!$I$6,$B713&lt;'112'!$M$9),"x","")</f>
        <v/>
      </c>
      <c r="V713" s="86" t="str">
        <f>IF(AND($O713='112'!$I$6,$B713&lt;'112'!$M$9),"x","")</f>
        <v/>
      </c>
      <c r="W713" s="86" t="str">
        <f>IF(AND('131-CT'!$H$9=TH!H713,OR(N713="131",O713="131")),"x","")</f>
        <v/>
      </c>
      <c r="X713" s="86" t="str">
        <f>IF(AND($B713&gt;='1331'!$I$9,$B713&lt;='1331'!$J$9,OR($N713=$X$7,$O713=$X$7)),"x","")</f>
        <v/>
      </c>
      <c r="Y713" s="86" t="str">
        <f>IF(AND($N713=$X$7,$B713&lt;'1331'!$I$9),"x","")</f>
        <v/>
      </c>
      <c r="Z713" s="86" t="str">
        <f>IF(AND($O713=$X$7,$B713&lt;'1331'!$I$9),"x","")</f>
        <v/>
      </c>
      <c r="AA713" s="86" t="str">
        <f>IF(AND('341-CT'!$H$9=H713,OR(LEFT(N713,3)=$AA$7,LEFT(O713,3)=$AA$7)),"x","")</f>
        <v/>
      </c>
      <c r="AB713" s="86" t="str">
        <f>IF(OR(TH!N713=TH!$AB$7,O713=TH!$AB$7),"x","")</f>
        <v/>
      </c>
      <c r="AC713" s="86" t="str">
        <f t="shared" si="47"/>
        <v/>
      </c>
      <c r="AD713" s="86" t="str">
        <f>IF(AND(MONTH(E713)&lt;='IN-NX'!$P$3,'IN-NX'!$D$7=D713,OR(LEFT(TH!N713,2)="15",LEFT(TH!O713,2)="15")),"x","")</f>
        <v/>
      </c>
      <c r="AE713" s="86" t="str">
        <f>IF(AND(OR(LEFT(TH!N713,2)="15",LEFT(TH!O713,2)="15"),'152-CT'!$J$8=TH!F713),"x","")</f>
        <v/>
      </c>
      <c r="AF713" s="86" t="str">
        <f>IF(AND(OR(LEFT(TH!N713,2)="15",LEFT(TH!O713,2)="15"),'THE KHO'!$E$7=TH!F713),"x","")</f>
        <v/>
      </c>
      <c r="AG713" s="86" t="str">
        <f>IF(AND(N713="1521",MONTH(C713)='BK NL'!$M$11),"x","")</f>
        <v/>
      </c>
    </row>
    <row r="714" spans="1:33" ht="15.75" customHeight="1">
      <c r="A714" s="398" t="str">
        <f>IF(B714&lt;&gt;"",IF(AND(B714&gt;=_TM1,B714&lt;=_TM2,OR(TH!N714="1111",TH!O714="1111")),TH!D714,""),"")</f>
        <v/>
      </c>
      <c r="B714" s="63" t="str">
        <f t="shared" si="48"/>
        <v/>
      </c>
      <c r="C714" s="64"/>
      <c r="D714" s="64"/>
      <c r="E714" s="64"/>
      <c r="F714" s="67"/>
      <c r="G714" s="361"/>
      <c r="H714" s="74"/>
      <c r="I714" s="515"/>
      <c r="J714" s="515"/>
      <c r="K714" s="507"/>
      <c r="L714" s="515"/>
      <c r="M714" s="65"/>
      <c r="N714" s="66"/>
      <c r="O714" s="66"/>
      <c r="P714" s="86" t="str">
        <f>IF(AND('331-CT'!$E$7=TH!H714,OR(N714="331",O714="331")),"x","")</f>
        <v/>
      </c>
      <c r="Q714" s="86" t="str">
        <f>IF(AND($B714&gt;='111'!$N$11,$B714&lt;='111'!$O$11,OR($N714=$Q$7,$O714=$Q$7)),"x","")</f>
        <v/>
      </c>
      <c r="R714" s="86" t="str">
        <f>IF(AND($N714=$Q$7,$B714&lt;'111'!$N$11),"x","")</f>
        <v/>
      </c>
      <c r="S714" s="86" t="str">
        <f>IF(AND($O714=$Q$7,$B714&lt;'111'!$N$11),"x","")</f>
        <v/>
      </c>
      <c r="T714" s="86" t="str">
        <f>IF(AND($B714&gt;='112'!$M$9,$B714&lt;='112'!$N$9,OR($N714='112'!$I$6,$O714='112'!$I$6)),"x","")</f>
        <v/>
      </c>
      <c r="U714" s="86" t="str">
        <f>IF(AND($N714='112'!$I$6,$B714&lt;'112'!$M$9),"x","")</f>
        <v/>
      </c>
      <c r="V714" s="86" t="str">
        <f>IF(AND($O714='112'!$I$6,$B714&lt;'112'!$M$9),"x","")</f>
        <v/>
      </c>
      <c r="W714" s="86" t="str">
        <f>IF(AND('131-CT'!$H$9=TH!H714,OR(N714="131",O714="131")),"x","")</f>
        <v/>
      </c>
      <c r="X714" s="86" t="str">
        <f>IF(AND($B714&gt;='1331'!$I$9,$B714&lt;='1331'!$J$9,OR($N714=$X$7,$O714=$X$7)),"x","")</f>
        <v/>
      </c>
      <c r="Y714" s="86" t="str">
        <f>IF(AND($N714=$X$7,$B714&lt;'1331'!$I$9),"x","")</f>
        <v/>
      </c>
      <c r="Z714" s="86" t="str">
        <f>IF(AND($O714=$X$7,$B714&lt;'1331'!$I$9),"x","")</f>
        <v/>
      </c>
      <c r="AA714" s="86" t="str">
        <f>IF(AND('341-CT'!$H$9=H714,OR(LEFT(N714,3)=$AA$7,LEFT(O714,3)=$AA$7)),"x","")</f>
        <v/>
      </c>
      <c r="AB714" s="86" t="str">
        <f>IF(OR(TH!N714=TH!$AB$7,O714=TH!$AB$7),"x","")</f>
        <v/>
      </c>
      <c r="AC714" s="86" t="str">
        <f t="shared" si="47"/>
        <v/>
      </c>
      <c r="AD714" s="86" t="str">
        <f>IF(AND(MONTH(E714)&lt;='IN-NX'!$P$3,'IN-NX'!$D$7=D714,OR(LEFT(TH!N714,2)="15",LEFT(TH!O714,2)="15")),"x","")</f>
        <v/>
      </c>
      <c r="AE714" s="86" t="str">
        <f>IF(AND(OR(LEFT(TH!N714,2)="15",LEFT(TH!O714,2)="15"),'152-CT'!$J$8=TH!F714),"x","")</f>
        <v/>
      </c>
      <c r="AF714" s="86" t="str">
        <f>IF(AND(OR(LEFT(TH!N714,2)="15",LEFT(TH!O714,2)="15"),'THE KHO'!$E$7=TH!F714),"x","")</f>
        <v/>
      </c>
      <c r="AG714" s="86" t="str">
        <f>IF(AND(N714="1521",MONTH(C714)='BK NL'!$M$11),"x","")</f>
        <v/>
      </c>
    </row>
    <row r="715" spans="1:33" s="411" customFormat="1" ht="15.75" customHeight="1">
      <c r="A715" s="398" t="str">
        <f>IF(B715&lt;&gt;"",IF(AND(B715&gt;=_TM1,B715&lt;=_TM2,OR(TH!N715="1111",TH!O715="1111")),TH!D715,""),"")</f>
        <v/>
      </c>
      <c r="B715" s="63" t="str">
        <f t="shared" si="48"/>
        <v/>
      </c>
      <c r="C715" s="64"/>
      <c r="D715" s="64"/>
      <c r="E715" s="64"/>
      <c r="F715" s="67"/>
      <c r="G715" s="361"/>
      <c r="H715" s="74"/>
      <c r="I715" s="515"/>
      <c r="J715" s="515"/>
      <c r="K715" s="507"/>
      <c r="L715" s="515"/>
      <c r="M715" s="65"/>
      <c r="N715" s="66"/>
      <c r="O715" s="66"/>
      <c r="P715" s="86" t="str">
        <f>IF(AND('331-CT'!$E$7=TH!H715,OR(N715="331",O715="331")),"x","")</f>
        <v/>
      </c>
      <c r="Q715" s="86" t="str">
        <f>IF(AND($B715&gt;='111'!$N$11,$B715&lt;='111'!$O$11,OR($N715=$Q$7,$O715=$Q$7)),"x","")</f>
        <v/>
      </c>
      <c r="R715" s="86" t="str">
        <f>IF(AND($N715=$Q$7,$B715&lt;'111'!$N$11),"x","")</f>
        <v/>
      </c>
      <c r="S715" s="86" t="str">
        <f>IF(AND($O715=$Q$7,$B715&lt;'111'!$N$11),"x","")</f>
        <v/>
      </c>
      <c r="T715" s="86" t="str">
        <f>IF(AND($B715&gt;='112'!$M$9,$B715&lt;='112'!$N$9,OR($N715='112'!$I$6,$O715='112'!$I$6)),"x","")</f>
        <v/>
      </c>
      <c r="U715" s="86" t="str">
        <f>IF(AND($N715='112'!$I$6,$B715&lt;'112'!$M$9),"x","")</f>
        <v/>
      </c>
      <c r="V715" s="86" t="str">
        <f>IF(AND($O715='112'!$I$6,$B715&lt;'112'!$M$9),"x","")</f>
        <v/>
      </c>
      <c r="W715" s="86" t="str">
        <f>IF(AND('131-CT'!$H$9=TH!H715,OR(N715="131",O715="131")),"x","")</f>
        <v/>
      </c>
      <c r="X715" s="86" t="str">
        <f>IF(AND($B715&gt;='1331'!$I$9,$B715&lt;='1331'!$J$9,OR($N715=$X$7,$O715=$X$7)),"x","")</f>
        <v/>
      </c>
      <c r="Y715" s="86" t="str">
        <f>IF(AND($N715=$X$7,$B715&lt;'1331'!$I$9),"x","")</f>
        <v/>
      </c>
      <c r="Z715" s="86" t="str">
        <f>IF(AND($O715=$X$7,$B715&lt;'1331'!$I$9),"x","")</f>
        <v/>
      </c>
      <c r="AA715" s="86" t="str">
        <f>IF(AND('341-CT'!$H$9=H715,OR(LEFT(N715,3)=$AA$7,LEFT(O715,3)=$AA$7)),"x","")</f>
        <v/>
      </c>
      <c r="AB715" s="86" t="str">
        <f>IF(OR(TH!N715=TH!$AB$7,O715=TH!$AB$7),"x","")</f>
        <v/>
      </c>
      <c r="AC715" s="86" t="str">
        <f t="shared" si="47"/>
        <v/>
      </c>
      <c r="AD715" s="86" t="str">
        <f>IF(AND(MONTH(E715)&lt;='IN-NX'!$P$3,'IN-NX'!$D$7=D715,OR(LEFT(TH!N715,2)="15",LEFT(TH!O715,2)="15")),"x","")</f>
        <v/>
      </c>
      <c r="AE715" s="86" t="str">
        <f>IF(AND(OR(LEFT(TH!N715,2)="15",LEFT(TH!O715,2)="15"),'152-CT'!$J$8=TH!F715),"x","")</f>
        <v/>
      </c>
      <c r="AF715" s="86" t="str">
        <f>IF(AND(OR(LEFT(TH!N715,2)="15",LEFT(TH!O715,2)="15"),'THE KHO'!$E$7=TH!F715),"x","")</f>
        <v/>
      </c>
      <c r="AG715" s="86" t="str">
        <f>IF(AND(N715="1521",MONTH(C715)='BK NL'!$M$11),"x","")</f>
        <v/>
      </c>
    </row>
    <row r="716" spans="1:33" s="411" customFormat="1" ht="15.75" customHeight="1">
      <c r="A716" s="398" t="str">
        <f>IF(B716&lt;&gt;"",IF(AND(B716&gt;=_TM1,B716&lt;=_TM2,OR(TH!N716="1111",TH!O716="1111")),TH!D716,""),"")</f>
        <v/>
      </c>
      <c r="B716" s="63" t="str">
        <f t="shared" si="48"/>
        <v/>
      </c>
      <c r="C716" s="64"/>
      <c r="D716" s="64"/>
      <c r="E716" s="64"/>
      <c r="F716" s="67"/>
      <c r="G716" s="361"/>
      <c r="H716" s="74"/>
      <c r="I716" s="515"/>
      <c r="J716" s="515"/>
      <c r="K716" s="507"/>
      <c r="L716" s="515"/>
      <c r="M716" s="65"/>
      <c r="N716" s="66"/>
      <c r="O716" s="66"/>
      <c r="P716" s="86" t="str">
        <f>IF(AND('331-CT'!$E$7=TH!H716,OR(N716="331",O716="331")),"x","")</f>
        <v/>
      </c>
      <c r="Q716" s="86" t="str">
        <f>IF(AND($B716&gt;='111'!$N$11,$B716&lt;='111'!$O$11,OR($N716=$Q$7,$O716=$Q$7)),"x","")</f>
        <v/>
      </c>
      <c r="R716" s="86" t="str">
        <f>IF(AND($N716=$Q$7,$B716&lt;'111'!$N$11),"x","")</f>
        <v/>
      </c>
      <c r="S716" s="86" t="str">
        <f>IF(AND($O716=$Q$7,$B716&lt;'111'!$N$11),"x","")</f>
        <v/>
      </c>
      <c r="T716" s="86" t="str">
        <f>IF(AND($B716&gt;='112'!$M$9,$B716&lt;='112'!$N$9,OR($N716='112'!$I$6,$O716='112'!$I$6)),"x","")</f>
        <v/>
      </c>
      <c r="U716" s="86" t="str">
        <f>IF(AND($N716='112'!$I$6,$B716&lt;'112'!$M$9),"x","")</f>
        <v/>
      </c>
      <c r="V716" s="86" t="str">
        <f>IF(AND($O716='112'!$I$6,$B716&lt;'112'!$M$9),"x","")</f>
        <v/>
      </c>
      <c r="W716" s="86" t="str">
        <f>IF(AND('131-CT'!$H$9=TH!H716,OR(N716="131",O716="131")),"x","")</f>
        <v/>
      </c>
      <c r="X716" s="86" t="str">
        <f>IF(AND($B716&gt;='1331'!$I$9,$B716&lt;='1331'!$J$9,OR($N716=$X$7,$O716=$X$7)),"x","")</f>
        <v/>
      </c>
      <c r="Y716" s="86" t="str">
        <f>IF(AND($N716=$X$7,$B716&lt;'1331'!$I$9),"x","")</f>
        <v/>
      </c>
      <c r="Z716" s="86" t="str">
        <f>IF(AND($O716=$X$7,$B716&lt;'1331'!$I$9),"x","")</f>
        <v/>
      </c>
      <c r="AA716" s="86" t="str">
        <f>IF(AND('341-CT'!$H$9=H716,OR(LEFT(N716,3)=$AA$7,LEFT(O716,3)=$AA$7)),"x","")</f>
        <v/>
      </c>
      <c r="AB716" s="86" t="str">
        <f>IF(OR(TH!N716=TH!$AB$7,O716=TH!$AB$7),"x","")</f>
        <v/>
      </c>
      <c r="AC716" s="86" t="str">
        <f t="shared" si="47"/>
        <v/>
      </c>
      <c r="AD716" s="86" t="str">
        <f>IF(AND(MONTH(E716)&lt;='IN-NX'!$P$3,'IN-NX'!$D$7=D716,OR(LEFT(TH!N716,2)="15",LEFT(TH!O716,2)="15")),"x","")</f>
        <v/>
      </c>
      <c r="AE716" s="86" t="str">
        <f>IF(AND(OR(LEFT(TH!N716,2)="15",LEFT(TH!O716,2)="15"),'152-CT'!$J$8=TH!F716),"x","")</f>
        <v/>
      </c>
      <c r="AF716" s="86" t="str">
        <f>IF(AND(OR(LEFT(TH!N716,2)="15",LEFT(TH!O716,2)="15"),'THE KHO'!$E$7=TH!F716),"x","")</f>
        <v/>
      </c>
      <c r="AG716" s="86" t="str">
        <f>IF(AND(N716="1521",MONTH(C716)='BK NL'!$M$11),"x","")</f>
        <v/>
      </c>
    </row>
    <row r="717" spans="1:33" ht="15.75" customHeight="1">
      <c r="A717" s="398" t="str">
        <f>IF(B717&lt;&gt;"",IF(AND(B717&gt;=_TM1,B717&lt;=_TM2,OR(TH!N717="1111",TH!O717="1111")),TH!D717,""),"")</f>
        <v/>
      </c>
      <c r="B717" s="63" t="str">
        <f t="shared" si="48"/>
        <v/>
      </c>
      <c r="C717" s="64"/>
      <c r="D717" s="64"/>
      <c r="E717" s="64"/>
      <c r="F717" s="67"/>
      <c r="G717" s="361"/>
      <c r="H717" s="74"/>
      <c r="I717" s="515"/>
      <c r="J717" s="515"/>
      <c r="K717" s="507"/>
      <c r="L717" s="515"/>
      <c r="M717" s="65"/>
      <c r="N717" s="66"/>
      <c r="O717" s="66"/>
      <c r="P717" s="86" t="str">
        <f>IF(AND('331-CT'!$E$7=TH!H717,OR(N717="331",O717="331")),"x","")</f>
        <v/>
      </c>
      <c r="Q717" s="86" t="str">
        <f>IF(AND($B717&gt;='111'!$N$11,$B717&lt;='111'!$O$11,OR($N717=$Q$7,$O717=$Q$7)),"x","")</f>
        <v/>
      </c>
      <c r="R717" s="86" t="str">
        <f>IF(AND($N717=$Q$7,$B717&lt;'111'!$N$11),"x","")</f>
        <v/>
      </c>
      <c r="S717" s="86" t="str">
        <f>IF(AND($O717=$Q$7,$B717&lt;'111'!$N$11),"x","")</f>
        <v/>
      </c>
      <c r="T717" s="86" t="str">
        <f>IF(AND($B717&gt;='112'!$M$9,$B717&lt;='112'!$N$9,OR($N717='112'!$I$6,$O717='112'!$I$6)),"x","")</f>
        <v/>
      </c>
      <c r="U717" s="86" t="str">
        <f>IF(AND($N717='112'!$I$6,$B717&lt;'112'!$M$9),"x","")</f>
        <v/>
      </c>
      <c r="V717" s="86" t="str">
        <f>IF(AND($O717='112'!$I$6,$B717&lt;'112'!$M$9),"x","")</f>
        <v/>
      </c>
      <c r="W717" s="86" t="str">
        <f>IF(AND('131-CT'!$H$9=TH!H717,OR(N717="131",O717="131")),"x","")</f>
        <v/>
      </c>
      <c r="X717" s="86" t="str">
        <f>IF(AND($B717&gt;='1331'!$I$9,$B717&lt;='1331'!$J$9,OR($N717=$X$7,$O717=$X$7)),"x","")</f>
        <v/>
      </c>
      <c r="Y717" s="86" t="str">
        <f>IF(AND($N717=$X$7,$B717&lt;'1331'!$I$9),"x","")</f>
        <v/>
      </c>
      <c r="Z717" s="86" t="str">
        <f>IF(AND($O717=$X$7,$B717&lt;'1331'!$I$9),"x","")</f>
        <v/>
      </c>
      <c r="AA717" s="86" t="str">
        <f>IF(AND('341-CT'!$H$9=H717,OR(LEFT(N717,3)=$AA$7,LEFT(O717,3)=$AA$7)),"x","")</f>
        <v/>
      </c>
      <c r="AB717" s="86" t="str">
        <f>IF(OR(TH!N717=TH!$AB$7,O717=TH!$AB$7),"x","")</f>
        <v/>
      </c>
      <c r="AC717" s="86" t="str">
        <f t="shared" si="47"/>
        <v/>
      </c>
      <c r="AD717" s="86" t="str">
        <f>IF(AND(MONTH(E717)&lt;='IN-NX'!$P$3,'IN-NX'!$D$7=D717,OR(LEFT(TH!N717,2)="15",LEFT(TH!O717,2)="15")),"x","")</f>
        <v/>
      </c>
      <c r="AE717" s="86" t="str">
        <f>IF(AND(OR(LEFT(TH!N717,2)="15",LEFT(TH!O717,2)="15"),'152-CT'!$J$8=TH!F717),"x","")</f>
        <v/>
      </c>
      <c r="AF717" s="86" t="str">
        <f>IF(AND(OR(LEFT(TH!N717,2)="15",LEFT(TH!O717,2)="15"),'THE KHO'!$E$7=TH!F717),"x","")</f>
        <v/>
      </c>
      <c r="AG717" s="86" t="str">
        <f>IF(AND(N717="1521",MONTH(C717)='BK NL'!$M$11),"x","")</f>
        <v/>
      </c>
    </row>
    <row r="718" spans="1:33" ht="15.75" customHeight="1">
      <c r="A718" s="398" t="str">
        <f>IF(B718&lt;&gt;"",IF(AND(B718&gt;=_TM1,B718&lt;=_TM2,OR(TH!N718="1111",TH!O718="1111")),TH!D718,""),"")</f>
        <v/>
      </c>
      <c r="B718" s="63" t="str">
        <f t="shared" si="48"/>
        <v/>
      </c>
      <c r="C718" s="64"/>
      <c r="D718" s="64"/>
      <c r="E718" s="64"/>
      <c r="F718" s="67"/>
      <c r="G718" s="361"/>
      <c r="H718" s="74"/>
      <c r="I718" s="515"/>
      <c r="J718" s="515"/>
      <c r="K718" s="507"/>
      <c r="L718" s="515"/>
      <c r="M718" s="65"/>
      <c r="N718" s="66"/>
      <c r="O718" s="66"/>
      <c r="P718" s="86" t="str">
        <f>IF(AND('331-CT'!$E$7=TH!H718,OR(N718="331",O718="331")),"x","")</f>
        <v/>
      </c>
      <c r="Q718" s="86" t="str">
        <f>IF(AND($B718&gt;='111'!$N$11,$B718&lt;='111'!$O$11,OR($N718=$Q$7,$O718=$Q$7)),"x","")</f>
        <v/>
      </c>
      <c r="R718" s="86" t="str">
        <f>IF(AND($N718=$Q$7,$B718&lt;'111'!$N$11),"x","")</f>
        <v/>
      </c>
      <c r="S718" s="86" t="str">
        <f>IF(AND($O718=$Q$7,$B718&lt;'111'!$N$11),"x","")</f>
        <v/>
      </c>
      <c r="T718" s="86" t="str">
        <f>IF(AND($B718&gt;='112'!$M$9,$B718&lt;='112'!$N$9,OR($N718='112'!$I$6,$O718='112'!$I$6)),"x","")</f>
        <v/>
      </c>
      <c r="U718" s="86" t="str">
        <f>IF(AND($N718='112'!$I$6,$B718&lt;'112'!$M$9),"x","")</f>
        <v/>
      </c>
      <c r="V718" s="86" t="str">
        <f>IF(AND($O718='112'!$I$6,$B718&lt;'112'!$M$9),"x","")</f>
        <v/>
      </c>
      <c r="W718" s="86" t="str">
        <f>IF(AND('131-CT'!$H$9=TH!H718,OR(N718="131",O718="131")),"x","")</f>
        <v/>
      </c>
      <c r="X718" s="86" t="str">
        <f>IF(AND($B718&gt;='1331'!$I$9,$B718&lt;='1331'!$J$9,OR($N718=$X$7,$O718=$X$7)),"x","")</f>
        <v/>
      </c>
      <c r="Y718" s="86" t="str">
        <f>IF(AND($N718=$X$7,$B718&lt;'1331'!$I$9),"x","")</f>
        <v/>
      </c>
      <c r="Z718" s="86" t="str">
        <f>IF(AND($O718=$X$7,$B718&lt;'1331'!$I$9),"x","")</f>
        <v/>
      </c>
      <c r="AA718" s="86" t="str">
        <f>IF(AND('341-CT'!$H$9=H718,OR(LEFT(N718,3)=$AA$7,LEFT(O718,3)=$AA$7)),"x","")</f>
        <v/>
      </c>
      <c r="AB718" s="86" t="str">
        <f>IF(OR(TH!N718=TH!$AB$7,O718=TH!$AB$7),"x","")</f>
        <v/>
      </c>
      <c r="AC718" s="86" t="str">
        <f t="shared" si="47"/>
        <v/>
      </c>
      <c r="AD718" s="86" t="str">
        <f>IF(AND(MONTH(E718)&lt;='IN-NX'!$P$3,'IN-NX'!$D$7=D718,OR(LEFT(TH!N718,2)="15",LEFT(TH!O718,2)="15")),"x","")</f>
        <v/>
      </c>
      <c r="AE718" s="86" t="str">
        <f>IF(AND(OR(LEFT(TH!N718,2)="15",LEFT(TH!O718,2)="15"),'152-CT'!$J$8=TH!F718),"x","")</f>
        <v/>
      </c>
      <c r="AF718" s="86" t="str">
        <f>IF(AND(OR(LEFT(TH!N718,2)="15",LEFT(TH!O718,2)="15"),'THE KHO'!$E$7=TH!F718),"x","")</f>
        <v/>
      </c>
      <c r="AG718" s="86" t="str">
        <f>IF(AND(N718="1521",MONTH(C718)='BK NL'!$M$11),"x","")</f>
        <v/>
      </c>
    </row>
    <row r="719" spans="1:33" ht="15.75" customHeight="1">
      <c r="A719" s="398" t="str">
        <f>IF(B719&lt;&gt;"",IF(AND(B719&gt;=_TM1,B719&lt;=_TM2,OR(TH!N719="1111",TH!O719="1111")),TH!D719,""),"")</f>
        <v/>
      </c>
      <c r="B719" s="63" t="str">
        <f t="shared" si="48"/>
        <v/>
      </c>
      <c r="C719" s="64"/>
      <c r="D719" s="64"/>
      <c r="E719" s="64"/>
      <c r="F719" s="67"/>
      <c r="G719" s="361"/>
      <c r="H719" s="74"/>
      <c r="I719" s="515"/>
      <c r="J719" s="515"/>
      <c r="K719" s="507"/>
      <c r="L719" s="515"/>
      <c r="M719" s="65"/>
      <c r="N719" s="66"/>
      <c r="O719" s="66"/>
      <c r="P719" s="86" t="str">
        <f>IF(AND('331-CT'!$E$7=TH!H719,OR(N719="331",O719="331")),"x","")</f>
        <v/>
      </c>
      <c r="Q719" s="86" t="str">
        <f>IF(AND($B719&gt;='111'!$N$11,$B719&lt;='111'!$O$11,OR($N719=$Q$7,$O719=$Q$7)),"x","")</f>
        <v/>
      </c>
      <c r="R719" s="86" t="str">
        <f>IF(AND($N719=$Q$7,$B719&lt;'111'!$N$11),"x","")</f>
        <v/>
      </c>
      <c r="S719" s="86" t="str">
        <f>IF(AND($O719=$Q$7,$B719&lt;'111'!$N$11),"x","")</f>
        <v/>
      </c>
      <c r="T719" s="86" t="str">
        <f>IF(AND($B719&gt;='112'!$M$9,$B719&lt;='112'!$N$9,OR($N719='112'!$I$6,$O719='112'!$I$6)),"x","")</f>
        <v/>
      </c>
      <c r="U719" s="86" t="str">
        <f>IF(AND($N719='112'!$I$6,$B719&lt;'112'!$M$9),"x","")</f>
        <v/>
      </c>
      <c r="V719" s="86" t="str">
        <f>IF(AND($O719='112'!$I$6,$B719&lt;'112'!$M$9),"x","")</f>
        <v/>
      </c>
      <c r="W719" s="86" t="str">
        <f>IF(AND('131-CT'!$H$9=TH!H719,OR(N719="131",O719="131")),"x","")</f>
        <v/>
      </c>
      <c r="X719" s="86" t="str">
        <f>IF(AND($B719&gt;='1331'!$I$9,$B719&lt;='1331'!$J$9,OR($N719=$X$7,$O719=$X$7)),"x","")</f>
        <v/>
      </c>
      <c r="Y719" s="86" t="str">
        <f>IF(AND($N719=$X$7,$B719&lt;'1331'!$I$9),"x","")</f>
        <v/>
      </c>
      <c r="Z719" s="86" t="str">
        <f>IF(AND($O719=$X$7,$B719&lt;'1331'!$I$9),"x","")</f>
        <v/>
      </c>
      <c r="AA719" s="86" t="str">
        <f>IF(AND('341-CT'!$H$9=H719,OR(LEFT(N719,3)=$AA$7,LEFT(O719,3)=$AA$7)),"x","")</f>
        <v/>
      </c>
      <c r="AB719" s="86" t="str">
        <f>IF(OR(TH!N719=TH!$AB$7,O719=TH!$AB$7),"x","")</f>
        <v/>
      </c>
      <c r="AC719" s="86" t="str">
        <f t="shared" si="47"/>
        <v/>
      </c>
      <c r="AD719" s="86" t="str">
        <f>IF(AND(MONTH(E719)&lt;='IN-NX'!$P$3,'IN-NX'!$D$7=D719,OR(LEFT(TH!N719,2)="15",LEFT(TH!O719,2)="15")),"x","")</f>
        <v/>
      </c>
      <c r="AE719" s="86" t="str">
        <f>IF(AND(OR(LEFT(TH!N719,2)="15",LEFT(TH!O719,2)="15"),'152-CT'!$J$8=TH!F719),"x","")</f>
        <v/>
      </c>
      <c r="AF719" s="86" t="str">
        <f>IF(AND(OR(LEFT(TH!N719,2)="15",LEFT(TH!O719,2)="15"),'THE KHO'!$E$7=TH!F719),"x","")</f>
        <v/>
      </c>
      <c r="AG719" s="86" t="str">
        <f>IF(AND(N719="1521",MONTH(C719)='BK NL'!$M$11),"x","")</f>
        <v/>
      </c>
    </row>
    <row r="720" spans="1:33" ht="15.75" customHeight="1">
      <c r="A720" s="398" t="str">
        <f>IF(B720&lt;&gt;"",IF(AND(B720&gt;=_TM1,B720&lt;=_TM2,OR(TH!N720="1111",TH!O720="1111")),TH!D720,""),"")</f>
        <v/>
      </c>
      <c r="B720" s="63" t="str">
        <f t="shared" si="48"/>
        <v/>
      </c>
      <c r="C720" s="64"/>
      <c r="D720" s="64"/>
      <c r="E720" s="64"/>
      <c r="F720" s="67"/>
      <c r="G720" s="361"/>
      <c r="H720" s="405"/>
      <c r="I720" s="516"/>
      <c r="J720" s="516"/>
      <c r="K720" s="508"/>
      <c r="L720" s="516"/>
      <c r="M720" s="65"/>
      <c r="N720" s="66"/>
      <c r="O720" s="66"/>
      <c r="P720" s="86" t="str">
        <f>IF(AND('331-CT'!$E$7=TH!H720,OR(N720="331",O720="331")),"x","")</f>
        <v/>
      </c>
      <c r="Q720" s="86" t="str">
        <f>IF(AND($B720&gt;='111'!$N$11,$B720&lt;='111'!$O$11,OR($N720=$Q$7,$O720=$Q$7)),"x","")</f>
        <v/>
      </c>
      <c r="R720" s="86" t="str">
        <f>IF(AND($N720=$Q$7,$B720&lt;'111'!$N$11),"x","")</f>
        <v/>
      </c>
      <c r="S720" s="86" t="str">
        <f>IF(AND($O720=$Q$7,$B720&lt;'111'!$N$11),"x","")</f>
        <v/>
      </c>
      <c r="T720" s="86" t="str">
        <f>IF(AND($B720&gt;='112'!$M$9,$B720&lt;='112'!$N$9,OR($N720='112'!$I$6,$O720='112'!$I$6)),"x","")</f>
        <v/>
      </c>
      <c r="U720" s="86" t="str">
        <f>IF(AND($N720='112'!$I$6,$B720&lt;'112'!$M$9),"x","")</f>
        <v/>
      </c>
      <c r="V720" s="86" t="str">
        <f>IF(AND($O720='112'!$I$6,$B720&lt;'112'!$M$9),"x","")</f>
        <v/>
      </c>
      <c r="W720" s="86" t="str">
        <f>IF(AND('131-CT'!$H$9=TH!H720,OR(N720="131",O720="131")),"x","")</f>
        <v/>
      </c>
      <c r="X720" s="86" t="str">
        <f>IF(AND($B720&gt;='1331'!$I$9,$B720&lt;='1331'!$J$9,OR($N720=$X$7,$O720=$X$7)),"x","")</f>
        <v/>
      </c>
      <c r="Y720" s="86" t="str">
        <f>IF(AND($N720=$X$7,$B720&lt;'1331'!$I$9),"x","")</f>
        <v/>
      </c>
      <c r="Z720" s="86" t="str">
        <f>IF(AND($O720=$X$7,$B720&lt;'1331'!$I$9),"x","")</f>
        <v/>
      </c>
      <c r="AA720" s="86" t="str">
        <f>IF(AND('341-CT'!$H$9=H720,OR(LEFT(N720,3)=$AA$7,LEFT(O720,3)=$AA$7)),"x","")</f>
        <v/>
      </c>
      <c r="AB720" s="86" t="str">
        <f>IF(OR(TH!N720=TH!$AB$7,O720=TH!$AB$7),"x","")</f>
        <v/>
      </c>
      <c r="AC720" s="86" t="str">
        <f t="shared" si="47"/>
        <v/>
      </c>
      <c r="AD720" s="86" t="str">
        <f>IF(AND(MONTH(E720)&lt;='IN-NX'!$P$3,'IN-NX'!$D$7=D720,OR(LEFT(TH!N720,2)="15",LEFT(TH!O720,2)="15")),"x","")</f>
        <v/>
      </c>
      <c r="AE720" s="86" t="str">
        <f>IF(AND(OR(LEFT(TH!N720,2)="15",LEFT(TH!O720,2)="15"),'152-CT'!$J$8=TH!F720),"x","")</f>
        <v/>
      </c>
      <c r="AF720" s="86" t="str">
        <f>IF(AND(OR(LEFT(TH!N720,2)="15",LEFT(TH!O720,2)="15"),'THE KHO'!$E$7=TH!F720),"x","")</f>
        <v/>
      </c>
      <c r="AG720" s="86" t="str">
        <f>IF(AND(N720="1521",MONTH(C720)='BK NL'!$M$11),"x","")</f>
        <v/>
      </c>
    </row>
    <row r="721" spans="1:33" ht="15.75" customHeight="1">
      <c r="A721" s="398" t="str">
        <f>IF(B721&lt;&gt;"",IF(AND(B721&gt;=_TM1,B721&lt;=_TM2,OR(TH!N721="1111",TH!O721="1111")),TH!D721,""),"")</f>
        <v/>
      </c>
      <c r="B721" s="63" t="str">
        <f t="shared" si="48"/>
        <v/>
      </c>
      <c r="C721" s="64"/>
      <c r="D721" s="64"/>
      <c r="E721" s="64"/>
      <c r="F721" s="67"/>
      <c r="G721" s="361"/>
      <c r="H721" s="74"/>
      <c r="I721" s="515"/>
      <c r="J721" s="515"/>
      <c r="K721" s="507"/>
      <c r="L721" s="515"/>
      <c r="M721" s="65"/>
      <c r="N721" s="66"/>
      <c r="O721" s="66"/>
      <c r="P721" s="86" t="str">
        <f>IF(AND('331-CT'!$E$7=TH!H721,OR(N721="331",O721="331")),"x","")</f>
        <v/>
      </c>
      <c r="Q721" s="86" t="str">
        <f>IF(AND($B721&gt;='111'!$N$11,$B721&lt;='111'!$O$11,OR($N721=$Q$7,$O721=$Q$7)),"x","")</f>
        <v/>
      </c>
      <c r="R721" s="86" t="str">
        <f>IF(AND($N721=$Q$7,$B721&lt;'111'!$N$11),"x","")</f>
        <v/>
      </c>
      <c r="S721" s="86" t="str">
        <f>IF(AND($O721=$Q$7,$B721&lt;'111'!$N$11),"x","")</f>
        <v/>
      </c>
      <c r="T721" s="86" t="str">
        <f>IF(AND($B721&gt;='112'!$M$9,$B721&lt;='112'!$N$9,OR($N721='112'!$I$6,$O721='112'!$I$6)),"x","")</f>
        <v/>
      </c>
      <c r="U721" s="86" t="str">
        <f>IF(AND($N721='112'!$I$6,$B721&lt;'112'!$M$9),"x","")</f>
        <v/>
      </c>
      <c r="V721" s="86" t="str">
        <f>IF(AND($O721='112'!$I$6,$B721&lt;'112'!$M$9),"x","")</f>
        <v/>
      </c>
      <c r="W721" s="86" t="str">
        <f>IF(AND('131-CT'!$H$9=TH!H721,OR(N721="131",O721="131")),"x","")</f>
        <v/>
      </c>
      <c r="X721" s="86" t="str">
        <f>IF(AND($B721&gt;='1331'!$I$9,$B721&lt;='1331'!$J$9,OR($N721=$X$7,$O721=$X$7)),"x","")</f>
        <v/>
      </c>
      <c r="Y721" s="86" t="str">
        <f>IF(AND($N721=$X$7,$B721&lt;'1331'!$I$9),"x","")</f>
        <v/>
      </c>
      <c r="Z721" s="86" t="str">
        <f>IF(AND($O721=$X$7,$B721&lt;'1331'!$I$9),"x","")</f>
        <v/>
      </c>
      <c r="AA721" s="86" t="str">
        <f>IF(AND('341-CT'!$H$9=H721,OR(LEFT(N721,3)=$AA$7,LEFT(O721,3)=$AA$7)),"x","")</f>
        <v/>
      </c>
      <c r="AB721" s="86" t="str">
        <f>IF(OR(TH!N721=TH!$AB$7,O721=TH!$AB$7),"x","")</f>
        <v/>
      </c>
      <c r="AC721" s="86" t="str">
        <f t="shared" si="47"/>
        <v/>
      </c>
      <c r="AD721" s="86" t="str">
        <f>IF(AND(MONTH(E721)&lt;='IN-NX'!$P$3,'IN-NX'!$D$7=D721,OR(LEFT(TH!N721,2)="15",LEFT(TH!O721,2)="15")),"x","")</f>
        <v/>
      </c>
      <c r="AE721" s="86" t="str">
        <f>IF(AND(OR(LEFT(TH!N721,2)="15",LEFT(TH!O721,2)="15"),'152-CT'!$J$8=TH!F721),"x","")</f>
        <v/>
      </c>
      <c r="AF721" s="86" t="str">
        <f>IF(AND(OR(LEFT(TH!N721,2)="15",LEFT(TH!O721,2)="15"),'THE KHO'!$E$7=TH!F721),"x","")</f>
        <v/>
      </c>
      <c r="AG721" s="86" t="str">
        <f>IF(AND(N721="1521",MONTH(C721)='BK NL'!$M$11),"x","")</f>
        <v/>
      </c>
    </row>
    <row r="722" spans="1:33" ht="15.75" customHeight="1">
      <c r="A722" s="398" t="str">
        <f>IF(B722&lt;&gt;"",IF(AND(B722&gt;=_TM1,B722&lt;=_TM2,OR(TH!N722="1111",TH!O722="1111")),TH!D722,""),"")</f>
        <v/>
      </c>
      <c r="B722" s="63" t="str">
        <f t="shared" si="48"/>
        <v/>
      </c>
      <c r="C722" s="64"/>
      <c r="D722" s="64"/>
      <c r="E722" s="64"/>
      <c r="F722" s="67"/>
      <c r="G722" s="361"/>
      <c r="H722" s="74"/>
      <c r="I722" s="515"/>
      <c r="J722" s="515"/>
      <c r="K722" s="507"/>
      <c r="L722" s="515"/>
      <c r="M722" s="65"/>
      <c r="N722" s="66"/>
      <c r="O722" s="66"/>
      <c r="P722" s="86" t="str">
        <f>IF(AND('331-CT'!$E$7=TH!H722,OR(N722="331",O722="331")),"x","")</f>
        <v/>
      </c>
      <c r="Q722" s="86" t="str">
        <f>IF(AND($B722&gt;='111'!$N$11,$B722&lt;='111'!$O$11,OR($N722=$Q$7,$O722=$Q$7)),"x","")</f>
        <v/>
      </c>
      <c r="R722" s="86" t="str">
        <f>IF(AND($N722=$Q$7,$B722&lt;'111'!$N$11),"x","")</f>
        <v/>
      </c>
      <c r="S722" s="86" t="str">
        <f>IF(AND($O722=$Q$7,$B722&lt;'111'!$N$11),"x","")</f>
        <v/>
      </c>
      <c r="T722" s="86" t="str">
        <f>IF(AND($B722&gt;='112'!$M$9,$B722&lt;='112'!$N$9,OR($N722='112'!$I$6,$O722='112'!$I$6)),"x","")</f>
        <v/>
      </c>
      <c r="U722" s="86" t="str">
        <f>IF(AND($N722='112'!$I$6,$B722&lt;'112'!$M$9),"x","")</f>
        <v/>
      </c>
      <c r="V722" s="86" t="str">
        <f>IF(AND($O722='112'!$I$6,$B722&lt;'112'!$M$9),"x","")</f>
        <v/>
      </c>
      <c r="W722" s="86" t="str">
        <f>IF(AND('131-CT'!$H$9=TH!H722,OR(N722="131",O722="131")),"x","")</f>
        <v/>
      </c>
      <c r="X722" s="86" t="str">
        <f>IF(AND($B722&gt;='1331'!$I$9,$B722&lt;='1331'!$J$9,OR($N722=$X$7,$O722=$X$7)),"x","")</f>
        <v/>
      </c>
      <c r="Y722" s="86" t="str">
        <f>IF(AND($N722=$X$7,$B722&lt;'1331'!$I$9),"x","")</f>
        <v/>
      </c>
      <c r="Z722" s="86" t="str">
        <f>IF(AND($O722=$X$7,$B722&lt;'1331'!$I$9),"x","")</f>
        <v/>
      </c>
      <c r="AA722" s="86" t="str">
        <f>IF(AND('341-CT'!$H$9=H722,OR(LEFT(N722,3)=$AA$7,LEFT(O722,3)=$AA$7)),"x","")</f>
        <v/>
      </c>
      <c r="AB722" s="86" t="str">
        <f>IF(OR(TH!N722=TH!$AB$7,O722=TH!$AB$7),"x","")</f>
        <v/>
      </c>
      <c r="AC722" s="86" t="str">
        <f t="shared" si="47"/>
        <v/>
      </c>
      <c r="AD722" s="86" t="str">
        <f>IF(AND(MONTH(E722)&lt;='IN-NX'!$P$3,'IN-NX'!$D$7=D722,OR(LEFT(TH!N722,2)="15",LEFT(TH!O722,2)="15")),"x","")</f>
        <v/>
      </c>
      <c r="AE722" s="86" t="str">
        <f>IF(AND(OR(LEFT(TH!N722,2)="15",LEFT(TH!O722,2)="15"),'152-CT'!$J$8=TH!F722),"x","")</f>
        <v/>
      </c>
      <c r="AF722" s="86" t="str">
        <f>IF(AND(OR(LEFT(TH!N722,2)="15",LEFT(TH!O722,2)="15"),'THE KHO'!$E$7=TH!F722),"x","")</f>
        <v/>
      </c>
      <c r="AG722" s="86" t="str">
        <f>IF(AND(N722="1521",MONTH(C722)='BK NL'!$M$11),"x","")</f>
        <v/>
      </c>
    </row>
    <row r="723" spans="1:33" ht="15.75" customHeight="1">
      <c r="A723" s="398" t="str">
        <f>IF(B723&lt;&gt;"",IF(AND(B723&gt;=_TM1,B723&lt;=_TM2,OR(TH!N723="1111",TH!O723="1111")),TH!D723,""),"")</f>
        <v/>
      </c>
      <c r="B723" s="63" t="str">
        <f t="shared" si="48"/>
        <v/>
      </c>
      <c r="C723" s="64"/>
      <c r="D723" s="64"/>
      <c r="E723" s="64"/>
      <c r="F723" s="67"/>
      <c r="G723" s="361"/>
      <c r="H723" s="405"/>
      <c r="I723" s="516"/>
      <c r="J723" s="516"/>
      <c r="K723" s="508"/>
      <c r="L723" s="516"/>
      <c r="M723" s="65"/>
      <c r="N723" s="66"/>
      <c r="O723" s="66"/>
      <c r="P723" s="86" t="str">
        <f>IF(AND('331-CT'!$E$7=TH!H723,OR(N723="331",O723="331")),"x","")</f>
        <v/>
      </c>
      <c r="Q723" s="86" t="str">
        <f>IF(AND($B723&gt;='111'!$N$11,$B723&lt;='111'!$O$11,OR($N723=$Q$7,$O723=$Q$7)),"x","")</f>
        <v/>
      </c>
      <c r="R723" s="86" t="str">
        <f>IF(AND($N723=$Q$7,$B723&lt;'111'!$N$11),"x","")</f>
        <v/>
      </c>
      <c r="S723" s="86" t="str">
        <f>IF(AND($O723=$Q$7,$B723&lt;'111'!$N$11),"x","")</f>
        <v/>
      </c>
      <c r="T723" s="86" t="str">
        <f>IF(AND($B723&gt;='112'!$M$9,$B723&lt;='112'!$N$9,OR($N723='112'!$I$6,$O723='112'!$I$6)),"x","")</f>
        <v/>
      </c>
      <c r="U723" s="86" t="str">
        <f>IF(AND($N723='112'!$I$6,$B723&lt;'112'!$M$9),"x","")</f>
        <v/>
      </c>
      <c r="V723" s="86" t="str">
        <f>IF(AND($O723='112'!$I$6,$B723&lt;'112'!$M$9),"x","")</f>
        <v/>
      </c>
      <c r="W723" s="86" t="str">
        <f>IF(AND('131-CT'!$H$9=TH!H723,OR(N723="131",O723="131")),"x","")</f>
        <v/>
      </c>
      <c r="X723" s="86" t="str">
        <f>IF(AND($B723&gt;='1331'!$I$9,$B723&lt;='1331'!$J$9,OR($N723=$X$7,$O723=$X$7)),"x","")</f>
        <v/>
      </c>
      <c r="Y723" s="86" t="str">
        <f>IF(AND($N723=$X$7,$B723&lt;'1331'!$I$9),"x","")</f>
        <v/>
      </c>
      <c r="Z723" s="86" t="str">
        <f>IF(AND($O723=$X$7,$B723&lt;'1331'!$I$9),"x","")</f>
        <v/>
      </c>
      <c r="AA723" s="86" t="str">
        <f>IF(AND('341-CT'!$H$9=H723,OR(LEFT(N723,3)=$AA$7,LEFT(O723,3)=$AA$7)),"x","")</f>
        <v/>
      </c>
      <c r="AB723" s="86" t="str">
        <f>IF(OR(TH!N723=TH!$AB$7,O723=TH!$AB$7),"x","")</f>
        <v/>
      </c>
      <c r="AC723" s="86" t="str">
        <f t="shared" si="47"/>
        <v/>
      </c>
      <c r="AD723" s="86" t="str">
        <f>IF(AND(MONTH(E723)&lt;='IN-NX'!$P$3,'IN-NX'!$D$7=D723,OR(LEFT(TH!N723,2)="15",LEFT(TH!O723,2)="15")),"x","")</f>
        <v/>
      </c>
      <c r="AE723" s="86" t="str">
        <f>IF(AND(OR(LEFT(TH!N723,2)="15",LEFT(TH!O723,2)="15"),'152-CT'!$J$8=TH!F723),"x","")</f>
        <v/>
      </c>
      <c r="AF723" s="86" t="str">
        <f>IF(AND(OR(LEFT(TH!N723,2)="15",LEFT(TH!O723,2)="15"),'THE KHO'!$E$7=TH!F723),"x","")</f>
        <v/>
      </c>
      <c r="AG723" s="86" t="str">
        <f>IF(AND(N723="1521",MONTH(C723)='BK NL'!$M$11),"x","")</f>
        <v/>
      </c>
    </row>
    <row r="724" spans="1:33" ht="15.75" customHeight="1">
      <c r="A724" s="398" t="str">
        <f>IF(B724&lt;&gt;"",IF(AND(B724&gt;=_TM1,B724&lt;=_TM2,OR(TH!N724="1111",TH!O724="1111")),TH!D724,""),"")</f>
        <v/>
      </c>
      <c r="B724" s="63" t="str">
        <f t="shared" si="48"/>
        <v/>
      </c>
      <c r="C724" s="64"/>
      <c r="D724" s="64"/>
      <c r="E724" s="64"/>
      <c r="F724" s="67"/>
      <c r="G724" s="361"/>
      <c r="H724" s="74"/>
      <c r="I724" s="515"/>
      <c r="J724" s="515"/>
      <c r="K724" s="507"/>
      <c r="L724" s="515"/>
      <c r="M724" s="65"/>
      <c r="N724" s="66"/>
      <c r="O724" s="66"/>
      <c r="P724" s="86" t="str">
        <f>IF(AND('331-CT'!$E$7=TH!H724,OR(N724="331",O724="331")),"x","")</f>
        <v/>
      </c>
      <c r="Q724" s="86" t="str">
        <f>IF(AND($B724&gt;='111'!$N$11,$B724&lt;='111'!$O$11,OR($N724=$Q$7,$O724=$Q$7)),"x","")</f>
        <v/>
      </c>
      <c r="R724" s="86" t="str">
        <f>IF(AND($N724=$Q$7,$B724&lt;'111'!$N$11),"x","")</f>
        <v/>
      </c>
      <c r="S724" s="86" t="str">
        <f>IF(AND($O724=$Q$7,$B724&lt;'111'!$N$11),"x","")</f>
        <v/>
      </c>
      <c r="T724" s="86" t="str">
        <f>IF(AND($B724&gt;='112'!$M$9,$B724&lt;='112'!$N$9,OR($N724='112'!$I$6,$O724='112'!$I$6)),"x","")</f>
        <v/>
      </c>
      <c r="U724" s="86" t="str">
        <f>IF(AND($N724='112'!$I$6,$B724&lt;'112'!$M$9),"x","")</f>
        <v/>
      </c>
      <c r="V724" s="86" t="str">
        <f>IF(AND($O724='112'!$I$6,$B724&lt;'112'!$M$9),"x","")</f>
        <v/>
      </c>
      <c r="W724" s="86" t="str">
        <f>IF(AND('131-CT'!$H$9=TH!H724,OR(N724="131",O724="131")),"x","")</f>
        <v/>
      </c>
      <c r="X724" s="86" t="str">
        <f>IF(AND($B724&gt;='1331'!$I$9,$B724&lt;='1331'!$J$9,OR($N724=$X$7,$O724=$X$7)),"x","")</f>
        <v/>
      </c>
      <c r="Y724" s="86" t="str">
        <f>IF(AND($N724=$X$7,$B724&lt;'1331'!$I$9),"x","")</f>
        <v/>
      </c>
      <c r="Z724" s="86" t="str">
        <f>IF(AND($O724=$X$7,$B724&lt;'1331'!$I$9),"x","")</f>
        <v/>
      </c>
      <c r="AA724" s="86" t="str">
        <f>IF(AND('341-CT'!$H$9=H724,OR(LEFT(N724,3)=$AA$7,LEFT(O724,3)=$AA$7)),"x","")</f>
        <v/>
      </c>
      <c r="AB724" s="86" t="str">
        <f>IF(OR(TH!N724=TH!$AB$7,O724=TH!$AB$7),"x","")</f>
        <v/>
      </c>
      <c r="AC724" s="86" t="str">
        <f t="shared" si="47"/>
        <v/>
      </c>
      <c r="AD724" s="86" t="str">
        <f>IF(AND(MONTH(E724)&lt;='IN-NX'!$P$3,'IN-NX'!$D$7=D724,OR(LEFT(TH!N724,2)="15",LEFT(TH!O724,2)="15")),"x","")</f>
        <v/>
      </c>
      <c r="AE724" s="86" t="str">
        <f>IF(AND(OR(LEFT(TH!N724,2)="15",LEFT(TH!O724,2)="15"),'152-CT'!$J$8=TH!F724),"x","")</f>
        <v/>
      </c>
      <c r="AF724" s="86" t="str">
        <f>IF(AND(OR(LEFT(TH!N724,2)="15",LEFT(TH!O724,2)="15"),'THE KHO'!$E$7=TH!F724),"x","")</f>
        <v/>
      </c>
      <c r="AG724" s="86" t="str">
        <f>IF(AND(N724="1521",MONTH(C724)='BK NL'!$M$11),"x","")</f>
        <v/>
      </c>
    </row>
    <row r="725" spans="1:33" ht="15.75" customHeight="1">
      <c r="A725" s="398" t="str">
        <f>IF(B725&lt;&gt;"",IF(AND(B725&gt;=_TM1,B725&lt;=_TM2,OR(TH!N725="1111",TH!O725="1111")),TH!D725,""),"")</f>
        <v/>
      </c>
      <c r="B725" s="63" t="str">
        <f t="shared" si="48"/>
        <v/>
      </c>
      <c r="C725" s="64"/>
      <c r="D725" s="64"/>
      <c r="E725" s="64"/>
      <c r="F725" s="67"/>
      <c r="G725" s="361"/>
      <c r="H725" s="74"/>
      <c r="I725" s="515"/>
      <c r="J725" s="515"/>
      <c r="K725" s="507"/>
      <c r="L725" s="515"/>
      <c r="M725" s="65"/>
      <c r="N725" s="66"/>
      <c r="O725" s="66"/>
      <c r="P725" s="86" t="str">
        <f>IF(AND('331-CT'!$E$7=TH!H725,OR(N725="331",O725="331")),"x","")</f>
        <v/>
      </c>
      <c r="Q725" s="86" t="str">
        <f>IF(AND($B725&gt;='111'!$N$11,$B725&lt;='111'!$O$11,OR($N725=$Q$7,$O725=$Q$7)),"x","")</f>
        <v/>
      </c>
      <c r="R725" s="86" t="str">
        <f>IF(AND($N725=$Q$7,$B725&lt;'111'!$N$11),"x","")</f>
        <v/>
      </c>
      <c r="S725" s="86" t="str">
        <f>IF(AND($O725=$Q$7,$B725&lt;'111'!$N$11),"x","")</f>
        <v/>
      </c>
      <c r="T725" s="86" t="str">
        <f>IF(AND($B725&gt;='112'!$M$9,$B725&lt;='112'!$N$9,OR($N725='112'!$I$6,$O725='112'!$I$6)),"x","")</f>
        <v/>
      </c>
      <c r="U725" s="86" t="str">
        <f>IF(AND($N725='112'!$I$6,$B725&lt;'112'!$M$9),"x","")</f>
        <v/>
      </c>
      <c r="V725" s="86" t="str">
        <f>IF(AND($O725='112'!$I$6,$B725&lt;'112'!$M$9),"x","")</f>
        <v/>
      </c>
      <c r="W725" s="86" t="str">
        <f>IF(AND('131-CT'!$H$9=TH!H725,OR(N725="131",O725="131")),"x","")</f>
        <v/>
      </c>
      <c r="X725" s="86" t="str">
        <f>IF(AND($B725&gt;='1331'!$I$9,$B725&lt;='1331'!$J$9,OR($N725=$X$7,$O725=$X$7)),"x","")</f>
        <v/>
      </c>
      <c r="Y725" s="86" t="str">
        <f>IF(AND($N725=$X$7,$B725&lt;'1331'!$I$9),"x","")</f>
        <v/>
      </c>
      <c r="Z725" s="86" t="str">
        <f>IF(AND($O725=$X$7,$B725&lt;'1331'!$I$9),"x","")</f>
        <v/>
      </c>
      <c r="AA725" s="86" t="str">
        <f>IF(AND('341-CT'!$H$9=H725,OR(LEFT(N725,3)=$AA$7,LEFT(O725,3)=$AA$7)),"x","")</f>
        <v/>
      </c>
      <c r="AB725" s="86" t="str">
        <f>IF(OR(TH!N725=TH!$AB$7,O725=TH!$AB$7),"x","")</f>
        <v/>
      </c>
      <c r="AC725" s="86" t="str">
        <f t="shared" si="47"/>
        <v/>
      </c>
      <c r="AD725" s="86" t="str">
        <f>IF(AND(MONTH(E725)&lt;='IN-NX'!$P$3,'IN-NX'!$D$7=D725,OR(LEFT(TH!N725,2)="15",LEFT(TH!O725,2)="15")),"x","")</f>
        <v/>
      </c>
      <c r="AE725" s="86" t="str">
        <f>IF(AND(OR(LEFT(TH!N725,2)="15",LEFT(TH!O725,2)="15"),'152-CT'!$J$8=TH!F725),"x","")</f>
        <v/>
      </c>
      <c r="AF725" s="86" t="str">
        <f>IF(AND(OR(LEFT(TH!N725,2)="15",LEFT(TH!O725,2)="15"),'THE KHO'!$E$7=TH!F725),"x","")</f>
        <v/>
      </c>
      <c r="AG725" s="86" t="str">
        <f>IF(AND(N725="1521",MONTH(C725)='BK NL'!$M$11),"x","")</f>
        <v/>
      </c>
    </row>
    <row r="726" spans="1:33" ht="15.75" customHeight="1">
      <c r="A726" s="398" t="str">
        <f>IF(B726&lt;&gt;"",IF(AND(B726&gt;=_TM1,B726&lt;=_TM2,OR(TH!N726="1111",TH!O726="1111")),TH!D726,""),"")</f>
        <v/>
      </c>
      <c r="B726" s="63" t="str">
        <f t="shared" si="48"/>
        <v/>
      </c>
      <c r="C726" s="64"/>
      <c r="D726" s="64"/>
      <c r="E726" s="64"/>
      <c r="F726" s="67"/>
      <c r="G726" s="375"/>
      <c r="H726" s="364"/>
      <c r="I726" s="515"/>
      <c r="J726" s="515"/>
      <c r="K726" s="507"/>
      <c r="L726" s="515"/>
      <c r="M726" s="65"/>
      <c r="N726" s="66"/>
      <c r="O726" s="66"/>
      <c r="P726" s="86" t="str">
        <f>IF(AND('331-CT'!$E$7=TH!H726,OR(N726="331",O726="331")),"x","")</f>
        <v/>
      </c>
      <c r="Q726" s="86" t="str">
        <f>IF(AND($B726&gt;='111'!$N$11,$B726&lt;='111'!$O$11,OR($N726=$Q$7,$O726=$Q$7)),"x","")</f>
        <v/>
      </c>
      <c r="R726" s="86" t="str">
        <f>IF(AND($N726=$Q$7,$B726&lt;'111'!$N$11),"x","")</f>
        <v/>
      </c>
      <c r="S726" s="86" t="str">
        <f>IF(AND($O726=$Q$7,$B726&lt;'111'!$N$11),"x","")</f>
        <v/>
      </c>
      <c r="T726" s="86" t="str">
        <f>IF(AND($B726&gt;='112'!$M$9,$B726&lt;='112'!$N$9,OR($N726='112'!$I$6,$O726='112'!$I$6)),"x","")</f>
        <v/>
      </c>
      <c r="U726" s="86" t="str">
        <f>IF(AND($N726='112'!$I$6,$B726&lt;'112'!$M$9),"x","")</f>
        <v/>
      </c>
      <c r="V726" s="86" t="str">
        <f>IF(AND($O726='112'!$I$6,$B726&lt;'112'!$M$9),"x","")</f>
        <v/>
      </c>
      <c r="W726" s="86" t="str">
        <f>IF(AND('131-CT'!$H$9=TH!H726,OR(N726="131",O726="131")),"x","")</f>
        <v/>
      </c>
      <c r="X726" s="86" t="str">
        <f>IF(AND($B726&gt;='1331'!$I$9,$B726&lt;='1331'!$J$9,OR($N726=$X$7,$O726=$X$7)),"x","")</f>
        <v/>
      </c>
      <c r="Y726" s="86" t="str">
        <f>IF(AND($N726=$X$7,$B726&lt;'1331'!$I$9),"x","")</f>
        <v/>
      </c>
      <c r="Z726" s="86" t="str">
        <f>IF(AND($O726=$X$7,$B726&lt;'1331'!$I$9),"x","")</f>
        <v/>
      </c>
      <c r="AA726" s="86" t="str">
        <f>IF(AND('341-CT'!$H$9=H726,OR(LEFT(N726,3)=$AA$7,LEFT(O726,3)=$AA$7)),"x","")</f>
        <v/>
      </c>
      <c r="AB726" s="86" t="str">
        <f>IF(OR(TH!N726=TH!$AB$7,O726=TH!$AB$7),"x","")</f>
        <v/>
      </c>
      <c r="AC726" s="86" t="str">
        <f t="shared" si="47"/>
        <v/>
      </c>
      <c r="AD726" s="86" t="str">
        <f>IF(AND(MONTH(E726)&lt;='IN-NX'!$P$3,'IN-NX'!$D$7=D726,OR(LEFT(TH!N726,2)="15",LEFT(TH!O726,2)="15")),"x","")</f>
        <v/>
      </c>
      <c r="AE726" s="86" t="str">
        <f>IF(AND(OR(LEFT(TH!N726,2)="15",LEFT(TH!O726,2)="15"),'152-CT'!$J$8=TH!F726),"x","")</f>
        <v/>
      </c>
      <c r="AF726" s="86" t="str">
        <f>IF(AND(OR(LEFT(TH!N726,2)="15",LEFT(TH!O726,2)="15"),'THE KHO'!$E$7=TH!F726),"x","")</f>
        <v/>
      </c>
      <c r="AG726" s="86" t="str">
        <f>IF(AND(N726="1521",MONTH(C726)='BK NL'!$M$11),"x","")</f>
        <v/>
      </c>
    </row>
    <row r="727" spans="1:33" ht="15.75" customHeight="1">
      <c r="A727" s="398" t="str">
        <f>IF(B727&lt;&gt;"",IF(AND(B727&gt;=_TM1,B727&lt;=_TM2,OR(TH!N727="1111",TH!O727="1111")),TH!D727,""),"")</f>
        <v/>
      </c>
      <c r="B727" s="63" t="str">
        <f t="shared" si="48"/>
        <v/>
      </c>
      <c r="C727" s="64"/>
      <c r="D727" s="64"/>
      <c r="E727" s="64"/>
      <c r="F727" s="67"/>
      <c r="G727" s="375"/>
      <c r="H727" s="364"/>
      <c r="I727" s="515"/>
      <c r="J727" s="515"/>
      <c r="K727" s="507"/>
      <c r="L727" s="515"/>
      <c r="M727" s="65"/>
      <c r="N727" s="66"/>
      <c r="O727" s="66"/>
      <c r="P727" s="86" t="str">
        <f>IF(AND('331-CT'!$E$7=TH!H727,OR(N727="331",O727="331")),"x","")</f>
        <v/>
      </c>
      <c r="Q727" s="86" t="str">
        <f>IF(AND($B727&gt;='111'!$N$11,$B727&lt;='111'!$O$11,OR($N727=$Q$7,$O727=$Q$7)),"x","")</f>
        <v/>
      </c>
      <c r="R727" s="86" t="str">
        <f>IF(AND($N727=$Q$7,$B727&lt;'111'!$N$11),"x","")</f>
        <v/>
      </c>
      <c r="S727" s="86" t="str">
        <f>IF(AND($O727=$Q$7,$B727&lt;'111'!$N$11),"x","")</f>
        <v/>
      </c>
      <c r="T727" s="86" t="str">
        <f>IF(AND($B727&gt;='112'!$M$9,$B727&lt;='112'!$N$9,OR($N727='112'!$I$6,$O727='112'!$I$6)),"x","")</f>
        <v/>
      </c>
      <c r="U727" s="86" t="str">
        <f>IF(AND($N727='112'!$I$6,$B727&lt;'112'!$M$9),"x","")</f>
        <v/>
      </c>
      <c r="V727" s="86" t="str">
        <f>IF(AND($O727='112'!$I$6,$B727&lt;'112'!$M$9),"x","")</f>
        <v/>
      </c>
      <c r="W727" s="86" t="str">
        <f>IF(AND('131-CT'!$H$9=TH!H727,OR(N727="131",O727="131")),"x","")</f>
        <v/>
      </c>
      <c r="X727" s="86" t="str">
        <f>IF(AND($B727&gt;='1331'!$I$9,$B727&lt;='1331'!$J$9,OR($N727=$X$7,$O727=$X$7)),"x","")</f>
        <v/>
      </c>
      <c r="Y727" s="86" t="str">
        <f>IF(AND($N727=$X$7,$B727&lt;'1331'!$I$9),"x","")</f>
        <v/>
      </c>
      <c r="Z727" s="86" t="str">
        <f>IF(AND($O727=$X$7,$B727&lt;'1331'!$I$9),"x","")</f>
        <v/>
      </c>
      <c r="AA727" s="86" t="str">
        <f>IF(AND('341-CT'!$H$9=H727,OR(LEFT(N727,3)=$AA$7,LEFT(O727,3)=$AA$7)),"x","")</f>
        <v/>
      </c>
      <c r="AB727" s="86" t="str">
        <f>IF(OR(TH!N727=TH!$AB$7,O727=TH!$AB$7),"x","")</f>
        <v/>
      </c>
      <c r="AC727" s="86" t="str">
        <f t="shared" si="47"/>
        <v/>
      </c>
      <c r="AD727" s="86" t="str">
        <f>IF(AND(MONTH(E727)&lt;='IN-NX'!$P$3,'IN-NX'!$D$7=D727,OR(LEFT(TH!N727,2)="15",LEFT(TH!O727,2)="15")),"x","")</f>
        <v/>
      </c>
      <c r="AE727" s="86" t="str">
        <f>IF(AND(OR(LEFT(TH!N727,2)="15",LEFT(TH!O727,2)="15"),'152-CT'!$J$8=TH!F727),"x","")</f>
        <v/>
      </c>
      <c r="AF727" s="86" t="str">
        <f>IF(AND(OR(LEFT(TH!N727,2)="15",LEFT(TH!O727,2)="15"),'THE KHO'!$E$7=TH!F727),"x","")</f>
        <v/>
      </c>
      <c r="AG727" s="86" t="str">
        <f>IF(AND(N727="1521",MONTH(C727)='BK NL'!$M$11),"x","")</f>
        <v/>
      </c>
    </row>
    <row r="728" spans="1:33" ht="15.75" customHeight="1">
      <c r="A728" s="398" t="str">
        <f>IF(B728&lt;&gt;"",IF(AND(B728&gt;=_TM1,B728&lt;=_TM2,OR(TH!N728="1111",TH!O728="1111")),TH!D728,""),"")</f>
        <v/>
      </c>
      <c r="B728" s="63" t="str">
        <f t="shared" si="48"/>
        <v/>
      </c>
      <c r="C728" s="362"/>
      <c r="D728" s="362"/>
      <c r="E728" s="362"/>
      <c r="F728" s="363"/>
      <c r="G728" s="390"/>
      <c r="H728" s="364"/>
      <c r="I728" s="515"/>
      <c r="J728" s="515"/>
      <c r="K728" s="507"/>
      <c r="L728" s="515"/>
      <c r="M728" s="65"/>
      <c r="N728" s="365"/>
      <c r="O728" s="365"/>
      <c r="P728" s="86" t="str">
        <f>IF(AND('331-CT'!$E$7=TH!H728,OR(N728="331",O728="331")),"x","")</f>
        <v/>
      </c>
      <c r="Q728" s="86" t="str">
        <f>IF(AND($B728&gt;='111'!$N$11,$B728&lt;='111'!$O$11,OR($N728=$Q$7,$O728=$Q$7)),"x","")</f>
        <v/>
      </c>
      <c r="R728" s="86" t="str">
        <f>IF(AND($N728=$Q$7,$B728&lt;'111'!$N$11),"x","")</f>
        <v/>
      </c>
      <c r="S728" s="86" t="str">
        <f>IF(AND($O728=$Q$7,$B728&lt;'111'!$N$11),"x","")</f>
        <v/>
      </c>
      <c r="T728" s="86" t="str">
        <f>IF(AND($B728&gt;='112'!$M$9,$B728&lt;='112'!$N$9,OR($N728='112'!$I$6,$O728='112'!$I$6)),"x","")</f>
        <v/>
      </c>
      <c r="U728" s="86" t="str">
        <f>IF(AND($N728='112'!$I$6,$B728&lt;'112'!$M$9),"x","")</f>
        <v/>
      </c>
      <c r="V728" s="86" t="str">
        <f>IF(AND($O728='112'!$I$6,$B728&lt;'112'!$M$9),"x","")</f>
        <v/>
      </c>
      <c r="W728" s="86" t="str">
        <f>IF(AND('131-CT'!$H$9=TH!H728,OR(N728="131",O728="131")),"x","")</f>
        <v/>
      </c>
      <c r="X728" s="86" t="str">
        <f>IF(AND($B728&gt;='1331'!$I$9,$B728&lt;='1331'!$J$9,OR($N728=$X$7,$O728=$X$7)),"x","")</f>
        <v/>
      </c>
      <c r="Y728" s="86" t="str">
        <f>IF(AND($N728=$X$7,$B728&lt;'1331'!$I$9),"x","")</f>
        <v/>
      </c>
      <c r="Z728" s="86" t="str">
        <f>IF(AND($O728=$X$7,$B728&lt;'1331'!$I$9),"x","")</f>
        <v/>
      </c>
      <c r="AA728" s="86" t="str">
        <f>IF(AND('341-CT'!$H$9=H728,OR(LEFT(N728,3)=$AA$7,LEFT(O728,3)=$AA$7)),"x","")</f>
        <v/>
      </c>
      <c r="AB728" s="86" t="str">
        <f>IF(OR(TH!N728=TH!$AB$7,O728=TH!$AB$7),"x","")</f>
        <v/>
      </c>
      <c r="AC728" s="86" t="str">
        <f t="shared" si="47"/>
        <v/>
      </c>
      <c r="AD728" s="86" t="str">
        <f>IF(AND(MONTH(E728)&lt;='IN-NX'!$P$3,'IN-NX'!$D$7=D728,OR(LEFT(TH!N728,2)="15",LEFT(TH!O728,2)="15")),"x","")</f>
        <v/>
      </c>
      <c r="AE728" s="86" t="str">
        <f>IF(AND(OR(LEFT(TH!N728,2)="15",LEFT(TH!O728,2)="15"),'152-CT'!$J$8=TH!F728),"x","")</f>
        <v/>
      </c>
      <c r="AF728" s="86" t="str">
        <f>IF(AND(OR(LEFT(TH!N728,2)="15",LEFT(TH!O728,2)="15"),'THE KHO'!$E$7=TH!F728),"x","")</f>
        <v/>
      </c>
      <c r="AG728" s="86" t="str">
        <f>IF(AND(N728="1521",MONTH(C728)='BK NL'!$M$11),"x","")</f>
        <v/>
      </c>
    </row>
    <row r="729" spans="1:33" ht="15.75" customHeight="1">
      <c r="A729" s="398" t="str">
        <f>IF(B729&lt;&gt;"",IF(AND(B729&gt;=_TM1,B729&lt;=_TM2,OR(TH!N729="1111",TH!O729="1111")),TH!D729,""),"")</f>
        <v/>
      </c>
      <c r="B729" s="63" t="str">
        <f t="shared" si="48"/>
        <v/>
      </c>
      <c r="C729" s="362"/>
      <c r="D729" s="362"/>
      <c r="E729" s="362"/>
      <c r="F729" s="363"/>
      <c r="G729" s="390"/>
      <c r="H729" s="364"/>
      <c r="I729" s="515"/>
      <c r="J729" s="515"/>
      <c r="K729" s="507"/>
      <c r="L729" s="515"/>
      <c r="M729" s="65"/>
      <c r="N729" s="365"/>
      <c r="O729" s="365"/>
      <c r="P729" s="86" t="str">
        <f>IF(AND('331-CT'!$E$7=TH!H729,OR(N729="331",O729="331")),"x","")</f>
        <v/>
      </c>
      <c r="Q729" s="86" t="str">
        <f>IF(AND($B729&gt;='111'!$N$11,$B729&lt;='111'!$O$11,OR($N729=$Q$7,$O729=$Q$7)),"x","")</f>
        <v/>
      </c>
      <c r="R729" s="86" t="str">
        <f>IF(AND($N729=$Q$7,$B729&lt;'111'!$N$11),"x","")</f>
        <v/>
      </c>
      <c r="S729" s="86" t="str">
        <f>IF(AND($O729=$Q$7,$B729&lt;'111'!$N$11),"x","")</f>
        <v/>
      </c>
      <c r="T729" s="86" t="str">
        <f>IF(AND($B729&gt;='112'!$M$9,$B729&lt;='112'!$N$9,OR($N729='112'!$I$6,$O729='112'!$I$6)),"x","")</f>
        <v/>
      </c>
      <c r="U729" s="86" t="str">
        <f>IF(AND($N729='112'!$I$6,$B729&lt;'112'!$M$9),"x","")</f>
        <v/>
      </c>
      <c r="V729" s="86" t="str">
        <f>IF(AND($O729='112'!$I$6,$B729&lt;'112'!$M$9),"x","")</f>
        <v/>
      </c>
      <c r="W729" s="86" t="str">
        <f>IF(AND('131-CT'!$H$9=TH!H729,OR(N729="131",O729="131")),"x","")</f>
        <v/>
      </c>
      <c r="X729" s="86" t="str">
        <f>IF(AND($B729&gt;='1331'!$I$9,$B729&lt;='1331'!$J$9,OR($N729=$X$7,$O729=$X$7)),"x","")</f>
        <v/>
      </c>
      <c r="Y729" s="86" t="str">
        <f>IF(AND($N729=$X$7,$B729&lt;'1331'!$I$9),"x","")</f>
        <v/>
      </c>
      <c r="Z729" s="86" t="str">
        <f>IF(AND($O729=$X$7,$B729&lt;'1331'!$I$9),"x","")</f>
        <v/>
      </c>
      <c r="AA729" s="86" t="str">
        <f>IF(AND('341-CT'!$H$9=H729,OR(LEFT(N729,3)=$AA$7,LEFT(O729,3)=$AA$7)),"x","")</f>
        <v/>
      </c>
      <c r="AB729" s="86" t="str">
        <f>IF(OR(TH!N729=TH!$AB$7,O729=TH!$AB$7),"x","")</f>
        <v/>
      </c>
      <c r="AC729" s="86" t="str">
        <f t="shared" si="47"/>
        <v/>
      </c>
      <c r="AD729" s="86" t="str">
        <f>IF(AND(MONTH(E729)&lt;='IN-NX'!$P$3,'IN-NX'!$D$7=D729,OR(LEFT(TH!N729,2)="15",LEFT(TH!O729,2)="15")),"x","")</f>
        <v/>
      </c>
      <c r="AE729" s="86" t="str">
        <f>IF(AND(OR(LEFT(TH!N729,2)="15",LEFT(TH!O729,2)="15"),'152-CT'!$J$8=TH!F729),"x","")</f>
        <v/>
      </c>
      <c r="AF729" s="86" t="str">
        <f>IF(AND(OR(LEFT(TH!N729,2)="15",LEFT(TH!O729,2)="15"),'THE KHO'!$E$7=TH!F729),"x","")</f>
        <v/>
      </c>
      <c r="AG729" s="86" t="str">
        <f>IF(AND(N729="1521",MONTH(C729)='BK NL'!$M$11),"x","")</f>
        <v/>
      </c>
    </row>
    <row r="730" spans="1:33" ht="15.75" customHeight="1">
      <c r="A730" s="398" t="str">
        <f>IF(B730&lt;&gt;"",IF(AND(B730&gt;=_TM1,B730&lt;=_TM2,OR(TH!N730="1111",TH!O730="1111")),TH!D730,""),"")</f>
        <v/>
      </c>
      <c r="B730" s="63" t="str">
        <f t="shared" si="48"/>
        <v/>
      </c>
      <c r="C730" s="362"/>
      <c r="D730" s="362"/>
      <c r="E730" s="362"/>
      <c r="F730" s="363"/>
      <c r="G730" s="390"/>
      <c r="H730" s="364"/>
      <c r="I730" s="515"/>
      <c r="J730" s="515"/>
      <c r="K730" s="507"/>
      <c r="L730" s="515"/>
      <c r="M730" s="65"/>
      <c r="N730" s="365"/>
      <c r="O730" s="365"/>
      <c r="P730" s="86" t="str">
        <f>IF(AND('331-CT'!$E$7=TH!H730,OR(N730="331",O730="331")),"x","")</f>
        <v/>
      </c>
      <c r="Q730" s="86" t="str">
        <f>IF(AND($B730&gt;='111'!$N$11,$B730&lt;='111'!$O$11,OR($N730=$Q$7,$O730=$Q$7)),"x","")</f>
        <v/>
      </c>
      <c r="R730" s="86" t="str">
        <f>IF(AND($N730=$Q$7,$B730&lt;'111'!$N$11),"x","")</f>
        <v/>
      </c>
      <c r="S730" s="86" t="str">
        <f>IF(AND($O730=$Q$7,$B730&lt;'111'!$N$11),"x","")</f>
        <v/>
      </c>
      <c r="T730" s="86" t="str">
        <f>IF(AND($B730&gt;='112'!$M$9,$B730&lt;='112'!$N$9,OR($N730='112'!$I$6,$O730='112'!$I$6)),"x","")</f>
        <v/>
      </c>
      <c r="U730" s="86" t="str">
        <f>IF(AND($N730='112'!$I$6,$B730&lt;'112'!$M$9),"x","")</f>
        <v/>
      </c>
      <c r="V730" s="86" t="str">
        <f>IF(AND($O730='112'!$I$6,$B730&lt;'112'!$M$9),"x","")</f>
        <v/>
      </c>
      <c r="W730" s="86" t="str">
        <f>IF(AND('131-CT'!$H$9=TH!H730,OR(N730="131",O730="131")),"x","")</f>
        <v/>
      </c>
      <c r="X730" s="86" t="str">
        <f>IF(AND($B730&gt;='1331'!$I$9,$B730&lt;='1331'!$J$9,OR($N730=$X$7,$O730=$X$7)),"x","")</f>
        <v/>
      </c>
      <c r="Y730" s="86" t="str">
        <f>IF(AND($N730=$X$7,$B730&lt;'1331'!$I$9),"x","")</f>
        <v/>
      </c>
      <c r="Z730" s="86" t="str">
        <f>IF(AND($O730=$X$7,$B730&lt;'1331'!$I$9),"x","")</f>
        <v/>
      </c>
      <c r="AA730" s="86" t="str">
        <f>IF(AND('341-CT'!$H$9=H730,OR(LEFT(N730,3)=$AA$7,LEFT(O730,3)=$AA$7)),"x","")</f>
        <v/>
      </c>
      <c r="AB730" s="86" t="str">
        <f>IF(OR(TH!N730=TH!$AB$7,O730=TH!$AB$7),"x","")</f>
        <v/>
      </c>
      <c r="AC730" s="86" t="str">
        <f t="shared" si="47"/>
        <v/>
      </c>
      <c r="AD730" s="86" t="str">
        <f>IF(AND(MONTH(E730)&lt;='IN-NX'!$P$3,'IN-NX'!$D$7=D730,OR(LEFT(TH!N730,2)="15",LEFT(TH!O730,2)="15")),"x","")</f>
        <v/>
      </c>
      <c r="AE730" s="86" t="str">
        <f>IF(AND(OR(LEFT(TH!N730,2)="15",LEFT(TH!O730,2)="15"),'152-CT'!$J$8=TH!F730),"x","")</f>
        <v/>
      </c>
      <c r="AF730" s="86" t="str">
        <f>IF(AND(OR(LEFT(TH!N730,2)="15",LEFT(TH!O730,2)="15"),'THE KHO'!$E$7=TH!F730),"x","")</f>
        <v/>
      </c>
      <c r="AG730" s="86" t="str">
        <f>IF(AND(N730="1521",MONTH(C730)='BK NL'!$M$11),"x","")</f>
        <v/>
      </c>
    </row>
    <row r="731" spans="1:33" ht="15.75" customHeight="1">
      <c r="A731" s="398" t="str">
        <f>IF(B731&lt;&gt;"",IF(AND(B731&gt;=_TM1,B731&lt;=_TM2,OR(TH!N731="1111",TH!O731="1111")),TH!D731,""),"")</f>
        <v/>
      </c>
      <c r="B731" s="63" t="str">
        <f t="shared" si="48"/>
        <v/>
      </c>
      <c r="C731" s="64"/>
      <c r="D731" s="64"/>
      <c r="E731" s="64"/>
      <c r="F731" s="67"/>
      <c r="G731" s="375"/>
      <c r="H731" s="405"/>
      <c r="I731" s="516"/>
      <c r="J731" s="516"/>
      <c r="K731" s="508"/>
      <c r="L731" s="516"/>
      <c r="M731" s="65"/>
      <c r="N731" s="365"/>
      <c r="O731" s="66"/>
      <c r="P731" s="86" t="str">
        <f>IF(AND('331-CT'!$E$7=TH!H731,OR(N731="331",O731="331")),"x","")</f>
        <v/>
      </c>
      <c r="Q731" s="86" t="str">
        <f>IF(AND($B731&gt;='111'!$N$11,$B731&lt;='111'!$O$11,OR($N731=$Q$7,$O731=$Q$7)),"x","")</f>
        <v/>
      </c>
      <c r="R731" s="86" t="str">
        <f>IF(AND($N731=$Q$7,$B731&lt;'111'!$N$11),"x","")</f>
        <v/>
      </c>
      <c r="S731" s="86" t="str">
        <f>IF(AND($O731=$Q$7,$B731&lt;'111'!$N$11),"x","")</f>
        <v/>
      </c>
      <c r="T731" s="86" t="str">
        <f>IF(AND($B731&gt;='112'!$M$9,$B731&lt;='112'!$N$9,OR($N731='112'!$I$6,$O731='112'!$I$6)),"x","")</f>
        <v/>
      </c>
      <c r="U731" s="86" t="str">
        <f>IF(AND($N731='112'!$I$6,$B731&lt;'112'!$M$9),"x","")</f>
        <v/>
      </c>
      <c r="V731" s="86" t="str">
        <f>IF(AND($O731='112'!$I$6,$B731&lt;'112'!$M$9),"x","")</f>
        <v/>
      </c>
      <c r="W731" s="86" t="str">
        <f>IF(AND('131-CT'!$H$9=TH!H731,OR(N731="131",O731="131")),"x","")</f>
        <v/>
      </c>
      <c r="X731" s="86" t="str">
        <f>IF(AND($B731&gt;='1331'!$I$9,$B731&lt;='1331'!$J$9,OR($N731=$X$7,$O731=$X$7)),"x","")</f>
        <v/>
      </c>
      <c r="Y731" s="86" t="str">
        <f>IF(AND($N731=$X$7,$B731&lt;'1331'!$I$9),"x","")</f>
        <v/>
      </c>
      <c r="Z731" s="86" t="str">
        <f>IF(AND($O731=$X$7,$B731&lt;'1331'!$I$9),"x","")</f>
        <v/>
      </c>
      <c r="AA731" s="86" t="str">
        <f>IF(AND('341-CT'!$H$9=H731,OR(LEFT(N731,3)=$AA$7,LEFT(O731,3)=$AA$7)),"x","")</f>
        <v/>
      </c>
      <c r="AB731" s="86" t="str">
        <f>IF(OR(TH!N731=TH!$AB$7,O731=TH!$AB$7),"x","")</f>
        <v/>
      </c>
      <c r="AC731" s="86" t="str">
        <f t="shared" si="47"/>
        <v/>
      </c>
      <c r="AD731" s="86" t="str">
        <f>IF(AND(MONTH(E731)&lt;='IN-NX'!$P$3,'IN-NX'!$D$7=D731,OR(LEFT(TH!N731,2)="15",LEFT(TH!O731,2)="15")),"x","")</f>
        <v/>
      </c>
      <c r="AE731" s="86" t="str">
        <f>IF(AND(OR(LEFT(TH!N731,2)="15",LEFT(TH!O731,2)="15"),'152-CT'!$J$8=TH!F731),"x","")</f>
        <v/>
      </c>
      <c r="AF731" s="86" t="str">
        <f>IF(AND(OR(LEFT(TH!N731,2)="15",LEFT(TH!O731,2)="15"),'THE KHO'!$E$7=TH!F731),"x","")</f>
        <v/>
      </c>
      <c r="AG731" s="86" t="str">
        <f>IF(AND(N731="1521",MONTH(C731)='BK NL'!$M$11),"x","")</f>
        <v/>
      </c>
    </row>
    <row r="732" spans="1:33" ht="15.75" customHeight="1">
      <c r="A732" s="398" t="str">
        <f>IF(B732&lt;&gt;"",IF(AND(B732&gt;=_TM1,B732&lt;=_TM2,OR(TH!N732="1111",TH!O732="1111")),TH!D732,""),"")</f>
        <v/>
      </c>
      <c r="B732" s="63" t="str">
        <f t="shared" si="48"/>
        <v/>
      </c>
      <c r="C732" s="64"/>
      <c r="D732" s="64"/>
      <c r="E732" s="64"/>
      <c r="F732" s="67"/>
      <c r="G732" s="375"/>
      <c r="H732" s="405"/>
      <c r="I732" s="516"/>
      <c r="J732" s="516"/>
      <c r="K732" s="508"/>
      <c r="L732" s="516"/>
      <c r="M732" s="65"/>
      <c r="N732" s="365"/>
      <c r="O732" s="66"/>
      <c r="P732" s="86" t="str">
        <f>IF(AND('331-CT'!$E$7=TH!H732,OR(N732="331",O732="331")),"x","")</f>
        <v/>
      </c>
      <c r="Q732" s="86" t="str">
        <f>IF(AND($B732&gt;='111'!$N$11,$B732&lt;='111'!$O$11,OR($N732=$Q$7,$O732=$Q$7)),"x","")</f>
        <v/>
      </c>
      <c r="R732" s="86" t="str">
        <f>IF(AND($N732=$Q$7,$B732&lt;'111'!$N$11),"x","")</f>
        <v/>
      </c>
      <c r="S732" s="86" t="str">
        <f>IF(AND($O732=$Q$7,$B732&lt;'111'!$N$11),"x","")</f>
        <v/>
      </c>
      <c r="T732" s="86" t="str">
        <f>IF(AND($B732&gt;='112'!$M$9,$B732&lt;='112'!$N$9,OR($N732='112'!$I$6,$O732='112'!$I$6)),"x","")</f>
        <v/>
      </c>
      <c r="U732" s="86" t="str">
        <f>IF(AND($N732='112'!$I$6,$B732&lt;'112'!$M$9),"x","")</f>
        <v/>
      </c>
      <c r="V732" s="86" t="str">
        <f>IF(AND($O732='112'!$I$6,$B732&lt;'112'!$M$9),"x","")</f>
        <v/>
      </c>
      <c r="W732" s="86" t="str">
        <f>IF(AND('131-CT'!$H$9=TH!H732,OR(N732="131",O732="131")),"x","")</f>
        <v/>
      </c>
      <c r="X732" s="86" t="str">
        <f>IF(AND($B732&gt;='1331'!$I$9,$B732&lt;='1331'!$J$9,OR($N732=$X$7,$O732=$X$7)),"x","")</f>
        <v/>
      </c>
      <c r="Y732" s="86" t="str">
        <f>IF(AND($N732=$X$7,$B732&lt;'1331'!$I$9),"x","")</f>
        <v/>
      </c>
      <c r="Z732" s="86" t="str">
        <f>IF(AND($O732=$X$7,$B732&lt;'1331'!$I$9),"x","")</f>
        <v/>
      </c>
      <c r="AA732" s="86" t="str">
        <f>IF(AND('341-CT'!$H$9=H732,OR(LEFT(N732,3)=$AA$7,LEFT(O732,3)=$AA$7)),"x","")</f>
        <v/>
      </c>
      <c r="AB732" s="86" t="str">
        <f>IF(OR(TH!N732=TH!$AB$7,O732=TH!$AB$7),"x","")</f>
        <v/>
      </c>
      <c r="AC732" s="86" t="str">
        <f t="shared" si="47"/>
        <v/>
      </c>
      <c r="AD732" s="86" t="str">
        <f>IF(AND(MONTH(E732)&lt;='IN-NX'!$P$3,'IN-NX'!$D$7=D732,OR(LEFT(TH!N732,2)="15",LEFT(TH!O732,2)="15")),"x","")</f>
        <v/>
      </c>
      <c r="AE732" s="86" t="str">
        <f>IF(AND(OR(LEFT(TH!N732,2)="15",LEFT(TH!O732,2)="15"),'152-CT'!$J$8=TH!F732),"x","")</f>
        <v/>
      </c>
      <c r="AF732" s="86" t="str">
        <f>IF(AND(OR(LEFT(TH!N732,2)="15",LEFT(TH!O732,2)="15"),'THE KHO'!$E$7=TH!F732),"x","")</f>
        <v/>
      </c>
      <c r="AG732" s="86" t="str">
        <f>IF(AND(N732="1521",MONTH(C732)='BK NL'!$M$11),"x","")</f>
        <v/>
      </c>
    </row>
    <row r="733" spans="1:33" ht="15.75" customHeight="1">
      <c r="A733" s="398" t="str">
        <f>IF(B733&lt;&gt;"",IF(AND(B733&gt;=_TM1,B733&lt;=_TM2,OR(TH!N733="1111",TH!O733="1111")),TH!D733,""),"")</f>
        <v/>
      </c>
      <c r="B733" s="63" t="str">
        <f t="shared" si="48"/>
        <v/>
      </c>
      <c r="C733" s="362"/>
      <c r="D733" s="362"/>
      <c r="E733" s="362"/>
      <c r="F733" s="363"/>
      <c r="G733" s="390"/>
      <c r="H733" s="364"/>
      <c r="I733" s="515"/>
      <c r="J733" s="515"/>
      <c r="K733" s="507"/>
      <c r="L733" s="515"/>
      <c r="M733" s="65"/>
      <c r="N733" s="365"/>
      <c r="O733" s="365"/>
      <c r="P733" s="86" t="str">
        <f>IF(AND('331-CT'!$E$7=TH!H733,OR(N733="331",O733="331")),"x","")</f>
        <v/>
      </c>
      <c r="Q733" s="86" t="str">
        <f>IF(AND($B733&gt;='111'!$N$11,$B733&lt;='111'!$O$11,OR($N733=$Q$7,$O733=$Q$7)),"x","")</f>
        <v/>
      </c>
      <c r="R733" s="86" t="str">
        <f>IF(AND($N733=$Q$7,$B733&lt;'111'!$N$11),"x","")</f>
        <v/>
      </c>
      <c r="S733" s="86" t="str">
        <f>IF(AND($O733=$Q$7,$B733&lt;'111'!$N$11),"x","")</f>
        <v/>
      </c>
      <c r="T733" s="86" t="str">
        <f>IF(AND($B733&gt;='112'!$M$9,$B733&lt;='112'!$N$9,OR($N733='112'!$I$6,$O733='112'!$I$6)),"x","")</f>
        <v/>
      </c>
      <c r="U733" s="86" t="str">
        <f>IF(AND($N733='112'!$I$6,$B733&lt;'112'!$M$9),"x","")</f>
        <v/>
      </c>
      <c r="V733" s="86" t="str">
        <f>IF(AND($O733='112'!$I$6,$B733&lt;'112'!$M$9),"x","")</f>
        <v/>
      </c>
      <c r="W733" s="86" t="str">
        <f>IF(AND('131-CT'!$H$9=TH!H733,OR(N733="131",O733="131")),"x","")</f>
        <v/>
      </c>
      <c r="X733" s="86" t="str">
        <f>IF(AND($B733&gt;='1331'!$I$9,$B733&lt;='1331'!$J$9,OR($N733=$X$7,$O733=$X$7)),"x","")</f>
        <v/>
      </c>
      <c r="Y733" s="86" t="str">
        <f>IF(AND($N733=$X$7,$B733&lt;'1331'!$I$9),"x","")</f>
        <v/>
      </c>
      <c r="Z733" s="86" t="str">
        <f>IF(AND($O733=$X$7,$B733&lt;'1331'!$I$9),"x","")</f>
        <v/>
      </c>
      <c r="AA733" s="86" t="str">
        <f>IF(AND('341-CT'!$H$9=H733,OR(LEFT(N733,3)=$AA$7,LEFT(O733,3)=$AA$7)),"x","")</f>
        <v/>
      </c>
      <c r="AB733" s="86" t="str">
        <f>IF(OR(TH!N733=TH!$AB$7,O733=TH!$AB$7),"x","")</f>
        <v/>
      </c>
      <c r="AC733" s="86" t="str">
        <f t="shared" si="47"/>
        <v/>
      </c>
      <c r="AD733" s="86" t="str">
        <f>IF(AND(MONTH(E733)&lt;='IN-NX'!$P$3,'IN-NX'!$D$7=D733,OR(LEFT(TH!N733,2)="15",LEFT(TH!O733,2)="15")),"x","")</f>
        <v/>
      </c>
      <c r="AE733" s="86" t="str">
        <f>IF(AND(OR(LEFT(TH!N733,2)="15",LEFT(TH!O733,2)="15"),'152-CT'!$J$8=TH!F733),"x","")</f>
        <v/>
      </c>
      <c r="AF733" s="86" t="str">
        <f>IF(AND(OR(LEFT(TH!N733,2)="15",LEFT(TH!O733,2)="15"),'THE KHO'!$E$7=TH!F733),"x","")</f>
        <v/>
      </c>
      <c r="AG733" s="86" t="str">
        <f>IF(AND(N733="1521",MONTH(C733)='BK NL'!$M$11),"x","")</f>
        <v/>
      </c>
    </row>
    <row r="734" spans="1:33" ht="15.75" customHeight="1">
      <c r="A734" s="398" t="str">
        <f>IF(B734&lt;&gt;"",IF(AND(B734&gt;=_TM1,B734&lt;=_TM2,OR(TH!N734="1111",TH!O734="1111")),TH!D734,""),"")</f>
        <v/>
      </c>
      <c r="B734" s="63" t="str">
        <f t="shared" si="48"/>
        <v/>
      </c>
      <c r="C734" s="362"/>
      <c r="D734" s="362"/>
      <c r="E734" s="362"/>
      <c r="F734" s="363"/>
      <c r="G734" s="390"/>
      <c r="H734" s="364"/>
      <c r="I734" s="515"/>
      <c r="J734" s="515"/>
      <c r="K734" s="507"/>
      <c r="L734" s="515"/>
      <c r="M734" s="65"/>
      <c r="N734" s="365"/>
      <c r="O734" s="365"/>
      <c r="P734" s="86" t="str">
        <f>IF(AND('331-CT'!$E$7=TH!H734,OR(N734="331",O734="331")),"x","")</f>
        <v/>
      </c>
      <c r="Q734" s="86" t="str">
        <f>IF(AND($B734&gt;='111'!$N$11,$B734&lt;='111'!$O$11,OR($N734=$Q$7,$O734=$Q$7)),"x","")</f>
        <v/>
      </c>
      <c r="R734" s="86" t="str">
        <f>IF(AND($N734=$Q$7,$B734&lt;'111'!$N$11),"x","")</f>
        <v/>
      </c>
      <c r="S734" s="86" t="str">
        <f>IF(AND($O734=$Q$7,$B734&lt;'111'!$N$11),"x","")</f>
        <v/>
      </c>
      <c r="T734" s="86" t="str">
        <f>IF(AND($B734&gt;='112'!$M$9,$B734&lt;='112'!$N$9,OR($N734='112'!$I$6,$O734='112'!$I$6)),"x","")</f>
        <v/>
      </c>
      <c r="U734" s="86" t="str">
        <f>IF(AND($N734='112'!$I$6,$B734&lt;'112'!$M$9),"x","")</f>
        <v/>
      </c>
      <c r="V734" s="86" t="str">
        <f>IF(AND($O734='112'!$I$6,$B734&lt;'112'!$M$9),"x","")</f>
        <v/>
      </c>
      <c r="W734" s="86" t="str">
        <f>IF(AND('131-CT'!$H$9=TH!H734,OR(N734="131",O734="131")),"x","")</f>
        <v/>
      </c>
      <c r="X734" s="86" t="str">
        <f>IF(AND($B734&gt;='1331'!$I$9,$B734&lt;='1331'!$J$9,OR($N734=$X$7,$O734=$X$7)),"x","")</f>
        <v/>
      </c>
      <c r="Y734" s="86" t="str">
        <f>IF(AND($N734=$X$7,$B734&lt;'1331'!$I$9),"x","")</f>
        <v/>
      </c>
      <c r="Z734" s="86" t="str">
        <f>IF(AND($O734=$X$7,$B734&lt;'1331'!$I$9),"x","")</f>
        <v/>
      </c>
      <c r="AA734" s="86" t="str">
        <f>IF(AND('341-CT'!$H$9=H734,OR(LEFT(N734,3)=$AA$7,LEFT(O734,3)=$AA$7)),"x","")</f>
        <v/>
      </c>
      <c r="AB734" s="86" t="str">
        <f>IF(OR(TH!N734=TH!$AB$7,O734=TH!$AB$7),"x","")</f>
        <v/>
      </c>
      <c r="AC734" s="86" t="str">
        <f t="shared" si="47"/>
        <v/>
      </c>
      <c r="AD734" s="86" t="str">
        <f>IF(AND(MONTH(E734)&lt;='IN-NX'!$P$3,'IN-NX'!$D$7=D734,OR(LEFT(TH!N734,2)="15",LEFT(TH!O734,2)="15")),"x","")</f>
        <v/>
      </c>
      <c r="AE734" s="86" t="str">
        <f>IF(AND(OR(LEFT(TH!N734,2)="15",LEFT(TH!O734,2)="15"),'152-CT'!$J$8=TH!F734),"x","")</f>
        <v/>
      </c>
      <c r="AF734" s="86" t="str">
        <f>IF(AND(OR(LEFT(TH!N734,2)="15",LEFT(TH!O734,2)="15"),'THE KHO'!$E$7=TH!F734),"x","")</f>
        <v/>
      </c>
      <c r="AG734" s="86" t="str">
        <f>IF(AND(N734="1521",MONTH(C734)='BK NL'!$M$11),"x","")</f>
        <v/>
      </c>
    </row>
    <row r="735" spans="1:33" ht="15.75" customHeight="1">
      <c r="A735" s="398" t="str">
        <f>IF(B735&lt;&gt;"",IF(AND(B735&gt;=_TM1,B735&lt;=_TM2,OR(TH!N735="1111",TH!O735="1111")),TH!D735,""),"")</f>
        <v/>
      </c>
      <c r="B735" s="63" t="str">
        <f t="shared" si="48"/>
        <v/>
      </c>
      <c r="C735" s="362"/>
      <c r="D735" s="362"/>
      <c r="E735" s="362"/>
      <c r="F735" s="363"/>
      <c r="G735" s="390"/>
      <c r="H735" s="364"/>
      <c r="I735" s="515"/>
      <c r="J735" s="515"/>
      <c r="K735" s="507"/>
      <c r="L735" s="515"/>
      <c r="M735" s="65"/>
      <c r="N735" s="365"/>
      <c r="O735" s="365"/>
      <c r="P735" s="86" t="str">
        <f>IF(AND('331-CT'!$E$7=TH!H735,OR(N735="331",O735="331")),"x","")</f>
        <v/>
      </c>
      <c r="Q735" s="86" t="str">
        <f>IF(AND($B735&gt;='111'!$N$11,$B735&lt;='111'!$O$11,OR($N735=$Q$7,$O735=$Q$7)),"x","")</f>
        <v/>
      </c>
      <c r="R735" s="86" t="str">
        <f>IF(AND($N735=$Q$7,$B735&lt;'111'!$N$11),"x","")</f>
        <v/>
      </c>
      <c r="S735" s="86" t="str">
        <f>IF(AND($O735=$Q$7,$B735&lt;'111'!$N$11),"x","")</f>
        <v/>
      </c>
      <c r="T735" s="86" t="str">
        <f>IF(AND($B735&gt;='112'!$M$9,$B735&lt;='112'!$N$9,OR($N735='112'!$I$6,$O735='112'!$I$6)),"x","")</f>
        <v/>
      </c>
      <c r="U735" s="86" t="str">
        <f>IF(AND($N735='112'!$I$6,$B735&lt;'112'!$M$9),"x","")</f>
        <v/>
      </c>
      <c r="V735" s="86" t="str">
        <f>IF(AND($O735='112'!$I$6,$B735&lt;'112'!$M$9),"x","")</f>
        <v/>
      </c>
      <c r="W735" s="86" t="str">
        <f>IF(AND('131-CT'!$H$9=TH!H735,OR(N735="131",O735="131")),"x","")</f>
        <v/>
      </c>
      <c r="X735" s="86" t="str">
        <f>IF(AND($B735&gt;='1331'!$I$9,$B735&lt;='1331'!$J$9,OR($N735=$X$7,$O735=$X$7)),"x","")</f>
        <v/>
      </c>
      <c r="Y735" s="86" t="str">
        <f>IF(AND($N735=$X$7,$B735&lt;'1331'!$I$9),"x","")</f>
        <v/>
      </c>
      <c r="Z735" s="86" t="str">
        <f>IF(AND($O735=$X$7,$B735&lt;'1331'!$I$9),"x","")</f>
        <v/>
      </c>
      <c r="AA735" s="86" t="str">
        <f>IF(AND('341-CT'!$H$9=H735,OR(LEFT(N735,3)=$AA$7,LEFT(O735,3)=$AA$7)),"x","")</f>
        <v/>
      </c>
      <c r="AB735" s="86" t="str">
        <f>IF(OR(TH!N735=TH!$AB$7,O735=TH!$AB$7),"x","")</f>
        <v/>
      </c>
      <c r="AC735" s="86" t="str">
        <f t="shared" si="47"/>
        <v/>
      </c>
      <c r="AD735" s="86" t="str">
        <f>IF(AND(MONTH(E735)&lt;='IN-NX'!$P$3,'IN-NX'!$D$7=D735,OR(LEFT(TH!N735,2)="15",LEFT(TH!O735,2)="15")),"x","")</f>
        <v/>
      </c>
      <c r="AE735" s="86" t="str">
        <f>IF(AND(OR(LEFT(TH!N735,2)="15",LEFT(TH!O735,2)="15"),'152-CT'!$J$8=TH!F735),"x","")</f>
        <v/>
      </c>
      <c r="AF735" s="86" t="str">
        <f>IF(AND(OR(LEFT(TH!N735,2)="15",LEFT(TH!O735,2)="15"),'THE KHO'!$E$7=TH!F735),"x","")</f>
        <v/>
      </c>
      <c r="AG735" s="86" t="str">
        <f>IF(AND(N735="1521",MONTH(C735)='BK NL'!$M$11),"x","")</f>
        <v/>
      </c>
    </row>
    <row r="736" spans="1:33" ht="15.75" customHeight="1">
      <c r="A736" s="398" t="str">
        <f>IF(B736&lt;&gt;"",IF(AND(B736&gt;=_TM1,B736&lt;=_TM2,OR(TH!N736="1111",TH!O736="1111")),TH!D736,""),"")</f>
        <v/>
      </c>
      <c r="B736" s="63" t="str">
        <f t="shared" si="48"/>
        <v/>
      </c>
      <c r="C736" s="362"/>
      <c r="D736" s="362"/>
      <c r="E736" s="362"/>
      <c r="F736" s="363"/>
      <c r="G736" s="390"/>
      <c r="H736" s="364"/>
      <c r="I736" s="515"/>
      <c r="J736" s="515"/>
      <c r="K736" s="507"/>
      <c r="L736" s="515"/>
      <c r="M736" s="65"/>
      <c r="N736" s="365"/>
      <c r="O736" s="365"/>
      <c r="P736" s="86" t="str">
        <f>IF(AND('331-CT'!$E$7=TH!H736,OR(N736="331",O736="331")),"x","")</f>
        <v/>
      </c>
      <c r="Q736" s="86" t="str">
        <f>IF(AND($B736&gt;='111'!$N$11,$B736&lt;='111'!$O$11,OR($N736=$Q$7,$O736=$Q$7)),"x","")</f>
        <v/>
      </c>
      <c r="R736" s="86" t="str">
        <f>IF(AND($N736=$Q$7,$B736&lt;'111'!$N$11),"x","")</f>
        <v/>
      </c>
      <c r="S736" s="86" t="str">
        <f>IF(AND($O736=$Q$7,$B736&lt;'111'!$N$11),"x","")</f>
        <v/>
      </c>
      <c r="T736" s="86" t="str">
        <f>IF(AND($B736&gt;='112'!$M$9,$B736&lt;='112'!$N$9,OR($N736='112'!$I$6,$O736='112'!$I$6)),"x","")</f>
        <v/>
      </c>
      <c r="U736" s="86" t="str">
        <f>IF(AND($N736='112'!$I$6,$B736&lt;'112'!$M$9),"x","")</f>
        <v/>
      </c>
      <c r="V736" s="86" t="str">
        <f>IF(AND($O736='112'!$I$6,$B736&lt;'112'!$M$9),"x","")</f>
        <v/>
      </c>
      <c r="W736" s="86" t="str">
        <f>IF(AND('131-CT'!$H$9=TH!H736,OR(N736="131",O736="131")),"x","")</f>
        <v/>
      </c>
      <c r="X736" s="86" t="str">
        <f>IF(AND($B736&gt;='1331'!$I$9,$B736&lt;='1331'!$J$9,OR($N736=$X$7,$O736=$X$7)),"x","")</f>
        <v/>
      </c>
      <c r="Y736" s="86" t="str">
        <f>IF(AND($N736=$X$7,$B736&lt;'1331'!$I$9),"x","")</f>
        <v/>
      </c>
      <c r="Z736" s="86" t="str">
        <f>IF(AND($O736=$X$7,$B736&lt;'1331'!$I$9),"x","")</f>
        <v/>
      </c>
      <c r="AA736" s="86" t="str">
        <f>IF(AND('341-CT'!$H$9=H736,OR(LEFT(N736,3)=$AA$7,LEFT(O736,3)=$AA$7)),"x","")</f>
        <v/>
      </c>
      <c r="AB736" s="86" t="str">
        <f>IF(OR(TH!N736=TH!$AB$7,O736=TH!$AB$7),"x","")</f>
        <v/>
      </c>
      <c r="AC736" s="86" t="str">
        <f t="shared" si="47"/>
        <v/>
      </c>
      <c r="AD736" s="86" t="str">
        <f>IF(AND(MONTH(E736)&lt;='IN-NX'!$P$3,'IN-NX'!$D$7=D736,OR(LEFT(TH!N736,2)="15",LEFT(TH!O736,2)="15")),"x","")</f>
        <v/>
      </c>
      <c r="AE736" s="86" t="str">
        <f>IF(AND(OR(LEFT(TH!N736,2)="15",LEFT(TH!O736,2)="15"),'152-CT'!$J$8=TH!F736),"x","")</f>
        <v/>
      </c>
      <c r="AF736" s="86" t="str">
        <f>IF(AND(OR(LEFT(TH!N736,2)="15",LEFT(TH!O736,2)="15"),'THE KHO'!$E$7=TH!F736),"x","")</f>
        <v/>
      </c>
      <c r="AG736" s="86" t="str">
        <f>IF(AND(N736="1521",MONTH(C736)='BK NL'!$M$11),"x","")</f>
        <v/>
      </c>
    </row>
    <row r="737" spans="1:33" ht="15.75" customHeight="1">
      <c r="A737" s="398" t="str">
        <f>IF(B737&lt;&gt;"",IF(AND(B737&gt;=_TM1,B737&lt;=_TM2,OR(TH!N737="1111",TH!O737="1111")),TH!D737,""),"")</f>
        <v/>
      </c>
      <c r="B737" s="63" t="str">
        <f t="shared" si="48"/>
        <v/>
      </c>
      <c r="C737" s="362"/>
      <c r="D737" s="362"/>
      <c r="E737" s="362"/>
      <c r="F737" s="363"/>
      <c r="G737" s="390"/>
      <c r="H737" s="364"/>
      <c r="I737" s="515"/>
      <c r="J737" s="515"/>
      <c r="K737" s="507"/>
      <c r="L737" s="515"/>
      <c r="M737" s="65"/>
      <c r="N737" s="365"/>
      <c r="O737" s="365"/>
      <c r="P737" s="86" t="str">
        <f>IF(AND('331-CT'!$E$7=TH!H737,OR(N737="331",O737="331")),"x","")</f>
        <v/>
      </c>
      <c r="Q737" s="86" t="str">
        <f>IF(AND($B737&gt;='111'!$N$11,$B737&lt;='111'!$O$11,OR($N737=$Q$7,$O737=$Q$7)),"x","")</f>
        <v/>
      </c>
      <c r="R737" s="86" t="str">
        <f>IF(AND($N737=$Q$7,$B737&lt;'111'!$N$11),"x","")</f>
        <v/>
      </c>
      <c r="S737" s="86" t="str">
        <f>IF(AND($O737=$Q$7,$B737&lt;'111'!$N$11),"x","")</f>
        <v/>
      </c>
      <c r="T737" s="86" t="str">
        <f>IF(AND($B737&gt;='112'!$M$9,$B737&lt;='112'!$N$9,OR($N737='112'!$I$6,$O737='112'!$I$6)),"x","")</f>
        <v/>
      </c>
      <c r="U737" s="86" t="str">
        <f>IF(AND($N737='112'!$I$6,$B737&lt;'112'!$M$9),"x","")</f>
        <v/>
      </c>
      <c r="V737" s="86" t="str">
        <f>IF(AND($O737='112'!$I$6,$B737&lt;'112'!$M$9),"x","")</f>
        <v/>
      </c>
      <c r="W737" s="86" t="str">
        <f>IF(AND('131-CT'!$H$9=TH!H737,OR(N737="131",O737="131")),"x","")</f>
        <v/>
      </c>
      <c r="X737" s="86" t="str">
        <f>IF(AND($B737&gt;='1331'!$I$9,$B737&lt;='1331'!$J$9,OR($N737=$X$7,$O737=$X$7)),"x","")</f>
        <v/>
      </c>
      <c r="Y737" s="86" t="str">
        <f>IF(AND($N737=$X$7,$B737&lt;'1331'!$I$9),"x","")</f>
        <v/>
      </c>
      <c r="Z737" s="86" t="str">
        <f>IF(AND($O737=$X$7,$B737&lt;'1331'!$I$9),"x","")</f>
        <v/>
      </c>
      <c r="AA737" s="86" t="str">
        <f>IF(AND('341-CT'!$H$9=H737,OR(LEFT(N737,3)=$AA$7,LEFT(O737,3)=$AA$7)),"x","")</f>
        <v/>
      </c>
      <c r="AB737" s="86" t="str">
        <f>IF(OR(TH!N737=TH!$AB$7,O737=TH!$AB$7),"x","")</f>
        <v/>
      </c>
      <c r="AC737" s="86" t="str">
        <f t="shared" si="47"/>
        <v/>
      </c>
      <c r="AD737" s="86" t="str">
        <f>IF(AND(MONTH(E737)&lt;='IN-NX'!$P$3,'IN-NX'!$D$7=D737,OR(LEFT(TH!N737,2)="15",LEFT(TH!O737,2)="15")),"x","")</f>
        <v/>
      </c>
      <c r="AE737" s="86" t="str">
        <f>IF(AND(OR(LEFT(TH!N737,2)="15",LEFT(TH!O737,2)="15"),'152-CT'!$J$8=TH!F737),"x","")</f>
        <v/>
      </c>
      <c r="AF737" s="86" t="str">
        <f>IF(AND(OR(LEFT(TH!N737,2)="15",LEFT(TH!O737,2)="15"),'THE KHO'!$E$7=TH!F737),"x","")</f>
        <v/>
      </c>
      <c r="AG737" s="86" t="str">
        <f>IF(AND(N737="1521",MONTH(C737)='BK NL'!$M$11),"x","")</f>
        <v/>
      </c>
    </row>
    <row r="738" spans="1:33" ht="15.75" customHeight="1">
      <c r="A738" s="398" t="str">
        <f>IF(B738&lt;&gt;"",IF(AND(B738&gt;=_TM1,B738&lt;=_TM2,OR(TH!N738="1111",TH!O738="1111")),TH!D738,""),"")</f>
        <v/>
      </c>
      <c r="B738" s="63" t="str">
        <f t="shared" si="48"/>
        <v/>
      </c>
      <c r="C738" s="362"/>
      <c r="D738" s="362"/>
      <c r="E738" s="362"/>
      <c r="F738" s="363"/>
      <c r="G738" s="390"/>
      <c r="H738" s="364"/>
      <c r="I738" s="515"/>
      <c r="J738" s="515"/>
      <c r="K738" s="507"/>
      <c r="L738" s="515"/>
      <c r="M738" s="65"/>
      <c r="N738" s="365"/>
      <c r="O738" s="365"/>
      <c r="P738" s="86" t="str">
        <f>IF(AND('331-CT'!$E$7=TH!H738,OR(N738="331",O738="331")),"x","")</f>
        <v/>
      </c>
      <c r="Q738" s="86" t="str">
        <f>IF(AND($B738&gt;='111'!$N$11,$B738&lt;='111'!$O$11,OR($N738=$Q$7,$O738=$Q$7)),"x","")</f>
        <v/>
      </c>
      <c r="R738" s="86" t="str">
        <f>IF(AND($N738=$Q$7,$B738&lt;'111'!$N$11),"x","")</f>
        <v/>
      </c>
      <c r="S738" s="86" t="str">
        <f>IF(AND($O738=$Q$7,$B738&lt;'111'!$N$11),"x","")</f>
        <v/>
      </c>
      <c r="T738" s="86" t="str">
        <f>IF(AND($B738&gt;='112'!$M$9,$B738&lt;='112'!$N$9,OR($N738='112'!$I$6,$O738='112'!$I$6)),"x","")</f>
        <v/>
      </c>
      <c r="U738" s="86" t="str">
        <f>IF(AND($N738='112'!$I$6,$B738&lt;'112'!$M$9),"x","")</f>
        <v/>
      </c>
      <c r="V738" s="86" t="str">
        <f>IF(AND($O738='112'!$I$6,$B738&lt;'112'!$M$9),"x","")</f>
        <v/>
      </c>
      <c r="W738" s="86" t="str">
        <f>IF(AND('131-CT'!$H$9=TH!H738,OR(N738="131",O738="131")),"x","")</f>
        <v/>
      </c>
      <c r="X738" s="86" t="str">
        <f>IF(AND($B738&gt;='1331'!$I$9,$B738&lt;='1331'!$J$9,OR($N738=$X$7,$O738=$X$7)),"x","")</f>
        <v/>
      </c>
      <c r="Y738" s="86" t="str">
        <f>IF(AND($N738=$X$7,$B738&lt;'1331'!$I$9),"x","")</f>
        <v/>
      </c>
      <c r="Z738" s="86" t="str">
        <f>IF(AND($O738=$X$7,$B738&lt;'1331'!$I$9),"x","")</f>
        <v/>
      </c>
      <c r="AA738" s="86" t="str">
        <f>IF(AND('341-CT'!$H$9=H738,OR(LEFT(N738,3)=$AA$7,LEFT(O738,3)=$AA$7)),"x","")</f>
        <v/>
      </c>
      <c r="AB738" s="86" t="str">
        <f>IF(OR(TH!N738=TH!$AB$7,O738=TH!$AB$7),"x","")</f>
        <v/>
      </c>
      <c r="AC738" s="86" t="str">
        <f t="shared" si="47"/>
        <v/>
      </c>
      <c r="AD738" s="86" t="str">
        <f>IF(AND(MONTH(E738)&lt;='IN-NX'!$P$3,'IN-NX'!$D$7=D738,OR(LEFT(TH!N738,2)="15",LEFT(TH!O738,2)="15")),"x","")</f>
        <v/>
      </c>
      <c r="AE738" s="86" t="str">
        <f>IF(AND(OR(LEFT(TH!N738,2)="15",LEFT(TH!O738,2)="15"),'152-CT'!$J$8=TH!F738),"x","")</f>
        <v/>
      </c>
      <c r="AF738" s="86" t="str">
        <f>IF(AND(OR(LEFT(TH!N738,2)="15",LEFT(TH!O738,2)="15"),'THE KHO'!$E$7=TH!F738),"x","")</f>
        <v/>
      </c>
      <c r="AG738" s="86" t="str">
        <f>IF(AND(N738="1521",MONTH(C738)='BK NL'!$M$11),"x","")</f>
        <v/>
      </c>
    </row>
    <row r="739" spans="1:33" ht="15.75" customHeight="1">
      <c r="A739" s="398" t="str">
        <f>IF(B739&lt;&gt;"",IF(AND(B739&gt;=_TM1,B739&lt;=_TM2,OR(TH!N739="1111",TH!O739="1111")),TH!D739,""),"")</f>
        <v/>
      </c>
      <c r="B739" s="63" t="str">
        <f t="shared" si="48"/>
        <v/>
      </c>
      <c r="C739" s="362"/>
      <c r="D739" s="362"/>
      <c r="E739" s="362"/>
      <c r="F739" s="363"/>
      <c r="G739" s="390"/>
      <c r="H739" s="364"/>
      <c r="I739" s="515"/>
      <c r="J739" s="515"/>
      <c r="K739" s="507"/>
      <c r="L739" s="515"/>
      <c r="M739" s="65"/>
      <c r="N739" s="365"/>
      <c r="O739" s="365"/>
      <c r="P739" s="86" t="str">
        <f>IF(AND('331-CT'!$E$7=TH!H739,OR(N739="331",O739="331")),"x","")</f>
        <v/>
      </c>
      <c r="Q739" s="86" t="str">
        <f>IF(AND($B739&gt;='111'!$N$11,$B739&lt;='111'!$O$11,OR($N739=$Q$7,$O739=$Q$7)),"x","")</f>
        <v/>
      </c>
      <c r="R739" s="86" t="str">
        <f>IF(AND($N739=$Q$7,$B739&lt;'111'!$N$11),"x","")</f>
        <v/>
      </c>
      <c r="S739" s="86" t="str">
        <f>IF(AND($O739=$Q$7,$B739&lt;'111'!$N$11),"x","")</f>
        <v/>
      </c>
      <c r="T739" s="86" t="str">
        <f>IF(AND($B739&gt;='112'!$M$9,$B739&lt;='112'!$N$9,OR($N739='112'!$I$6,$O739='112'!$I$6)),"x","")</f>
        <v/>
      </c>
      <c r="U739" s="86" t="str">
        <f>IF(AND($N739='112'!$I$6,$B739&lt;'112'!$M$9),"x","")</f>
        <v/>
      </c>
      <c r="V739" s="86" t="str">
        <f>IF(AND($O739='112'!$I$6,$B739&lt;'112'!$M$9),"x","")</f>
        <v/>
      </c>
      <c r="W739" s="86" t="str">
        <f>IF(AND('131-CT'!$H$9=TH!H739,OR(N739="131",O739="131")),"x","")</f>
        <v/>
      </c>
      <c r="X739" s="86" t="str">
        <f>IF(AND($B739&gt;='1331'!$I$9,$B739&lt;='1331'!$J$9,OR($N739=$X$7,$O739=$X$7)),"x","")</f>
        <v/>
      </c>
      <c r="Y739" s="86" t="str">
        <f>IF(AND($N739=$X$7,$B739&lt;'1331'!$I$9),"x","")</f>
        <v/>
      </c>
      <c r="Z739" s="86" t="str">
        <f>IF(AND($O739=$X$7,$B739&lt;'1331'!$I$9),"x","")</f>
        <v/>
      </c>
      <c r="AA739" s="86" t="str">
        <f>IF(AND('341-CT'!$H$9=H739,OR(LEFT(N739,3)=$AA$7,LEFT(O739,3)=$AA$7)),"x","")</f>
        <v/>
      </c>
      <c r="AB739" s="86" t="str">
        <f>IF(OR(TH!N739=TH!$AB$7,O739=TH!$AB$7),"x","")</f>
        <v/>
      </c>
      <c r="AC739" s="86" t="str">
        <f t="shared" si="47"/>
        <v/>
      </c>
      <c r="AD739" s="86" t="str">
        <f>IF(AND(MONTH(E739)&lt;='IN-NX'!$P$3,'IN-NX'!$D$7=D739,OR(LEFT(TH!N739,2)="15",LEFT(TH!O739,2)="15")),"x","")</f>
        <v/>
      </c>
      <c r="AE739" s="86" t="str">
        <f>IF(AND(OR(LEFT(TH!N739,2)="15",LEFT(TH!O739,2)="15"),'152-CT'!$J$8=TH!F739),"x","")</f>
        <v/>
      </c>
      <c r="AF739" s="86" t="str">
        <f>IF(AND(OR(LEFT(TH!N739,2)="15",LEFT(TH!O739,2)="15"),'THE KHO'!$E$7=TH!F739),"x","")</f>
        <v/>
      </c>
      <c r="AG739" s="86" t="str">
        <f>IF(AND(N739="1521",MONTH(C739)='BK NL'!$M$11),"x","")</f>
        <v/>
      </c>
    </row>
    <row r="740" spans="1:33" ht="15.75" customHeight="1">
      <c r="A740" s="398" t="str">
        <f>IF(B740&lt;&gt;"",IF(AND(B740&gt;=_TM1,B740&lt;=_TM2,OR(TH!N740="1111",TH!O740="1111")),TH!D740,""),"")</f>
        <v/>
      </c>
      <c r="B740" s="63" t="str">
        <f t="shared" si="48"/>
        <v/>
      </c>
      <c r="C740" s="362"/>
      <c r="D740" s="362"/>
      <c r="E740" s="362"/>
      <c r="F740" s="363"/>
      <c r="G740" s="390"/>
      <c r="H740" s="364"/>
      <c r="I740" s="515"/>
      <c r="J740" s="515"/>
      <c r="K740" s="507"/>
      <c r="L740" s="515"/>
      <c r="M740" s="65"/>
      <c r="N740" s="365"/>
      <c r="O740" s="365"/>
      <c r="P740" s="86" t="str">
        <f>IF(AND('331-CT'!$E$7=TH!H740,OR(N740="331",O740="331")),"x","")</f>
        <v/>
      </c>
      <c r="Q740" s="86" t="str">
        <f>IF(AND($B740&gt;='111'!$N$11,$B740&lt;='111'!$O$11,OR($N740=$Q$7,$O740=$Q$7)),"x","")</f>
        <v/>
      </c>
      <c r="R740" s="86" t="str">
        <f>IF(AND($N740=$Q$7,$B740&lt;'111'!$N$11),"x","")</f>
        <v/>
      </c>
      <c r="S740" s="86" t="str">
        <f>IF(AND($O740=$Q$7,$B740&lt;'111'!$N$11),"x","")</f>
        <v/>
      </c>
      <c r="T740" s="86" t="str">
        <f>IF(AND($B740&gt;='112'!$M$9,$B740&lt;='112'!$N$9,OR($N740='112'!$I$6,$O740='112'!$I$6)),"x","")</f>
        <v/>
      </c>
      <c r="U740" s="86" t="str">
        <f>IF(AND($N740='112'!$I$6,$B740&lt;'112'!$M$9),"x","")</f>
        <v/>
      </c>
      <c r="V740" s="86" t="str">
        <f>IF(AND($O740='112'!$I$6,$B740&lt;'112'!$M$9),"x","")</f>
        <v/>
      </c>
      <c r="W740" s="86" t="str">
        <f>IF(AND('131-CT'!$H$9=TH!H740,OR(N740="131",O740="131")),"x","")</f>
        <v/>
      </c>
      <c r="X740" s="86" t="str">
        <f>IF(AND($B740&gt;='1331'!$I$9,$B740&lt;='1331'!$J$9,OR($N740=$X$7,$O740=$X$7)),"x","")</f>
        <v/>
      </c>
      <c r="Y740" s="86" t="str">
        <f>IF(AND($N740=$X$7,$B740&lt;'1331'!$I$9),"x","")</f>
        <v/>
      </c>
      <c r="Z740" s="86" t="str">
        <f>IF(AND($O740=$X$7,$B740&lt;'1331'!$I$9),"x","")</f>
        <v/>
      </c>
      <c r="AA740" s="86" t="str">
        <f>IF(AND('341-CT'!$H$9=H740,OR(LEFT(N740,3)=$AA$7,LEFT(O740,3)=$AA$7)),"x","")</f>
        <v/>
      </c>
      <c r="AB740" s="86" t="str">
        <f>IF(OR(TH!N740=TH!$AB$7,O740=TH!$AB$7),"x","")</f>
        <v/>
      </c>
      <c r="AC740" s="86" t="str">
        <f t="shared" si="47"/>
        <v/>
      </c>
      <c r="AD740" s="86" t="str">
        <f>IF(AND(MONTH(E740)&lt;='IN-NX'!$P$3,'IN-NX'!$D$7=D740,OR(LEFT(TH!N740,2)="15",LEFT(TH!O740,2)="15")),"x","")</f>
        <v/>
      </c>
      <c r="AE740" s="86" t="str">
        <f>IF(AND(OR(LEFT(TH!N740,2)="15",LEFT(TH!O740,2)="15"),'152-CT'!$J$8=TH!F740),"x","")</f>
        <v/>
      </c>
      <c r="AF740" s="86" t="str">
        <f>IF(AND(OR(LEFT(TH!N740,2)="15",LEFT(TH!O740,2)="15"),'THE KHO'!$E$7=TH!F740),"x","")</f>
        <v/>
      </c>
      <c r="AG740" s="86" t="str">
        <f>IF(AND(N740="1521",MONTH(C740)='BK NL'!$M$11),"x","")</f>
        <v/>
      </c>
    </row>
    <row r="741" spans="1:33" ht="15.75" customHeight="1">
      <c r="A741" s="398" t="str">
        <f>IF(B741&lt;&gt;"",IF(AND(B741&gt;=_TM1,B741&lt;=_TM2,OR(TH!N741="1111",TH!O741="1111")),TH!D741,""),"")</f>
        <v/>
      </c>
      <c r="B741" s="63" t="str">
        <f t="shared" si="48"/>
        <v/>
      </c>
      <c r="C741" s="362"/>
      <c r="D741" s="362"/>
      <c r="E741" s="362"/>
      <c r="F741" s="363"/>
      <c r="G741" s="390"/>
      <c r="H741" s="364"/>
      <c r="I741" s="515"/>
      <c r="J741" s="515"/>
      <c r="K741" s="507"/>
      <c r="L741" s="515"/>
      <c r="M741" s="65"/>
      <c r="N741" s="365"/>
      <c r="O741" s="365"/>
      <c r="P741" s="86" t="str">
        <f>IF(AND('331-CT'!$E$7=TH!H741,OR(N741="331",O741="331")),"x","")</f>
        <v/>
      </c>
      <c r="Q741" s="86" t="str">
        <f>IF(AND($B741&gt;='111'!$N$11,$B741&lt;='111'!$O$11,OR($N741=$Q$7,$O741=$Q$7)),"x","")</f>
        <v/>
      </c>
      <c r="R741" s="86" t="str">
        <f>IF(AND($N741=$Q$7,$B741&lt;'111'!$N$11),"x","")</f>
        <v/>
      </c>
      <c r="S741" s="86" t="str">
        <f>IF(AND($O741=$Q$7,$B741&lt;'111'!$N$11),"x","")</f>
        <v/>
      </c>
      <c r="T741" s="86" t="str">
        <f>IF(AND($B741&gt;='112'!$M$9,$B741&lt;='112'!$N$9,OR($N741='112'!$I$6,$O741='112'!$I$6)),"x","")</f>
        <v/>
      </c>
      <c r="U741" s="86" t="str">
        <f>IF(AND($N741='112'!$I$6,$B741&lt;'112'!$M$9),"x","")</f>
        <v/>
      </c>
      <c r="V741" s="86" t="str">
        <f>IF(AND($O741='112'!$I$6,$B741&lt;'112'!$M$9),"x","")</f>
        <v/>
      </c>
      <c r="W741" s="86" t="str">
        <f>IF(AND('131-CT'!$H$9=TH!H741,OR(N741="131",O741="131")),"x","")</f>
        <v/>
      </c>
      <c r="X741" s="86" t="str">
        <f>IF(AND($B741&gt;='1331'!$I$9,$B741&lt;='1331'!$J$9,OR($N741=$X$7,$O741=$X$7)),"x","")</f>
        <v/>
      </c>
      <c r="Y741" s="86" t="str">
        <f>IF(AND($N741=$X$7,$B741&lt;'1331'!$I$9),"x","")</f>
        <v/>
      </c>
      <c r="Z741" s="86" t="str">
        <f>IF(AND($O741=$X$7,$B741&lt;'1331'!$I$9),"x","")</f>
        <v/>
      </c>
      <c r="AA741" s="86" t="str">
        <f>IF(AND('341-CT'!$H$9=H741,OR(LEFT(N741,3)=$AA$7,LEFT(O741,3)=$AA$7)),"x","")</f>
        <v/>
      </c>
      <c r="AB741" s="86" t="str">
        <f>IF(OR(TH!N741=TH!$AB$7,O741=TH!$AB$7),"x","")</f>
        <v/>
      </c>
      <c r="AC741" s="86" t="str">
        <f t="shared" si="47"/>
        <v/>
      </c>
      <c r="AD741" s="86" t="str">
        <f>IF(AND(MONTH(E741)&lt;='IN-NX'!$P$3,'IN-NX'!$D$7=D741,OR(LEFT(TH!N741,2)="15",LEFT(TH!O741,2)="15")),"x","")</f>
        <v/>
      </c>
      <c r="AE741" s="86" t="str">
        <f>IF(AND(OR(LEFT(TH!N741,2)="15",LEFT(TH!O741,2)="15"),'152-CT'!$J$8=TH!F741),"x","")</f>
        <v/>
      </c>
      <c r="AF741" s="86" t="str">
        <f>IF(AND(OR(LEFT(TH!N741,2)="15",LEFT(TH!O741,2)="15"),'THE KHO'!$E$7=TH!F741),"x","")</f>
        <v/>
      </c>
      <c r="AG741" s="86" t="str">
        <f>IF(AND(N741="1521",MONTH(C741)='BK NL'!$M$11),"x","")</f>
        <v/>
      </c>
    </row>
    <row r="742" spans="1:33" ht="15.75" customHeight="1">
      <c r="A742" s="398" t="str">
        <f>IF(B742&lt;&gt;"",IF(AND(B742&gt;=_TM1,B742&lt;=_TM2,OR(TH!N742="1111",TH!O742="1111")),TH!D742,""),"")</f>
        <v/>
      </c>
      <c r="B742" s="63" t="str">
        <f t="shared" si="48"/>
        <v/>
      </c>
      <c r="C742" s="362"/>
      <c r="D742" s="362"/>
      <c r="E742" s="362"/>
      <c r="F742" s="363"/>
      <c r="G742" s="390"/>
      <c r="H742" s="364"/>
      <c r="I742" s="515"/>
      <c r="J742" s="515"/>
      <c r="K742" s="507"/>
      <c r="L742" s="515"/>
      <c r="M742" s="65"/>
      <c r="N742" s="365"/>
      <c r="O742" s="365"/>
      <c r="P742" s="86" t="str">
        <f>IF(AND('331-CT'!$E$7=TH!H742,OR(N742="331",O742="331")),"x","")</f>
        <v/>
      </c>
      <c r="Q742" s="86" t="str">
        <f>IF(AND($B742&gt;='111'!$N$11,$B742&lt;='111'!$O$11,OR($N742=$Q$7,$O742=$Q$7)),"x","")</f>
        <v/>
      </c>
      <c r="R742" s="86" t="str">
        <f>IF(AND($N742=$Q$7,$B742&lt;'111'!$N$11),"x","")</f>
        <v/>
      </c>
      <c r="S742" s="86" t="str">
        <f>IF(AND($O742=$Q$7,$B742&lt;'111'!$N$11),"x","")</f>
        <v/>
      </c>
      <c r="T742" s="86" t="str">
        <f>IF(AND($B742&gt;='112'!$M$9,$B742&lt;='112'!$N$9,OR($N742='112'!$I$6,$O742='112'!$I$6)),"x","")</f>
        <v/>
      </c>
      <c r="U742" s="86" t="str">
        <f>IF(AND($N742='112'!$I$6,$B742&lt;'112'!$M$9),"x","")</f>
        <v/>
      </c>
      <c r="V742" s="86" t="str">
        <f>IF(AND($O742='112'!$I$6,$B742&lt;'112'!$M$9),"x","")</f>
        <v/>
      </c>
      <c r="W742" s="86" t="str">
        <f>IF(AND('131-CT'!$H$9=TH!H742,OR(N742="131",O742="131")),"x","")</f>
        <v/>
      </c>
      <c r="X742" s="86" t="str">
        <f>IF(AND($B742&gt;='1331'!$I$9,$B742&lt;='1331'!$J$9,OR($N742=$X$7,$O742=$X$7)),"x","")</f>
        <v/>
      </c>
      <c r="Y742" s="86" t="str">
        <f>IF(AND($N742=$X$7,$B742&lt;'1331'!$I$9),"x","")</f>
        <v/>
      </c>
      <c r="Z742" s="86" t="str">
        <f>IF(AND($O742=$X$7,$B742&lt;'1331'!$I$9),"x","")</f>
        <v/>
      </c>
      <c r="AA742" s="86" t="str">
        <f>IF(AND('341-CT'!$H$9=H742,OR(LEFT(N742,3)=$AA$7,LEFT(O742,3)=$AA$7)),"x","")</f>
        <v/>
      </c>
      <c r="AB742" s="86" t="str">
        <f>IF(OR(TH!N742=TH!$AB$7,O742=TH!$AB$7),"x","")</f>
        <v/>
      </c>
      <c r="AC742" s="86" t="str">
        <f t="shared" si="47"/>
        <v/>
      </c>
      <c r="AD742" s="86" t="str">
        <f>IF(AND(MONTH(E742)&lt;='IN-NX'!$P$3,'IN-NX'!$D$7=D742,OR(LEFT(TH!N742,2)="15",LEFT(TH!O742,2)="15")),"x","")</f>
        <v/>
      </c>
      <c r="AE742" s="86" t="str">
        <f>IF(AND(OR(LEFT(TH!N742,2)="15",LEFT(TH!O742,2)="15"),'152-CT'!$J$8=TH!F742),"x","")</f>
        <v/>
      </c>
      <c r="AF742" s="86" t="str">
        <f>IF(AND(OR(LEFT(TH!N742,2)="15",LEFT(TH!O742,2)="15"),'THE KHO'!$E$7=TH!F742),"x","")</f>
        <v/>
      </c>
      <c r="AG742" s="86" t="str">
        <f>IF(AND(N742="1521",MONTH(C742)='BK NL'!$M$11),"x","")</f>
        <v/>
      </c>
    </row>
    <row r="743" spans="1:33" ht="15.75" customHeight="1">
      <c r="A743" s="398" t="str">
        <f>IF(B743&lt;&gt;"",IF(AND(B743&gt;=_TM1,B743&lt;=_TM2,OR(TH!N743="1111",TH!O743="1111")),TH!D743,""),"")</f>
        <v/>
      </c>
      <c r="B743" s="63" t="str">
        <f t="shared" si="48"/>
        <v/>
      </c>
      <c r="C743" s="362"/>
      <c r="D743" s="362"/>
      <c r="E743" s="362"/>
      <c r="F743" s="363"/>
      <c r="G743" s="390"/>
      <c r="H743" s="364"/>
      <c r="I743" s="515"/>
      <c r="J743" s="515"/>
      <c r="K743" s="507"/>
      <c r="L743" s="515"/>
      <c r="M743" s="65"/>
      <c r="N743" s="365"/>
      <c r="O743" s="365"/>
      <c r="P743" s="86" t="str">
        <f>IF(AND('331-CT'!$E$7=TH!H743,OR(N743="331",O743="331")),"x","")</f>
        <v/>
      </c>
      <c r="Q743" s="86" t="str">
        <f>IF(AND($B743&gt;='111'!$N$11,$B743&lt;='111'!$O$11,OR($N743=$Q$7,$O743=$Q$7)),"x","")</f>
        <v/>
      </c>
      <c r="R743" s="86" t="str">
        <f>IF(AND($N743=$Q$7,$B743&lt;'111'!$N$11),"x","")</f>
        <v/>
      </c>
      <c r="S743" s="86" t="str">
        <f>IF(AND($O743=$Q$7,$B743&lt;'111'!$N$11),"x","")</f>
        <v/>
      </c>
      <c r="T743" s="86" t="str">
        <f>IF(AND($B743&gt;='112'!$M$9,$B743&lt;='112'!$N$9,OR($N743='112'!$I$6,$O743='112'!$I$6)),"x","")</f>
        <v/>
      </c>
      <c r="U743" s="86" t="str">
        <f>IF(AND($N743='112'!$I$6,$B743&lt;'112'!$M$9),"x","")</f>
        <v/>
      </c>
      <c r="V743" s="86" t="str">
        <f>IF(AND($O743='112'!$I$6,$B743&lt;'112'!$M$9),"x","")</f>
        <v/>
      </c>
      <c r="W743" s="86" t="str">
        <f>IF(AND('131-CT'!$H$9=TH!H743,OR(N743="131",O743="131")),"x","")</f>
        <v/>
      </c>
      <c r="X743" s="86" t="str">
        <f>IF(AND($B743&gt;='1331'!$I$9,$B743&lt;='1331'!$J$9,OR($N743=$X$7,$O743=$X$7)),"x","")</f>
        <v/>
      </c>
      <c r="Y743" s="86" t="str">
        <f>IF(AND($N743=$X$7,$B743&lt;'1331'!$I$9),"x","")</f>
        <v/>
      </c>
      <c r="Z743" s="86" t="str">
        <f>IF(AND($O743=$X$7,$B743&lt;'1331'!$I$9),"x","")</f>
        <v/>
      </c>
      <c r="AA743" s="86" t="str">
        <f>IF(AND('341-CT'!$H$9=H743,OR(LEFT(N743,3)=$AA$7,LEFT(O743,3)=$AA$7)),"x","")</f>
        <v/>
      </c>
      <c r="AB743" s="86" t="str">
        <f>IF(OR(TH!N743=TH!$AB$7,O743=TH!$AB$7),"x","")</f>
        <v/>
      </c>
      <c r="AC743" s="86" t="str">
        <f t="shared" si="47"/>
        <v/>
      </c>
      <c r="AD743" s="86" t="str">
        <f>IF(AND(MONTH(E743)&lt;='IN-NX'!$P$3,'IN-NX'!$D$7=D743,OR(LEFT(TH!N743,2)="15",LEFT(TH!O743,2)="15")),"x","")</f>
        <v/>
      </c>
      <c r="AE743" s="86" t="str">
        <f>IF(AND(OR(LEFT(TH!N743,2)="15",LEFT(TH!O743,2)="15"),'152-CT'!$J$8=TH!F743),"x","")</f>
        <v/>
      </c>
      <c r="AF743" s="86" t="str">
        <f>IF(AND(OR(LEFT(TH!N743,2)="15",LEFT(TH!O743,2)="15"),'THE KHO'!$E$7=TH!F743),"x","")</f>
        <v/>
      </c>
      <c r="AG743" s="86" t="str">
        <f>IF(AND(N743="1521",MONTH(C743)='BK NL'!$M$11),"x","")</f>
        <v/>
      </c>
    </row>
    <row r="744" spans="1:33" ht="15.75" customHeight="1">
      <c r="A744" s="398" t="str">
        <f>IF(B744&lt;&gt;"",IF(AND(B744&gt;=_TM1,B744&lt;=_TM2,OR(TH!N744="1111",TH!O744="1111")),TH!D744,""),"")</f>
        <v/>
      </c>
      <c r="B744" s="63" t="str">
        <f t="shared" si="48"/>
        <v/>
      </c>
      <c r="C744" s="362"/>
      <c r="D744" s="362"/>
      <c r="E744" s="362"/>
      <c r="F744" s="363"/>
      <c r="G744" s="390"/>
      <c r="H744" s="364"/>
      <c r="I744" s="515"/>
      <c r="J744" s="515"/>
      <c r="K744" s="507"/>
      <c r="L744" s="515"/>
      <c r="M744" s="65"/>
      <c r="N744" s="365"/>
      <c r="O744" s="365"/>
      <c r="P744" s="86" t="str">
        <f>IF(AND('331-CT'!$E$7=TH!H744,OR(N744="331",O744="331")),"x","")</f>
        <v/>
      </c>
      <c r="Q744" s="86" t="str">
        <f>IF(AND($B744&gt;='111'!$N$11,$B744&lt;='111'!$O$11,OR($N744=$Q$7,$O744=$Q$7)),"x","")</f>
        <v/>
      </c>
      <c r="R744" s="86" t="str">
        <f>IF(AND($N744=$Q$7,$B744&lt;'111'!$N$11),"x","")</f>
        <v/>
      </c>
      <c r="S744" s="86" t="str">
        <f>IF(AND($O744=$Q$7,$B744&lt;'111'!$N$11),"x","")</f>
        <v/>
      </c>
      <c r="T744" s="86" t="str">
        <f>IF(AND($B744&gt;='112'!$M$9,$B744&lt;='112'!$N$9,OR($N744='112'!$I$6,$O744='112'!$I$6)),"x","")</f>
        <v/>
      </c>
      <c r="U744" s="86" t="str">
        <f>IF(AND($N744='112'!$I$6,$B744&lt;'112'!$M$9),"x","")</f>
        <v/>
      </c>
      <c r="V744" s="86" t="str">
        <f>IF(AND($O744='112'!$I$6,$B744&lt;'112'!$M$9),"x","")</f>
        <v/>
      </c>
      <c r="W744" s="86" t="str">
        <f>IF(AND('131-CT'!$H$9=TH!H744,OR(N744="131",O744="131")),"x","")</f>
        <v/>
      </c>
      <c r="X744" s="86" t="str">
        <f>IF(AND($B744&gt;='1331'!$I$9,$B744&lt;='1331'!$J$9,OR($N744=$X$7,$O744=$X$7)),"x","")</f>
        <v/>
      </c>
      <c r="Y744" s="86" t="str">
        <f>IF(AND($N744=$X$7,$B744&lt;'1331'!$I$9),"x","")</f>
        <v/>
      </c>
      <c r="Z744" s="86" t="str">
        <f>IF(AND($O744=$X$7,$B744&lt;'1331'!$I$9),"x","")</f>
        <v/>
      </c>
      <c r="AA744" s="86" t="str">
        <f>IF(AND('341-CT'!$H$9=H744,OR(LEFT(N744,3)=$AA$7,LEFT(O744,3)=$AA$7)),"x","")</f>
        <v/>
      </c>
      <c r="AB744" s="86" t="str">
        <f>IF(OR(TH!N744=TH!$AB$7,O744=TH!$AB$7),"x","")</f>
        <v/>
      </c>
      <c r="AC744" s="86" t="str">
        <f t="shared" si="47"/>
        <v/>
      </c>
      <c r="AD744" s="86" t="str">
        <f>IF(AND(MONTH(E744)&lt;='IN-NX'!$P$3,'IN-NX'!$D$7=D744,OR(LEFT(TH!N744,2)="15",LEFT(TH!O744,2)="15")),"x","")</f>
        <v/>
      </c>
      <c r="AE744" s="86" t="str">
        <f>IF(AND(OR(LEFT(TH!N744,2)="15",LEFT(TH!O744,2)="15"),'152-CT'!$J$8=TH!F744),"x","")</f>
        <v/>
      </c>
      <c r="AF744" s="86" t="str">
        <f>IF(AND(OR(LEFT(TH!N744,2)="15",LEFT(TH!O744,2)="15"),'THE KHO'!$E$7=TH!F744),"x","")</f>
        <v/>
      </c>
      <c r="AG744" s="86" t="str">
        <f>IF(AND(N744="1521",MONTH(C744)='BK NL'!$M$11),"x","")</f>
        <v/>
      </c>
    </row>
    <row r="745" spans="1:33" ht="15.75" customHeight="1">
      <c r="A745" s="398" t="str">
        <f>IF(B745&lt;&gt;"",IF(AND(B745&gt;=_TM1,B745&lt;=_TM2,OR(TH!N745="1111",TH!O745="1111")),TH!D745,""),"")</f>
        <v/>
      </c>
      <c r="B745" s="63" t="str">
        <f t="shared" si="48"/>
        <v/>
      </c>
      <c r="C745" s="362"/>
      <c r="D745" s="362"/>
      <c r="E745" s="362"/>
      <c r="F745" s="363"/>
      <c r="G745" s="390"/>
      <c r="H745" s="364"/>
      <c r="I745" s="515"/>
      <c r="J745" s="515"/>
      <c r="K745" s="507"/>
      <c r="L745" s="515"/>
      <c r="M745" s="65"/>
      <c r="N745" s="365"/>
      <c r="O745" s="365"/>
      <c r="P745" s="86" t="str">
        <f>IF(AND('331-CT'!$E$7=TH!H745,OR(N745="331",O745="331")),"x","")</f>
        <v/>
      </c>
      <c r="Q745" s="86" t="str">
        <f>IF(AND($B745&gt;='111'!$N$11,$B745&lt;='111'!$O$11,OR($N745=$Q$7,$O745=$Q$7)),"x","")</f>
        <v/>
      </c>
      <c r="R745" s="86" t="str">
        <f>IF(AND($N745=$Q$7,$B745&lt;'111'!$N$11),"x","")</f>
        <v/>
      </c>
      <c r="S745" s="86" t="str">
        <f>IF(AND($O745=$Q$7,$B745&lt;'111'!$N$11),"x","")</f>
        <v/>
      </c>
      <c r="T745" s="86" t="str">
        <f>IF(AND($B745&gt;='112'!$M$9,$B745&lt;='112'!$N$9,OR($N745='112'!$I$6,$O745='112'!$I$6)),"x","")</f>
        <v/>
      </c>
      <c r="U745" s="86" t="str">
        <f>IF(AND($N745='112'!$I$6,$B745&lt;'112'!$M$9),"x","")</f>
        <v/>
      </c>
      <c r="V745" s="86" t="str">
        <f>IF(AND($O745='112'!$I$6,$B745&lt;'112'!$M$9),"x","")</f>
        <v/>
      </c>
      <c r="W745" s="86" t="str">
        <f>IF(AND('131-CT'!$H$9=TH!H745,OR(N745="131",O745="131")),"x","")</f>
        <v/>
      </c>
      <c r="X745" s="86" t="str">
        <f>IF(AND($B745&gt;='1331'!$I$9,$B745&lt;='1331'!$J$9,OR($N745=$X$7,$O745=$X$7)),"x","")</f>
        <v/>
      </c>
      <c r="Y745" s="86" t="str">
        <f>IF(AND($N745=$X$7,$B745&lt;'1331'!$I$9),"x","")</f>
        <v/>
      </c>
      <c r="Z745" s="86" t="str">
        <f>IF(AND($O745=$X$7,$B745&lt;'1331'!$I$9),"x","")</f>
        <v/>
      </c>
      <c r="AA745" s="86" t="str">
        <f>IF(AND('341-CT'!$H$9=H745,OR(LEFT(N745,3)=$AA$7,LEFT(O745,3)=$AA$7)),"x","")</f>
        <v/>
      </c>
      <c r="AB745" s="86" t="str">
        <f>IF(OR(TH!N745=TH!$AB$7,O745=TH!$AB$7),"x","")</f>
        <v/>
      </c>
      <c r="AC745" s="86" t="str">
        <f t="shared" ref="AC745:AC808" si="49">IF(AND(1&lt;=$B745,$B745&lt;=3),"1",IF(AND(4&lt;=$B745,$B745&lt;=6),"2",IF(AND(7&lt;=$B745,$B745&lt;=9),"3",IF(AND(10&lt;=$B745,$B745&lt;=12),"4",""))))</f>
        <v/>
      </c>
      <c r="AD745" s="86" t="str">
        <f>IF(AND(MONTH(E745)&lt;='IN-NX'!$P$3,'IN-NX'!$D$7=D745,OR(LEFT(TH!N745,2)="15",LEFT(TH!O745,2)="15")),"x","")</f>
        <v/>
      </c>
      <c r="AE745" s="86" t="str">
        <f>IF(AND(OR(LEFT(TH!N745,2)="15",LEFT(TH!O745,2)="15"),'152-CT'!$J$8=TH!F745),"x","")</f>
        <v/>
      </c>
      <c r="AF745" s="86" t="str">
        <f>IF(AND(OR(LEFT(TH!N745,2)="15",LEFT(TH!O745,2)="15"),'THE KHO'!$E$7=TH!F745),"x","")</f>
        <v/>
      </c>
      <c r="AG745" s="86" t="str">
        <f>IF(AND(N745="1521",MONTH(C745)='BK NL'!$M$11),"x","")</f>
        <v/>
      </c>
    </row>
    <row r="746" spans="1:33" ht="15.75" customHeight="1">
      <c r="A746" s="398" t="str">
        <f>IF(B746&lt;&gt;"",IF(AND(B746&gt;=_TM1,B746&lt;=_TM2,OR(TH!N746="1111",TH!O746="1111")),TH!D746,""),"")</f>
        <v/>
      </c>
      <c r="B746" s="63" t="str">
        <f t="shared" si="48"/>
        <v/>
      </c>
      <c r="C746" s="362"/>
      <c r="D746" s="362"/>
      <c r="E746" s="362"/>
      <c r="F746" s="363"/>
      <c r="G746" s="390"/>
      <c r="H746" s="364"/>
      <c r="I746" s="515"/>
      <c r="J746" s="515"/>
      <c r="K746" s="507"/>
      <c r="L746" s="515"/>
      <c r="M746" s="65"/>
      <c r="N746" s="365"/>
      <c r="O746" s="365"/>
      <c r="P746" s="86" t="str">
        <f>IF(AND('331-CT'!$E$7=TH!H746,OR(N746="331",O746="331")),"x","")</f>
        <v/>
      </c>
      <c r="Q746" s="86" t="str">
        <f>IF(AND($B746&gt;='111'!$N$11,$B746&lt;='111'!$O$11,OR($N746=$Q$7,$O746=$Q$7)),"x","")</f>
        <v/>
      </c>
      <c r="R746" s="86" t="str">
        <f>IF(AND($N746=$Q$7,$B746&lt;'111'!$N$11),"x","")</f>
        <v/>
      </c>
      <c r="S746" s="86" t="str">
        <f>IF(AND($O746=$Q$7,$B746&lt;'111'!$N$11),"x","")</f>
        <v/>
      </c>
      <c r="T746" s="86" t="str">
        <f>IF(AND($B746&gt;='112'!$M$9,$B746&lt;='112'!$N$9,OR($N746='112'!$I$6,$O746='112'!$I$6)),"x","")</f>
        <v/>
      </c>
      <c r="U746" s="86" t="str">
        <f>IF(AND($N746='112'!$I$6,$B746&lt;'112'!$M$9),"x","")</f>
        <v/>
      </c>
      <c r="V746" s="86" t="str">
        <f>IF(AND($O746='112'!$I$6,$B746&lt;'112'!$M$9),"x","")</f>
        <v/>
      </c>
      <c r="W746" s="86" t="str">
        <f>IF(AND('131-CT'!$H$9=TH!H746,OR(N746="131",O746="131")),"x","")</f>
        <v/>
      </c>
      <c r="X746" s="86" t="str">
        <f>IF(AND($B746&gt;='1331'!$I$9,$B746&lt;='1331'!$J$9,OR($N746=$X$7,$O746=$X$7)),"x","")</f>
        <v/>
      </c>
      <c r="Y746" s="86" t="str">
        <f>IF(AND($N746=$X$7,$B746&lt;'1331'!$I$9),"x","")</f>
        <v/>
      </c>
      <c r="Z746" s="86" t="str">
        <f>IF(AND($O746=$X$7,$B746&lt;'1331'!$I$9),"x","")</f>
        <v/>
      </c>
      <c r="AA746" s="86" t="str">
        <f>IF(AND('341-CT'!$H$9=H746,OR(LEFT(N746,3)=$AA$7,LEFT(O746,3)=$AA$7)),"x","")</f>
        <v/>
      </c>
      <c r="AB746" s="86" t="str">
        <f>IF(OR(TH!N746=TH!$AB$7,O746=TH!$AB$7),"x","")</f>
        <v/>
      </c>
      <c r="AC746" s="86" t="str">
        <f t="shared" si="49"/>
        <v/>
      </c>
      <c r="AD746" s="86" t="str">
        <f>IF(AND(MONTH(E746)&lt;='IN-NX'!$P$3,'IN-NX'!$D$7=D746,OR(LEFT(TH!N746,2)="15",LEFT(TH!O746,2)="15")),"x","")</f>
        <v/>
      </c>
      <c r="AE746" s="86" t="str">
        <f>IF(AND(OR(LEFT(TH!N746,2)="15",LEFT(TH!O746,2)="15"),'152-CT'!$J$8=TH!F746),"x","")</f>
        <v/>
      </c>
      <c r="AF746" s="86" t="str">
        <f>IF(AND(OR(LEFT(TH!N746,2)="15",LEFT(TH!O746,2)="15"),'THE KHO'!$E$7=TH!F746),"x","")</f>
        <v/>
      </c>
      <c r="AG746" s="86" t="str">
        <f>IF(AND(N746="1521",MONTH(C746)='BK NL'!$M$11),"x","")</f>
        <v/>
      </c>
    </row>
    <row r="747" spans="1:33" ht="15.75" customHeight="1">
      <c r="A747" s="398" t="str">
        <f>IF(B747&lt;&gt;"",IF(AND(B747&gt;=_TM1,B747&lt;=_TM2,OR(TH!N747="1111",TH!O747="1111")),TH!D747,""),"")</f>
        <v/>
      </c>
      <c r="B747" s="63" t="str">
        <f t="shared" si="48"/>
        <v/>
      </c>
      <c r="C747" s="362"/>
      <c r="D747" s="362"/>
      <c r="E747" s="362"/>
      <c r="F747" s="363"/>
      <c r="G747" s="390"/>
      <c r="H747" s="364"/>
      <c r="I747" s="515"/>
      <c r="J747" s="515"/>
      <c r="K747" s="507"/>
      <c r="L747" s="515"/>
      <c r="M747" s="65"/>
      <c r="N747" s="365"/>
      <c r="O747" s="365"/>
      <c r="P747" s="86" t="str">
        <f>IF(AND('331-CT'!$E$7=TH!H747,OR(N747="331",O747="331")),"x","")</f>
        <v/>
      </c>
      <c r="Q747" s="86" t="str">
        <f>IF(AND($B747&gt;='111'!$N$11,$B747&lt;='111'!$O$11,OR($N747=$Q$7,$O747=$Q$7)),"x","")</f>
        <v/>
      </c>
      <c r="R747" s="86" t="str">
        <f>IF(AND($N747=$Q$7,$B747&lt;'111'!$N$11),"x","")</f>
        <v/>
      </c>
      <c r="S747" s="86" t="str">
        <f>IF(AND($O747=$Q$7,$B747&lt;'111'!$N$11),"x","")</f>
        <v/>
      </c>
      <c r="T747" s="86" t="str">
        <f>IF(AND($B747&gt;='112'!$M$9,$B747&lt;='112'!$N$9,OR($N747='112'!$I$6,$O747='112'!$I$6)),"x","")</f>
        <v/>
      </c>
      <c r="U747" s="86" t="str">
        <f>IF(AND($N747='112'!$I$6,$B747&lt;'112'!$M$9),"x","")</f>
        <v/>
      </c>
      <c r="V747" s="86" t="str">
        <f>IF(AND($O747='112'!$I$6,$B747&lt;'112'!$M$9),"x","")</f>
        <v/>
      </c>
      <c r="W747" s="86" t="str">
        <f>IF(AND('131-CT'!$H$9=TH!H747,OR(N747="131",O747="131")),"x","")</f>
        <v/>
      </c>
      <c r="X747" s="86" t="str">
        <f>IF(AND($B747&gt;='1331'!$I$9,$B747&lt;='1331'!$J$9,OR($N747=$X$7,$O747=$X$7)),"x","")</f>
        <v/>
      </c>
      <c r="Y747" s="86" t="str">
        <f>IF(AND($N747=$X$7,$B747&lt;'1331'!$I$9),"x","")</f>
        <v/>
      </c>
      <c r="Z747" s="86" t="str">
        <f>IF(AND($O747=$X$7,$B747&lt;'1331'!$I$9),"x","")</f>
        <v/>
      </c>
      <c r="AA747" s="86" t="str">
        <f>IF(AND('341-CT'!$H$9=H747,OR(LEFT(N747,3)=$AA$7,LEFT(O747,3)=$AA$7)),"x","")</f>
        <v/>
      </c>
      <c r="AB747" s="86" t="str">
        <f>IF(OR(TH!N747=TH!$AB$7,O747=TH!$AB$7),"x","")</f>
        <v/>
      </c>
      <c r="AC747" s="86" t="str">
        <f t="shared" si="49"/>
        <v/>
      </c>
      <c r="AD747" s="86" t="str">
        <f>IF(AND(MONTH(E747)&lt;='IN-NX'!$P$3,'IN-NX'!$D$7=D747,OR(LEFT(TH!N747,2)="15",LEFT(TH!O747,2)="15")),"x","")</f>
        <v/>
      </c>
      <c r="AE747" s="86" t="str">
        <f>IF(AND(OR(LEFT(TH!N747,2)="15",LEFT(TH!O747,2)="15"),'152-CT'!$J$8=TH!F747),"x","")</f>
        <v/>
      </c>
      <c r="AF747" s="86" t="str">
        <f>IF(AND(OR(LEFT(TH!N747,2)="15",LEFT(TH!O747,2)="15"),'THE KHO'!$E$7=TH!F747),"x","")</f>
        <v/>
      </c>
      <c r="AG747" s="86" t="str">
        <f>IF(AND(N747="1521",MONTH(C747)='BK NL'!$M$11),"x","")</f>
        <v/>
      </c>
    </row>
    <row r="748" spans="1:33" ht="15.75" customHeight="1">
      <c r="A748" s="398" t="str">
        <f>IF(B748&lt;&gt;"",IF(AND(B748&gt;=_TM1,B748&lt;=_TM2,OR(TH!N748="1111",TH!O748="1111")),TH!D748,""),"")</f>
        <v/>
      </c>
      <c r="B748" s="63" t="str">
        <f t="shared" si="48"/>
        <v/>
      </c>
      <c r="C748" s="362"/>
      <c r="D748" s="362"/>
      <c r="E748" s="362"/>
      <c r="F748" s="363"/>
      <c r="G748" s="390"/>
      <c r="H748" s="364"/>
      <c r="I748" s="515"/>
      <c r="J748" s="515"/>
      <c r="K748" s="507"/>
      <c r="L748" s="515"/>
      <c r="M748" s="65"/>
      <c r="N748" s="365"/>
      <c r="O748" s="365"/>
      <c r="P748" s="86" t="str">
        <f>IF(AND('331-CT'!$E$7=TH!H748,OR(N748="331",O748="331")),"x","")</f>
        <v/>
      </c>
      <c r="Q748" s="86" t="str">
        <f>IF(AND($B748&gt;='111'!$N$11,$B748&lt;='111'!$O$11,OR($N748=$Q$7,$O748=$Q$7)),"x","")</f>
        <v/>
      </c>
      <c r="R748" s="86" t="str">
        <f>IF(AND($N748=$Q$7,$B748&lt;'111'!$N$11),"x","")</f>
        <v/>
      </c>
      <c r="S748" s="86" t="str">
        <f>IF(AND($O748=$Q$7,$B748&lt;'111'!$N$11),"x","")</f>
        <v/>
      </c>
      <c r="T748" s="86" t="str">
        <f>IF(AND($B748&gt;='112'!$M$9,$B748&lt;='112'!$N$9,OR($N748='112'!$I$6,$O748='112'!$I$6)),"x","")</f>
        <v/>
      </c>
      <c r="U748" s="86" t="str">
        <f>IF(AND($N748='112'!$I$6,$B748&lt;'112'!$M$9),"x","")</f>
        <v/>
      </c>
      <c r="V748" s="86" t="str">
        <f>IF(AND($O748='112'!$I$6,$B748&lt;'112'!$M$9),"x","")</f>
        <v/>
      </c>
      <c r="W748" s="86" t="str">
        <f>IF(AND('131-CT'!$H$9=TH!H748,OR(N748="131",O748="131")),"x","")</f>
        <v/>
      </c>
      <c r="X748" s="86" t="str">
        <f>IF(AND($B748&gt;='1331'!$I$9,$B748&lt;='1331'!$J$9,OR($N748=$X$7,$O748=$X$7)),"x","")</f>
        <v/>
      </c>
      <c r="Y748" s="86" t="str">
        <f>IF(AND($N748=$X$7,$B748&lt;'1331'!$I$9),"x","")</f>
        <v/>
      </c>
      <c r="Z748" s="86" t="str">
        <f>IF(AND($O748=$X$7,$B748&lt;'1331'!$I$9),"x","")</f>
        <v/>
      </c>
      <c r="AA748" s="86" t="str">
        <f>IF(AND('341-CT'!$H$9=H748,OR(LEFT(N748,3)=$AA$7,LEFT(O748,3)=$AA$7)),"x","")</f>
        <v/>
      </c>
      <c r="AB748" s="86" t="str">
        <f>IF(OR(TH!N748=TH!$AB$7,O748=TH!$AB$7),"x","")</f>
        <v/>
      </c>
      <c r="AC748" s="86" t="str">
        <f t="shared" si="49"/>
        <v/>
      </c>
      <c r="AD748" s="86" t="str">
        <f>IF(AND(MONTH(E748)&lt;='IN-NX'!$P$3,'IN-NX'!$D$7=D748,OR(LEFT(TH!N748,2)="15",LEFT(TH!O748,2)="15")),"x","")</f>
        <v/>
      </c>
      <c r="AE748" s="86" t="str">
        <f>IF(AND(OR(LEFT(TH!N748,2)="15",LEFT(TH!O748,2)="15"),'152-CT'!$J$8=TH!F748),"x","")</f>
        <v/>
      </c>
      <c r="AF748" s="86" t="str">
        <f>IF(AND(OR(LEFT(TH!N748,2)="15",LEFT(TH!O748,2)="15"),'THE KHO'!$E$7=TH!F748),"x","")</f>
        <v/>
      </c>
      <c r="AG748" s="86" t="str">
        <f>IF(AND(N748="1521",MONTH(C748)='BK NL'!$M$11),"x","")</f>
        <v/>
      </c>
    </row>
    <row r="749" spans="1:33" ht="15.75" customHeight="1">
      <c r="A749" s="398" t="str">
        <f>IF(B749&lt;&gt;"",IF(AND(B749&gt;=_TM1,B749&lt;=_TM2,OR(TH!N749="1111",TH!O749="1111")),TH!D749,""),"")</f>
        <v/>
      </c>
      <c r="B749" s="63" t="str">
        <f t="shared" si="48"/>
        <v/>
      </c>
      <c r="C749" s="362"/>
      <c r="D749" s="362"/>
      <c r="E749" s="362"/>
      <c r="F749" s="363"/>
      <c r="G749" s="390"/>
      <c r="H749" s="364"/>
      <c r="I749" s="515"/>
      <c r="J749" s="515"/>
      <c r="K749" s="507"/>
      <c r="L749" s="515"/>
      <c r="M749" s="65"/>
      <c r="N749" s="365"/>
      <c r="O749" s="365"/>
      <c r="P749" s="86" t="str">
        <f>IF(AND('331-CT'!$E$7=TH!H749,OR(N749="331",O749="331")),"x","")</f>
        <v/>
      </c>
      <c r="Q749" s="86" t="str">
        <f>IF(AND($B749&gt;='111'!$N$11,$B749&lt;='111'!$O$11,OR($N749=$Q$7,$O749=$Q$7)),"x","")</f>
        <v/>
      </c>
      <c r="R749" s="86" t="str">
        <f>IF(AND($N749=$Q$7,$B749&lt;'111'!$N$11),"x","")</f>
        <v/>
      </c>
      <c r="S749" s="86" t="str">
        <f>IF(AND($O749=$Q$7,$B749&lt;'111'!$N$11),"x","")</f>
        <v/>
      </c>
      <c r="T749" s="86" t="str">
        <f>IF(AND($B749&gt;='112'!$M$9,$B749&lt;='112'!$N$9,OR($N749='112'!$I$6,$O749='112'!$I$6)),"x","")</f>
        <v/>
      </c>
      <c r="U749" s="86" t="str">
        <f>IF(AND($N749='112'!$I$6,$B749&lt;'112'!$M$9),"x","")</f>
        <v/>
      </c>
      <c r="V749" s="86" t="str">
        <f>IF(AND($O749='112'!$I$6,$B749&lt;'112'!$M$9),"x","")</f>
        <v/>
      </c>
      <c r="W749" s="86" t="str">
        <f>IF(AND('131-CT'!$H$9=TH!H749,OR(N749="131",O749="131")),"x","")</f>
        <v/>
      </c>
      <c r="X749" s="86" t="str">
        <f>IF(AND($B749&gt;='1331'!$I$9,$B749&lt;='1331'!$J$9,OR($N749=$X$7,$O749=$X$7)),"x","")</f>
        <v/>
      </c>
      <c r="Y749" s="86" t="str">
        <f>IF(AND($N749=$X$7,$B749&lt;'1331'!$I$9),"x","")</f>
        <v/>
      </c>
      <c r="Z749" s="86" t="str">
        <f>IF(AND($O749=$X$7,$B749&lt;'1331'!$I$9),"x","")</f>
        <v/>
      </c>
      <c r="AA749" s="86" t="str">
        <f>IF(AND('341-CT'!$H$9=H749,OR(LEFT(N749,3)=$AA$7,LEFT(O749,3)=$AA$7)),"x","")</f>
        <v/>
      </c>
      <c r="AB749" s="86" t="str">
        <f>IF(OR(TH!N749=TH!$AB$7,O749=TH!$AB$7),"x","")</f>
        <v/>
      </c>
      <c r="AC749" s="86" t="str">
        <f t="shared" si="49"/>
        <v/>
      </c>
      <c r="AD749" s="86" t="str">
        <f>IF(AND(MONTH(E749)&lt;='IN-NX'!$P$3,'IN-NX'!$D$7=D749,OR(LEFT(TH!N749,2)="15",LEFT(TH!O749,2)="15")),"x","")</f>
        <v/>
      </c>
      <c r="AE749" s="86" t="str">
        <f>IF(AND(OR(LEFT(TH!N749,2)="15",LEFT(TH!O749,2)="15"),'152-CT'!$J$8=TH!F749),"x","")</f>
        <v/>
      </c>
      <c r="AF749" s="86" t="str">
        <f>IF(AND(OR(LEFT(TH!N749,2)="15",LEFT(TH!O749,2)="15"),'THE KHO'!$E$7=TH!F749),"x","")</f>
        <v/>
      </c>
      <c r="AG749" s="86" t="str">
        <f>IF(AND(N749="1521",MONTH(C749)='BK NL'!$M$11),"x","")</f>
        <v/>
      </c>
    </row>
    <row r="750" spans="1:33" ht="15.75" customHeight="1">
      <c r="A750" s="398" t="str">
        <f>IF(B750&lt;&gt;"",IF(AND(B750&gt;=_TM1,B750&lt;=_TM2,OR(TH!N750="1111",TH!O750="1111")),TH!D750,""),"")</f>
        <v/>
      </c>
      <c r="B750" s="63" t="str">
        <f t="shared" si="48"/>
        <v/>
      </c>
      <c r="C750" s="64"/>
      <c r="D750" s="64"/>
      <c r="E750" s="64"/>
      <c r="F750" s="67"/>
      <c r="G750" s="375"/>
      <c r="H750" s="405"/>
      <c r="I750" s="516"/>
      <c r="J750" s="516"/>
      <c r="K750" s="508"/>
      <c r="L750" s="516"/>
      <c r="M750" s="65"/>
      <c r="N750" s="365"/>
      <c r="O750" s="66"/>
      <c r="P750" s="86" t="str">
        <f>IF(AND('331-CT'!$E$7=TH!H750,OR(N750="331",O750="331")),"x","")</f>
        <v/>
      </c>
      <c r="Q750" s="86" t="str">
        <f>IF(AND($B750&gt;='111'!$N$11,$B750&lt;='111'!$O$11,OR($N750=$Q$7,$O750=$Q$7)),"x","")</f>
        <v/>
      </c>
      <c r="R750" s="86" t="str">
        <f>IF(AND($N750=$Q$7,$B750&lt;'111'!$N$11),"x","")</f>
        <v/>
      </c>
      <c r="S750" s="86" t="str">
        <f>IF(AND($O750=$Q$7,$B750&lt;'111'!$N$11),"x","")</f>
        <v/>
      </c>
      <c r="T750" s="86" t="str">
        <f>IF(AND($B750&gt;='112'!$M$9,$B750&lt;='112'!$N$9,OR($N750='112'!$I$6,$O750='112'!$I$6)),"x","")</f>
        <v/>
      </c>
      <c r="U750" s="86" t="str">
        <f>IF(AND($N750='112'!$I$6,$B750&lt;'112'!$M$9),"x","")</f>
        <v/>
      </c>
      <c r="V750" s="86" t="str">
        <f>IF(AND($O750='112'!$I$6,$B750&lt;'112'!$M$9),"x","")</f>
        <v/>
      </c>
      <c r="W750" s="86" t="str">
        <f>IF(AND('131-CT'!$H$9=TH!H750,OR(N750="131",O750="131")),"x","")</f>
        <v/>
      </c>
      <c r="X750" s="86" t="str">
        <f>IF(AND($B750&gt;='1331'!$I$9,$B750&lt;='1331'!$J$9,OR($N750=$X$7,$O750=$X$7)),"x","")</f>
        <v/>
      </c>
      <c r="Y750" s="86" t="str">
        <f>IF(AND($N750=$X$7,$B750&lt;'1331'!$I$9),"x","")</f>
        <v/>
      </c>
      <c r="Z750" s="86" t="str">
        <f>IF(AND($O750=$X$7,$B750&lt;'1331'!$I$9),"x","")</f>
        <v/>
      </c>
      <c r="AA750" s="86" t="str">
        <f>IF(AND('341-CT'!$H$9=H750,OR(LEFT(N750,3)=$AA$7,LEFT(O750,3)=$AA$7)),"x","")</f>
        <v/>
      </c>
      <c r="AB750" s="86" t="str">
        <f>IF(OR(TH!N750=TH!$AB$7,O750=TH!$AB$7),"x","")</f>
        <v/>
      </c>
      <c r="AC750" s="86" t="str">
        <f t="shared" si="49"/>
        <v/>
      </c>
      <c r="AD750" s="86" t="str">
        <f>IF(AND(MONTH(E750)&lt;='IN-NX'!$P$3,'IN-NX'!$D$7=D750,OR(LEFT(TH!N750,2)="15",LEFT(TH!O750,2)="15")),"x","")</f>
        <v/>
      </c>
      <c r="AE750" s="86" t="str">
        <f>IF(AND(OR(LEFT(TH!N750,2)="15",LEFT(TH!O750,2)="15"),'152-CT'!$J$8=TH!F750),"x","")</f>
        <v/>
      </c>
      <c r="AF750" s="86" t="str">
        <f>IF(AND(OR(LEFT(TH!N750,2)="15",LEFT(TH!O750,2)="15"),'THE KHO'!$E$7=TH!F750),"x","")</f>
        <v/>
      </c>
      <c r="AG750" s="86" t="str">
        <f>IF(AND(N750="1521",MONTH(C750)='BK NL'!$M$11),"x","")</f>
        <v/>
      </c>
    </row>
    <row r="751" spans="1:33" ht="15.75" customHeight="1">
      <c r="A751" s="398" t="str">
        <f>IF(B751&lt;&gt;"",IF(AND(B751&gt;=_TM1,B751&lt;=_TM2,OR(TH!N751="1111",TH!O751="1111")),TH!D751,""),"")</f>
        <v/>
      </c>
      <c r="B751" s="63" t="str">
        <f t="shared" si="48"/>
        <v/>
      </c>
      <c r="C751" s="64"/>
      <c r="D751" s="64"/>
      <c r="E751" s="64"/>
      <c r="F751" s="67"/>
      <c r="G751" s="375"/>
      <c r="H751" s="405"/>
      <c r="I751" s="516"/>
      <c r="J751" s="516"/>
      <c r="K751" s="508"/>
      <c r="L751" s="516"/>
      <c r="M751" s="65"/>
      <c r="N751" s="365"/>
      <c r="O751" s="66"/>
      <c r="P751" s="86" t="str">
        <f>IF(AND('331-CT'!$E$7=TH!H751,OR(N751="331",O751="331")),"x","")</f>
        <v/>
      </c>
      <c r="Q751" s="86" t="str">
        <f>IF(AND($B751&gt;='111'!$N$11,$B751&lt;='111'!$O$11,OR($N751=$Q$7,$O751=$Q$7)),"x","")</f>
        <v/>
      </c>
      <c r="R751" s="86" t="str">
        <f>IF(AND($N751=$Q$7,$B751&lt;'111'!$N$11),"x","")</f>
        <v/>
      </c>
      <c r="S751" s="86" t="str">
        <f>IF(AND($O751=$Q$7,$B751&lt;'111'!$N$11),"x","")</f>
        <v/>
      </c>
      <c r="T751" s="86" t="str">
        <f>IF(AND($B751&gt;='112'!$M$9,$B751&lt;='112'!$N$9,OR($N751='112'!$I$6,$O751='112'!$I$6)),"x","")</f>
        <v/>
      </c>
      <c r="U751" s="86" t="str">
        <f>IF(AND($N751='112'!$I$6,$B751&lt;'112'!$M$9),"x","")</f>
        <v/>
      </c>
      <c r="V751" s="86" t="str">
        <f>IF(AND($O751='112'!$I$6,$B751&lt;'112'!$M$9),"x","")</f>
        <v/>
      </c>
      <c r="W751" s="86" t="str">
        <f>IF(AND('131-CT'!$H$9=TH!H751,OR(N751="131",O751="131")),"x","")</f>
        <v/>
      </c>
      <c r="X751" s="86" t="str">
        <f>IF(AND($B751&gt;='1331'!$I$9,$B751&lt;='1331'!$J$9,OR($N751=$X$7,$O751=$X$7)),"x","")</f>
        <v/>
      </c>
      <c r="Y751" s="86" t="str">
        <f>IF(AND($N751=$X$7,$B751&lt;'1331'!$I$9),"x","")</f>
        <v/>
      </c>
      <c r="Z751" s="86" t="str">
        <f>IF(AND($O751=$X$7,$B751&lt;'1331'!$I$9),"x","")</f>
        <v/>
      </c>
      <c r="AA751" s="86" t="str">
        <f>IF(AND('341-CT'!$H$9=H751,OR(LEFT(N751,3)=$AA$7,LEFT(O751,3)=$AA$7)),"x","")</f>
        <v/>
      </c>
      <c r="AB751" s="86" t="str">
        <f>IF(OR(TH!N751=TH!$AB$7,O751=TH!$AB$7),"x","")</f>
        <v/>
      </c>
      <c r="AC751" s="86" t="str">
        <f t="shared" si="49"/>
        <v/>
      </c>
      <c r="AD751" s="86" t="str">
        <f>IF(AND(MONTH(E751)&lt;='IN-NX'!$P$3,'IN-NX'!$D$7=D751,OR(LEFT(TH!N751,2)="15",LEFT(TH!O751,2)="15")),"x","")</f>
        <v/>
      </c>
      <c r="AE751" s="86" t="str">
        <f>IF(AND(OR(LEFT(TH!N751,2)="15",LEFT(TH!O751,2)="15"),'152-CT'!$J$8=TH!F751),"x","")</f>
        <v/>
      </c>
      <c r="AF751" s="86" t="str">
        <f>IF(AND(OR(LEFT(TH!N751,2)="15",LEFT(TH!O751,2)="15"),'THE KHO'!$E$7=TH!F751),"x","")</f>
        <v/>
      </c>
      <c r="AG751" s="86" t="str">
        <f>IF(AND(N751="1521",MONTH(C751)='BK NL'!$M$11),"x","")</f>
        <v/>
      </c>
    </row>
    <row r="752" spans="1:33" ht="15.75" customHeight="1">
      <c r="A752" s="398" t="str">
        <f>IF(B752&lt;&gt;"",IF(AND(B752&gt;=_TM1,B752&lt;=_TM2,OR(TH!N752="1111",TH!O752="1111")),TH!D752,""),"")</f>
        <v/>
      </c>
      <c r="B752" s="63" t="str">
        <f t="shared" si="48"/>
        <v/>
      </c>
      <c r="C752" s="362"/>
      <c r="D752" s="362"/>
      <c r="E752" s="362"/>
      <c r="F752" s="363"/>
      <c r="G752" s="390"/>
      <c r="H752" s="364"/>
      <c r="I752" s="515"/>
      <c r="J752" s="515"/>
      <c r="K752" s="507"/>
      <c r="L752" s="515"/>
      <c r="M752" s="65"/>
      <c r="N752" s="365"/>
      <c r="O752" s="365"/>
      <c r="P752" s="86" t="str">
        <f>IF(AND('331-CT'!$E$7=TH!H752,OR(N752="331",O752="331")),"x","")</f>
        <v/>
      </c>
      <c r="Q752" s="86" t="str">
        <f>IF(AND($B752&gt;='111'!$N$11,$B752&lt;='111'!$O$11,OR($N752=$Q$7,$O752=$Q$7)),"x","")</f>
        <v/>
      </c>
      <c r="R752" s="86" t="str">
        <f>IF(AND($N752=$Q$7,$B752&lt;'111'!$N$11),"x","")</f>
        <v/>
      </c>
      <c r="S752" s="86" t="str">
        <f>IF(AND($O752=$Q$7,$B752&lt;'111'!$N$11),"x","")</f>
        <v/>
      </c>
      <c r="T752" s="86" t="str">
        <f>IF(AND($B752&gt;='112'!$M$9,$B752&lt;='112'!$N$9,OR($N752='112'!$I$6,$O752='112'!$I$6)),"x","")</f>
        <v/>
      </c>
      <c r="U752" s="86" t="str">
        <f>IF(AND($N752='112'!$I$6,$B752&lt;'112'!$M$9),"x","")</f>
        <v/>
      </c>
      <c r="V752" s="86" t="str">
        <f>IF(AND($O752='112'!$I$6,$B752&lt;'112'!$M$9),"x","")</f>
        <v/>
      </c>
      <c r="W752" s="86" t="str">
        <f>IF(AND('131-CT'!$H$9=TH!H752,OR(N752="131",O752="131")),"x","")</f>
        <v/>
      </c>
      <c r="X752" s="86" t="str">
        <f>IF(AND($B752&gt;='1331'!$I$9,$B752&lt;='1331'!$J$9,OR($N752=$X$7,$O752=$X$7)),"x","")</f>
        <v/>
      </c>
      <c r="Y752" s="86" t="str">
        <f>IF(AND($N752=$X$7,$B752&lt;'1331'!$I$9),"x","")</f>
        <v/>
      </c>
      <c r="Z752" s="86" t="str">
        <f>IF(AND($O752=$X$7,$B752&lt;'1331'!$I$9),"x","")</f>
        <v/>
      </c>
      <c r="AA752" s="86" t="str">
        <f>IF(AND('341-CT'!$H$9=H752,OR(LEFT(N752,3)=$AA$7,LEFT(O752,3)=$AA$7)),"x","")</f>
        <v/>
      </c>
      <c r="AB752" s="86" t="str">
        <f>IF(OR(TH!N752=TH!$AB$7,O752=TH!$AB$7),"x","")</f>
        <v/>
      </c>
      <c r="AC752" s="86" t="str">
        <f t="shared" si="49"/>
        <v/>
      </c>
      <c r="AD752" s="86" t="str">
        <f>IF(AND(MONTH(E752)&lt;='IN-NX'!$P$3,'IN-NX'!$D$7=D752,OR(LEFT(TH!N752,2)="15",LEFT(TH!O752,2)="15")),"x","")</f>
        <v/>
      </c>
      <c r="AE752" s="86" t="str">
        <f>IF(AND(OR(LEFT(TH!N752,2)="15",LEFT(TH!O752,2)="15"),'152-CT'!$J$8=TH!F752),"x","")</f>
        <v/>
      </c>
      <c r="AF752" s="86" t="str">
        <f>IF(AND(OR(LEFT(TH!N752,2)="15",LEFT(TH!O752,2)="15"),'THE KHO'!$E$7=TH!F752),"x","")</f>
        <v/>
      </c>
      <c r="AG752" s="86" t="str">
        <f>IF(AND(N752="1521",MONTH(C752)='BK NL'!$M$11),"x","")</f>
        <v/>
      </c>
    </row>
    <row r="753" spans="1:33" ht="15.75" customHeight="1">
      <c r="A753" s="398" t="str">
        <f>IF(B753&lt;&gt;"",IF(AND(B753&gt;=_TM1,B753&lt;=_TM2,OR(TH!N753="1111",TH!O753="1111")),TH!D753,""),"")</f>
        <v/>
      </c>
      <c r="B753" s="63" t="str">
        <f t="shared" si="48"/>
        <v/>
      </c>
      <c r="C753" s="362"/>
      <c r="D753" s="362"/>
      <c r="E753" s="362"/>
      <c r="F753" s="363"/>
      <c r="G753" s="390"/>
      <c r="H753" s="364"/>
      <c r="I753" s="515"/>
      <c r="J753" s="515"/>
      <c r="K753" s="507"/>
      <c r="L753" s="515"/>
      <c r="M753" s="65"/>
      <c r="N753" s="365"/>
      <c r="O753" s="365"/>
      <c r="P753" s="86" t="str">
        <f>IF(AND('331-CT'!$E$7=TH!H753,OR(N753="331",O753="331")),"x","")</f>
        <v/>
      </c>
      <c r="Q753" s="86" t="str">
        <f>IF(AND($B753&gt;='111'!$N$11,$B753&lt;='111'!$O$11,OR($N753=$Q$7,$O753=$Q$7)),"x","")</f>
        <v/>
      </c>
      <c r="R753" s="86" t="str">
        <f>IF(AND($N753=$Q$7,$B753&lt;'111'!$N$11),"x","")</f>
        <v/>
      </c>
      <c r="S753" s="86" t="str">
        <f>IF(AND($O753=$Q$7,$B753&lt;'111'!$N$11),"x","")</f>
        <v/>
      </c>
      <c r="T753" s="86" t="str">
        <f>IF(AND($B753&gt;='112'!$M$9,$B753&lt;='112'!$N$9,OR($N753='112'!$I$6,$O753='112'!$I$6)),"x","")</f>
        <v/>
      </c>
      <c r="U753" s="86" t="str">
        <f>IF(AND($N753='112'!$I$6,$B753&lt;'112'!$M$9),"x","")</f>
        <v/>
      </c>
      <c r="V753" s="86" t="str">
        <f>IF(AND($O753='112'!$I$6,$B753&lt;'112'!$M$9),"x","")</f>
        <v/>
      </c>
      <c r="W753" s="86" t="str">
        <f>IF(AND('131-CT'!$H$9=TH!H753,OR(N753="131",O753="131")),"x","")</f>
        <v/>
      </c>
      <c r="X753" s="86" t="str">
        <f>IF(AND($B753&gt;='1331'!$I$9,$B753&lt;='1331'!$J$9,OR($N753=$X$7,$O753=$X$7)),"x","")</f>
        <v/>
      </c>
      <c r="Y753" s="86" t="str">
        <f>IF(AND($N753=$X$7,$B753&lt;'1331'!$I$9),"x","")</f>
        <v/>
      </c>
      <c r="Z753" s="86" t="str">
        <f>IF(AND($O753=$X$7,$B753&lt;'1331'!$I$9),"x","")</f>
        <v/>
      </c>
      <c r="AA753" s="86" t="str">
        <f>IF(AND('341-CT'!$H$9=H753,OR(LEFT(N753,3)=$AA$7,LEFT(O753,3)=$AA$7)),"x","")</f>
        <v/>
      </c>
      <c r="AB753" s="86" t="str">
        <f>IF(OR(TH!N753=TH!$AB$7,O753=TH!$AB$7),"x","")</f>
        <v/>
      </c>
      <c r="AC753" s="86" t="str">
        <f t="shared" si="49"/>
        <v/>
      </c>
      <c r="AD753" s="86" t="str">
        <f>IF(AND(MONTH(E753)&lt;='IN-NX'!$P$3,'IN-NX'!$D$7=D753,OR(LEFT(TH!N753,2)="15",LEFT(TH!O753,2)="15")),"x","")</f>
        <v/>
      </c>
      <c r="AE753" s="86" t="str">
        <f>IF(AND(OR(LEFT(TH!N753,2)="15",LEFT(TH!O753,2)="15"),'152-CT'!$J$8=TH!F753),"x","")</f>
        <v/>
      </c>
      <c r="AF753" s="86" t="str">
        <f>IF(AND(OR(LEFT(TH!N753,2)="15",LEFT(TH!O753,2)="15"),'THE KHO'!$E$7=TH!F753),"x","")</f>
        <v/>
      </c>
      <c r="AG753" s="86" t="str">
        <f>IF(AND(N753="1521",MONTH(C753)='BK NL'!$M$11),"x","")</f>
        <v/>
      </c>
    </row>
    <row r="754" spans="1:33" ht="15.75" customHeight="1">
      <c r="A754" s="398" t="str">
        <f>IF(B754&lt;&gt;"",IF(AND(B754&gt;=_TM1,B754&lt;=_TM2,OR(TH!N754="1111",TH!O754="1111")),TH!D754,""),"")</f>
        <v/>
      </c>
      <c r="B754" s="63" t="str">
        <f t="shared" si="48"/>
        <v/>
      </c>
      <c r="C754" s="362"/>
      <c r="D754" s="362"/>
      <c r="E754" s="362"/>
      <c r="F754" s="363"/>
      <c r="G754" s="390"/>
      <c r="H754" s="364"/>
      <c r="I754" s="515"/>
      <c r="J754" s="515"/>
      <c r="K754" s="507"/>
      <c r="L754" s="515"/>
      <c r="M754" s="65"/>
      <c r="N754" s="365"/>
      <c r="O754" s="365"/>
      <c r="P754" s="86" t="str">
        <f>IF(AND('331-CT'!$E$7=TH!H754,OR(N754="331",O754="331")),"x","")</f>
        <v/>
      </c>
      <c r="Q754" s="86" t="str">
        <f>IF(AND($B754&gt;='111'!$N$11,$B754&lt;='111'!$O$11,OR($N754=$Q$7,$O754=$Q$7)),"x","")</f>
        <v/>
      </c>
      <c r="R754" s="86" t="str">
        <f>IF(AND($N754=$Q$7,$B754&lt;'111'!$N$11),"x","")</f>
        <v/>
      </c>
      <c r="S754" s="86" t="str">
        <f>IF(AND($O754=$Q$7,$B754&lt;'111'!$N$11),"x","")</f>
        <v/>
      </c>
      <c r="T754" s="86" t="str">
        <f>IF(AND($B754&gt;='112'!$M$9,$B754&lt;='112'!$N$9,OR($N754='112'!$I$6,$O754='112'!$I$6)),"x","")</f>
        <v/>
      </c>
      <c r="U754" s="86" t="str">
        <f>IF(AND($N754='112'!$I$6,$B754&lt;'112'!$M$9),"x","")</f>
        <v/>
      </c>
      <c r="V754" s="86" t="str">
        <f>IF(AND($O754='112'!$I$6,$B754&lt;'112'!$M$9),"x","")</f>
        <v/>
      </c>
      <c r="W754" s="86" t="str">
        <f>IF(AND('131-CT'!$H$9=TH!H754,OR(N754="131",O754="131")),"x","")</f>
        <v/>
      </c>
      <c r="X754" s="86" t="str">
        <f>IF(AND($B754&gt;='1331'!$I$9,$B754&lt;='1331'!$J$9,OR($N754=$X$7,$O754=$X$7)),"x","")</f>
        <v/>
      </c>
      <c r="Y754" s="86" t="str">
        <f>IF(AND($N754=$X$7,$B754&lt;'1331'!$I$9),"x","")</f>
        <v/>
      </c>
      <c r="Z754" s="86" t="str">
        <f>IF(AND($O754=$X$7,$B754&lt;'1331'!$I$9),"x","")</f>
        <v/>
      </c>
      <c r="AA754" s="86" t="str">
        <f>IF(AND('341-CT'!$H$9=H754,OR(LEFT(N754,3)=$AA$7,LEFT(O754,3)=$AA$7)),"x","")</f>
        <v/>
      </c>
      <c r="AB754" s="86" t="str">
        <f>IF(OR(TH!N754=TH!$AB$7,O754=TH!$AB$7),"x","")</f>
        <v/>
      </c>
      <c r="AC754" s="86" t="str">
        <f t="shared" si="49"/>
        <v/>
      </c>
      <c r="AD754" s="86" t="str">
        <f>IF(AND(MONTH(E754)&lt;='IN-NX'!$P$3,'IN-NX'!$D$7=D754,OR(LEFT(TH!N754,2)="15",LEFT(TH!O754,2)="15")),"x","")</f>
        <v/>
      </c>
      <c r="AE754" s="86" t="str">
        <f>IF(AND(OR(LEFT(TH!N754,2)="15",LEFT(TH!O754,2)="15"),'152-CT'!$J$8=TH!F754),"x","")</f>
        <v/>
      </c>
      <c r="AF754" s="86" t="str">
        <f>IF(AND(OR(LEFT(TH!N754,2)="15",LEFT(TH!O754,2)="15"),'THE KHO'!$E$7=TH!F754),"x","")</f>
        <v/>
      </c>
      <c r="AG754" s="86" t="str">
        <f>IF(AND(N754="1521",MONTH(C754)='BK NL'!$M$11),"x","")</f>
        <v/>
      </c>
    </row>
    <row r="755" spans="1:33" ht="15.75" customHeight="1">
      <c r="A755" s="398" t="str">
        <f>IF(B755&lt;&gt;"",IF(AND(B755&gt;=_TM1,B755&lt;=_TM2,OR(TH!N755="1111",TH!O755="1111")),TH!D755,""),"")</f>
        <v/>
      </c>
      <c r="B755" s="63" t="str">
        <f t="shared" si="48"/>
        <v/>
      </c>
      <c r="C755" s="362"/>
      <c r="D755" s="362"/>
      <c r="E755" s="362"/>
      <c r="F755" s="363"/>
      <c r="G755" s="390"/>
      <c r="H755" s="364"/>
      <c r="I755" s="515"/>
      <c r="J755" s="515"/>
      <c r="K755" s="507"/>
      <c r="L755" s="515"/>
      <c r="M755" s="65"/>
      <c r="N755" s="365"/>
      <c r="O755" s="365"/>
      <c r="P755" s="86" t="str">
        <f>IF(AND('331-CT'!$E$7=TH!H755,OR(N755="331",O755="331")),"x","")</f>
        <v/>
      </c>
      <c r="Q755" s="86" t="str">
        <f>IF(AND($B755&gt;='111'!$N$11,$B755&lt;='111'!$O$11,OR($N755=$Q$7,$O755=$Q$7)),"x","")</f>
        <v/>
      </c>
      <c r="R755" s="86" t="str">
        <f>IF(AND($N755=$Q$7,$B755&lt;'111'!$N$11),"x","")</f>
        <v/>
      </c>
      <c r="S755" s="86" t="str">
        <f>IF(AND($O755=$Q$7,$B755&lt;'111'!$N$11),"x","")</f>
        <v/>
      </c>
      <c r="T755" s="86" t="str">
        <f>IF(AND($B755&gt;='112'!$M$9,$B755&lt;='112'!$N$9,OR($N755='112'!$I$6,$O755='112'!$I$6)),"x","")</f>
        <v/>
      </c>
      <c r="U755" s="86" t="str">
        <f>IF(AND($N755='112'!$I$6,$B755&lt;'112'!$M$9),"x","")</f>
        <v/>
      </c>
      <c r="V755" s="86" t="str">
        <f>IF(AND($O755='112'!$I$6,$B755&lt;'112'!$M$9),"x","")</f>
        <v/>
      </c>
      <c r="W755" s="86" t="str">
        <f>IF(AND('131-CT'!$H$9=TH!H755,OR(N755="131",O755="131")),"x","")</f>
        <v/>
      </c>
      <c r="X755" s="86" t="str">
        <f>IF(AND($B755&gt;='1331'!$I$9,$B755&lt;='1331'!$J$9,OR($N755=$X$7,$O755=$X$7)),"x","")</f>
        <v/>
      </c>
      <c r="Y755" s="86" t="str">
        <f>IF(AND($N755=$X$7,$B755&lt;'1331'!$I$9),"x","")</f>
        <v/>
      </c>
      <c r="Z755" s="86" t="str">
        <f>IF(AND($O755=$X$7,$B755&lt;'1331'!$I$9),"x","")</f>
        <v/>
      </c>
      <c r="AA755" s="86" t="str">
        <f>IF(AND('341-CT'!$H$9=H755,OR(LEFT(N755,3)=$AA$7,LEFT(O755,3)=$AA$7)),"x","")</f>
        <v/>
      </c>
      <c r="AB755" s="86" t="str">
        <f>IF(OR(TH!N755=TH!$AB$7,O755=TH!$AB$7),"x","")</f>
        <v/>
      </c>
      <c r="AC755" s="86" t="str">
        <f t="shared" si="49"/>
        <v/>
      </c>
      <c r="AD755" s="86" t="str">
        <f>IF(AND(MONTH(E755)&lt;='IN-NX'!$P$3,'IN-NX'!$D$7=D755,OR(LEFT(TH!N755,2)="15",LEFT(TH!O755,2)="15")),"x","")</f>
        <v/>
      </c>
      <c r="AE755" s="86" t="str">
        <f>IF(AND(OR(LEFT(TH!N755,2)="15",LEFT(TH!O755,2)="15"),'152-CT'!$J$8=TH!F755),"x","")</f>
        <v/>
      </c>
      <c r="AF755" s="86" t="str">
        <f>IF(AND(OR(LEFT(TH!N755,2)="15",LEFT(TH!O755,2)="15"),'THE KHO'!$E$7=TH!F755),"x","")</f>
        <v/>
      </c>
      <c r="AG755" s="86" t="str">
        <f>IF(AND(N755="1521",MONTH(C755)='BK NL'!$M$11),"x","")</f>
        <v/>
      </c>
    </row>
    <row r="756" spans="1:33" ht="15.75" customHeight="1">
      <c r="A756" s="398" t="str">
        <f>IF(B756&lt;&gt;"",IF(AND(B756&gt;=_TM1,B756&lt;=_TM2,OR(TH!N756="1111",TH!O756="1111")),TH!D756,""),"")</f>
        <v/>
      </c>
      <c r="B756" s="63" t="str">
        <f t="shared" si="48"/>
        <v/>
      </c>
      <c r="C756" s="362"/>
      <c r="D756" s="362"/>
      <c r="E756" s="362"/>
      <c r="F756" s="363"/>
      <c r="G756" s="390"/>
      <c r="H756" s="364"/>
      <c r="I756" s="515"/>
      <c r="J756" s="515"/>
      <c r="K756" s="507"/>
      <c r="L756" s="515"/>
      <c r="M756" s="65"/>
      <c r="N756" s="365"/>
      <c r="O756" s="365"/>
      <c r="P756" s="86" t="str">
        <f>IF(AND('331-CT'!$E$7=TH!H756,OR(N756="331",O756="331")),"x","")</f>
        <v/>
      </c>
      <c r="Q756" s="86" t="str">
        <f>IF(AND($B756&gt;='111'!$N$11,$B756&lt;='111'!$O$11,OR($N756=$Q$7,$O756=$Q$7)),"x","")</f>
        <v/>
      </c>
      <c r="R756" s="86" t="str">
        <f>IF(AND($N756=$Q$7,$B756&lt;'111'!$N$11),"x","")</f>
        <v/>
      </c>
      <c r="S756" s="86" t="str">
        <f>IF(AND($O756=$Q$7,$B756&lt;'111'!$N$11),"x","")</f>
        <v/>
      </c>
      <c r="T756" s="86" t="str">
        <f>IF(AND($B756&gt;='112'!$M$9,$B756&lt;='112'!$N$9,OR($N756='112'!$I$6,$O756='112'!$I$6)),"x","")</f>
        <v/>
      </c>
      <c r="U756" s="86" t="str">
        <f>IF(AND($N756='112'!$I$6,$B756&lt;'112'!$M$9),"x","")</f>
        <v/>
      </c>
      <c r="V756" s="86" t="str">
        <f>IF(AND($O756='112'!$I$6,$B756&lt;'112'!$M$9),"x","")</f>
        <v/>
      </c>
      <c r="W756" s="86" t="str">
        <f>IF(AND('131-CT'!$H$9=TH!H756,OR(N756="131",O756="131")),"x","")</f>
        <v/>
      </c>
      <c r="X756" s="86" t="str">
        <f>IF(AND($B756&gt;='1331'!$I$9,$B756&lt;='1331'!$J$9,OR($N756=$X$7,$O756=$X$7)),"x","")</f>
        <v/>
      </c>
      <c r="Y756" s="86" t="str">
        <f>IF(AND($N756=$X$7,$B756&lt;'1331'!$I$9),"x","")</f>
        <v/>
      </c>
      <c r="Z756" s="86" t="str">
        <f>IF(AND($O756=$X$7,$B756&lt;'1331'!$I$9),"x","")</f>
        <v/>
      </c>
      <c r="AA756" s="86" t="str">
        <f>IF(AND('341-CT'!$H$9=H756,OR(LEFT(N756,3)=$AA$7,LEFT(O756,3)=$AA$7)),"x","")</f>
        <v/>
      </c>
      <c r="AB756" s="86" t="str">
        <f>IF(OR(TH!N756=TH!$AB$7,O756=TH!$AB$7),"x","")</f>
        <v/>
      </c>
      <c r="AC756" s="86" t="str">
        <f t="shared" si="49"/>
        <v/>
      </c>
      <c r="AD756" s="86" t="str">
        <f>IF(AND(MONTH(E756)&lt;='IN-NX'!$P$3,'IN-NX'!$D$7=D756,OR(LEFT(TH!N756,2)="15",LEFT(TH!O756,2)="15")),"x","")</f>
        <v/>
      </c>
      <c r="AE756" s="86" t="str">
        <f>IF(AND(OR(LEFT(TH!N756,2)="15",LEFT(TH!O756,2)="15"),'152-CT'!$J$8=TH!F756),"x","")</f>
        <v/>
      </c>
      <c r="AF756" s="86" t="str">
        <f>IF(AND(OR(LEFT(TH!N756,2)="15",LEFT(TH!O756,2)="15"),'THE KHO'!$E$7=TH!F756),"x","")</f>
        <v/>
      </c>
      <c r="AG756" s="86" t="str">
        <f>IF(AND(N756="1521",MONTH(C756)='BK NL'!$M$11),"x","")</f>
        <v/>
      </c>
    </row>
    <row r="757" spans="1:33" ht="15.75" customHeight="1">
      <c r="A757" s="398" t="str">
        <f>IF(B757&lt;&gt;"",IF(AND(B757&gt;=_TM1,B757&lt;=_TM2,OR(TH!N757="1111",TH!O757="1111")),TH!D757,""),"")</f>
        <v/>
      </c>
      <c r="B757" s="63" t="str">
        <f t="shared" si="48"/>
        <v/>
      </c>
      <c r="C757" s="362"/>
      <c r="D757" s="362"/>
      <c r="E757" s="362"/>
      <c r="F757" s="363"/>
      <c r="G757" s="390"/>
      <c r="H757" s="364"/>
      <c r="I757" s="515"/>
      <c r="J757" s="515"/>
      <c r="K757" s="507"/>
      <c r="L757" s="515"/>
      <c r="M757" s="65"/>
      <c r="N757" s="365"/>
      <c r="O757" s="365"/>
      <c r="P757" s="86" t="str">
        <f>IF(AND('331-CT'!$E$7=TH!H757,OR(N757="331",O757="331")),"x","")</f>
        <v/>
      </c>
      <c r="Q757" s="86" t="str">
        <f>IF(AND($B757&gt;='111'!$N$11,$B757&lt;='111'!$O$11,OR($N757=$Q$7,$O757=$Q$7)),"x","")</f>
        <v/>
      </c>
      <c r="R757" s="86" t="str">
        <f>IF(AND($N757=$Q$7,$B757&lt;'111'!$N$11),"x","")</f>
        <v/>
      </c>
      <c r="S757" s="86" t="str">
        <f>IF(AND($O757=$Q$7,$B757&lt;'111'!$N$11),"x","")</f>
        <v/>
      </c>
      <c r="T757" s="86" t="str">
        <f>IF(AND($B757&gt;='112'!$M$9,$B757&lt;='112'!$N$9,OR($N757='112'!$I$6,$O757='112'!$I$6)),"x","")</f>
        <v/>
      </c>
      <c r="U757" s="86" t="str">
        <f>IF(AND($N757='112'!$I$6,$B757&lt;'112'!$M$9),"x","")</f>
        <v/>
      </c>
      <c r="V757" s="86" t="str">
        <f>IF(AND($O757='112'!$I$6,$B757&lt;'112'!$M$9),"x","")</f>
        <v/>
      </c>
      <c r="W757" s="86" t="str">
        <f>IF(AND('131-CT'!$H$9=TH!H757,OR(N757="131",O757="131")),"x","")</f>
        <v/>
      </c>
      <c r="X757" s="86" t="str">
        <f>IF(AND($B757&gt;='1331'!$I$9,$B757&lt;='1331'!$J$9,OR($N757=$X$7,$O757=$X$7)),"x","")</f>
        <v/>
      </c>
      <c r="Y757" s="86" t="str">
        <f>IF(AND($N757=$X$7,$B757&lt;'1331'!$I$9),"x","")</f>
        <v/>
      </c>
      <c r="Z757" s="86" t="str">
        <f>IF(AND($O757=$X$7,$B757&lt;'1331'!$I$9),"x","")</f>
        <v/>
      </c>
      <c r="AA757" s="86" t="str">
        <f>IF(AND('341-CT'!$H$9=H757,OR(LEFT(N757,3)=$AA$7,LEFT(O757,3)=$AA$7)),"x","")</f>
        <v/>
      </c>
      <c r="AB757" s="86" t="str">
        <f>IF(OR(TH!N757=TH!$AB$7,O757=TH!$AB$7),"x","")</f>
        <v/>
      </c>
      <c r="AC757" s="86" t="str">
        <f t="shared" si="49"/>
        <v/>
      </c>
      <c r="AD757" s="86" t="str">
        <f>IF(AND(MONTH(E757)&lt;='IN-NX'!$P$3,'IN-NX'!$D$7=D757,OR(LEFT(TH!N757,2)="15",LEFT(TH!O757,2)="15")),"x","")</f>
        <v/>
      </c>
      <c r="AE757" s="86" t="str">
        <f>IF(AND(OR(LEFT(TH!N757,2)="15",LEFT(TH!O757,2)="15"),'152-CT'!$J$8=TH!F757),"x","")</f>
        <v/>
      </c>
      <c r="AF757" s="86" t="str">
        <f>IF(AND(OR(LEFT(TH!N757,2)="15",LEFT(TH!O757,2)="15"),'THE KHO'!$E$7=TH!F757),"x","")</f>
        <v/>
      </c>
      <c r="AG757" s="86" t="str">
        <f>IF(AND(N757="1521",MONTH(C757)='BK NL'!$M$11),"x","")</f>
        <v/>
      </c>
    </row>
    <row r="758" spans="1:33" ht="15.75" customHeight="1">
      <c r="A758" s="398" t="str">
        <f>IF(B758&lt;&gt;"",IF(AND(B758&gt;=_TM1,B758&lt;=_TM2,OR(TH!N758="1111",TH!O758="1111")),TH!D758,""),"")</f>
        <v/>
      </c>
      <c r="B758" s="63" t="str">
        <f t="shared" si="48"/>
        <v/>
      </c>
      <c r="C758" s="362"/>
      <c r="D758" s="362"/>
      <c r="E758" s="362"/>
      <c r="F758" s="363"/>
      <c r="G758" s="390"/>
      <c r="H758" s="364"/>
      <c r="I758" s="515"/>
      <c r="J758" s="515"/>
      <c r="K758" s="507"/>
      <c r="L758" s="515"/>
      <c r="M758" s="65"/>
      <c r="N758" s="365"/>
      <c r="O758" s="365"/>
      <c r="P758" s="86" t="str">
        <f>IF(AND('331-CT'!$E$7=TH!H758,OR(N758="331",O758="331")),"x","")</f>
        <v/>
      </c>
      <c r="Q758" s="86" t="str">
        <f>IF(AND($B758&gt;='111'!$N$11,$B758&lt;='111'!$O$11,OR($N758=$Q$7,$O758=$Q$7)),"x","")</f>
        <v/>
      </c>
      <c r="R758" s="86" t="str">
        <f>IF(AND($N758=$Q$7,$B758&lt;'111'!$N$11),"x","")</f>
        <v/>
      </c>
      <c r="S758" s="86" t="str">
        <f>IF(AND($O758=$Q$7,$B758&lt;'111'!$N$11),"x","")</f>
        <v/>
      </c>
      <c r="T758" s="86" t="str">
        <f>IF(AND($B758&gt;='112'!$M$9,$B758&lt;='112'!$N$9,OR($N758='112'!$I$6,$O758='112'!$I$6)),"x","")</f>
        <v/>
      </c>
      <c r="U758" s="86" t="str">
        <f>IF(AND($N758='112'!$I$6,$B758&lt;'112'!$M$9),"x","")</f>
        <v/>
      </c>
      <c r="V758" s="86" t="str">
        <f>IF(AND($O758='112'!$I$6,$B758&lt;'112'!$M$9),"x","")</f>
        <v/>
      </c>
      <c r="W758" s="86" t="str">
        <f>IF(AND('131-CT'!$H$9=TH!H758,OR(N758="131",O758="131")),"x","")</f>
        <v/>
      </c>
      <c r="X758" s="86" t="str">
        <f>IF(AND($B758&gt;='1331'!$I$9,$B758&lt;='1331'!$J$9,OR($N758=$X$7,$O758=$X$7)),"x","")</f>
        <v/>
      </c>
      <c r="Y758" s="86" t="str">
        <f>IF(AND($N758=$X$7,$B758&lt;'1331'!$I$9),"x","")</f>
        <v/>
      </c>
      <c r="Z758" s="86" t="str">
        <f>IF(AND($O758=$X$7,$B758&lt;'1331'!$I$9),"x","")</f>
        <v/>
      </c>
      <c r="AA758" s="86" t="str">
        <f>IF(AND('341-CT'!$H$9=H758,OR(LEFT(N758,3)=$AA$7,LEFT(O758,3)=$AA$7)),"x","")</f>
        <v/>
      </c>
      <c r="AB758" s="86" t="str">
        <f>IF(OR(TH!N758=TH!$AB$7,O758=TH!$AB$7),"x","")</f>
        <v/>
      </c>
      <c r="AC758" s="86" t="str">
        <f t="shared" si="49"/>
        <v/>
      </c>
      <c r="AD758" s="86" t="str">
        <f>IF(AND(MONTH(E758)&lt;='IN-NX'!$P$3,'IN-NX'!$D$7=D758,OR(LEFT(TH!N758,2)="15",LEFT(TH!O758,2)="15")),"x","")</f>
        <v/>
      </c>
      <c r="AE758" s="86" t="str">
        <f>IF(AND(OR(LEFT(TH!N758,2)="15",LEFT(TH!O758,2)="15"),'152-CT'!$J$8=TH!F758),"x","")</f>
        <v/>
      </c>
      <c r="AF758" s="86" t="str">
        <f>IF(AND(OR(LEFT(TH!N758,2)="15",LEFT(TH!O758,2)="15"),'THE KHO'!$E$7=TH!F758),"x","")</f>
        <v/>
      </c>
      <c r="AG758" s="86" t="str">
        <f>IF(AND(N758="1521",MONTH(C758)='BK NL'!$M$11),"x","")</f>
        <v/>
      </c>
    </row>
    <row r="759" spans="1:33" ht="15.75" customHeight="1">
      <c r="A759" s="398" t="str">
        <f>IF(B759&lt;&gt;"",IF(AND(B759&gt;=_TM1,B759&lt;=_TM2,OR(TH!N759="1111",TH!O759="1111")),TH!D759,""),"")</f>
        <v/>
      </c>
      <c r="B759" s="63" t="str">
        <f t="shared" si="48"/>
        <v/>
      </c>
      <c r="C759" s="362"/>
      <c r="D759" s="362"/>
      <c r="E759" s="362"/>
      <c r="F759" s="363"/>
      <c r="G759" s="390"/>
      <c r="H759" s="364"/>
      <c r="I759" s="515"/>
      <c r="J759" s="515"/>
      <c r="K759" s="507"/>
      <c r="L759" s="515"/>
      <c r="M759" s="65"/>
      <c r="N759" s="365"/>
      <c r="O759" s="365"/>
      <c r="P759" s="86" t="str">
        <f>IF(AND('331-CT'!$E$7=TH!H759,OR(N759="331",O759="331")),"x","")</f>
        <v/>
      </c>
      <c r="Q759" s="86" t="str">
        <f>IF(AND($B759&gt;='111'!$N$11,$B759&lt;='111'!$O$11,OR($N759=$Q$7,$O759=$Q$7)),"x","")</f>
        <v/>
      </c>
      <c r="R759" s="86" t="str">
        <f>IF(AND($N759=$Q$7,$B759&lt;'111'!$N$11),"x","")</f>
        <v/>
      </c>
      <c r="S759" s="86" t="str">
        <f>IF(AND($O759=$Q$7,$B759&lt;'111'!$N$11),"x","")</f>
        <v/>
      </c>
      <c r="T759" s="86" t="str">
        <f>IF(AND($B759&gt;='112'!$M$9,$B759&lt;='112'!$N$9,OR($N759='112'!$I$6,$O759='112'!$I$6)),"x","")</f>
        <v/>
      </c>
      <c r="U759" s="86" t="str">
        <f>IF(AND($N759='112'!$I$6,$B759&lt;'112'!$M$9),"x","")</f>
        <v/>
      </c>
      <c r="V759" s="86" t="str">
        <f>IF(AND($O759='112'!$I$6,$B759&lt;'112'!$M$9),"x","")</f>
        <v/>
      </c>
      <c r="W759" s="86" t="str">
        <f>IF(AND('131-CT'!$H$9=TH!H759,OR(N759="131",O759="131")),"x","")</f>
        <v/>
      </c>
      <c r="X759" s="86" t="str">
        <f>IF(AND($B759&gt;='1331'!$I$9,$B759&lt;='1331'!$J$9,OR($N759=$X$7,$O759=$X$7)),"x","")</f>
        <v/>
      </c>
      <c r="Y759" s="86" t="str">
        <f>IF(AND($N759=$X$7,$B759&lt;'1331'!$I$9),"x","")</f>
        <v/>
      </c>
      <c r="Z759" s="86" t="str">
        <f>IF(AND($O759=$X$7,$B759&lt;'1331'!$I$9),"x","")</f>
        <v/>
      </c>
      <c r="AA759" s="86" t="str">
        <f>IF(AND('341-CT'!$H$9=H759,OR(LEFT(N759,3)=$AA$7,LEFT(O759,3)=$AA$7)),"x","")</f>
        <v/>
      </c>
      <c r="AB759" s="86" t="str">
        <f>IF(OR(TH!N759=TH!$AB$7,O759=TH!$AB$7),"x","")</f>
        <v/>
      </c>
      <c r="AC759" s="86" t="str">
        <f t="shared" si="49"/>
        <v/>
      </c>
      <c r="AD759" s="86" t="str">
        <f>IF(AND(MONTH(E759)&lt;='IN-NX'!$P$3,'IN-NX'!$D$7=D759,OR(LEFT(TH!N759,2)="15",LEFT(TH!O759,2)="15")),"x","")</f>
        <v/>
      </c>
      <c r="AE759" s="86" t="str">
        <f>IF(AND(OR(LEFT(TH!N759,2)="15",LEFT(TH!O759,2)="15"),'152-CT'!$J$8=TH!F759),"x","")</f>
        <v/>
      </c>
      <c r="AF759" s="86" t="str">
        <f>IF(AND(OR(LEFT(TH!N759,2)="15",LEFT(TH!O759,2)="15"),'THE KHO'!$E$7=TH!F759),"x","")</f>
        <v/>
      </c>
      <c r="AG759" s="86" t="str">
        <f>IF(AND(N759="1521",MONTH(C759)='BK NL'!$M$11),"x","")</f>
        <v/>
      </c>
    </row>
    <row r="760" spans="1:33" ht="15.75" customHeight="1">
      <c r="A760" s="398" t="str">
        <f>IF(B760&lt;&gt;"",IF(AND(B760&gt;=_TM1,B760&lt;=_TM2,OR(TH!N760="1111",TH!O760="1111")),TH!D760,""),"")</f>
        <v/>
      </c>
      <c r="B760" s="63" t="str">
        <f t="shared" si="48"/>
        <v/>
      </c>
      <c r="C760" s="362"/>
      <c r="D760" s="362"/>
      <c r="E760" s="362"/>
      <c r="F760" s="363"/>
      <c r="G760" s="390"/>
      <c r="H760" s="364"/>
      <c r="I760" s="515"/>
      <c r="J760" s="515"/>
      <c r="K760" s="507"/>
      <c r="L760" s="515"/>
      <c r="M760" s="65"/>
      <c r="N760" s="365"/>
      <c r="O760" s="365"/>
      <c r="P760" s="86" t="str">
        <f>IF(AND('331-CT'!$E$7=TH!H760,OR(N760="331",O760="331")),"x","")</f>
        <v/>
      </c>
      <c r="Q760" s="86" t="str">
        <f>IF(AND($B760&gt;='111'!$N$11,$B760&lt;='111'!$O$11,OR($N760=$Q$7,$O760=$Q$7)),"x","")</f>
        <v/>
      </c>
      <c r="R760" s="86" t="str">
        <f>IF(AND($N760=$Q$7,$B760&lt;'111'!$N$11),"x","")</f>
        <v/>
      </c>
      <c r="S760" s="86" t="str">
        <f>IF(AND($O760=$Q$7,$B760&lt;'111'!$N$11),"x","")</f>
        <v/>
      </c>
      <c r="T760" s="86" t="str">
        <f>IF(AND($B760&gt;='112'!$M$9,$B760&lt;='112'!$N$9,OR($N760='112'!$I$6,$O760='112'!$I$6)),"x","")</f>
        <v/>
      </c>
      <c r="U760" s="86" t="str">
        <f>IF(AND($N760='112'!$I$6,$B760&lt;'112'!$M$9),"x","")</f>
        <v/>
      </c>
      <c r="V760" s="86" t="str">
        <f>IF(AND($O760='112'!$I$6,$B760&lt;'112'!$M$9),"x","")</f>
        <v/>
      </c>
      <c r="W760" s="86" t="str">
        <f>IF(AND('131-CT'!$H$9=TH!H760,OR(N760="131",O760="131")),"x","")</f>
        <v/>
      </c>
      <c r="X760" s="86" t="str">
        <f>IF(AND($B760&gt;='1331'!$I$9,$B760&lt;='1331'!$J$9,OR($N760=$X$7,$O760=$X$7)),"x","")</f>
        <v/>
      </c>
      <c r="Y760" s="86" t="str">
        <f>IF(AND($N760=$X$7,$B760&lt;'1331'!$I$9),"x","")</f>
        <v/>
      </c>
      <c r="Z760" s="86" t="str">
        <f>IF(AND($O760=$X$7,$B760&lt;'1331'!$I$9),"x","")</f>
        <v/>
      </c>
      <c r="AA760" s="86" t="str">
        <f>IF(AND('341-CT'!$H$9=H760,OR(LEFT(N760,3)=$AA$7,LEFT(O760,3)=$AA$7)),"x","")</f>
        <v/>
      </c>
      <c r="AB760" s="86" t="str">
        <f>IF(OR(TH!N760=TH!$AB$7,O760=TH!$AB$7),"x","")</f>
        <v/>
      </c>
      <c r="AC760" s="86" t="str">
        <f t="shared" si="49"/>
        <v/>
      </c>
      <c r="AD760" s="86" t="str">
        <f>IF(AND(MONTH(E760)&lt;='IN-NX'!$P$3,'IN-NX'!$D$7=D760,OR(LEFT(TH!N760,2)="15",LEFT(TH!O760,2)="15")),"x","")</f>
        <v/>
      </c>
      <c r="AE760" s="86" t="str">
        <f>IF(AND(OR(LEFT(TH!N760,2)="15",LEFT(TH!O760,2)="15"),'152-CT'!$J$8=TH!F760),"x","")</f>
        <v/>
      </c>
      <c r="AF760" s="86" t="str">
        <f>IF(AND(OR(LEFT(TH!N760,2)="15",LEFT(TH!O760,2)="15"),'THE KHO'!$E$7=TH!F760),"x","")</f>
        <v/>
      </c>
      <c r="AG760" s="86" t="str">
        <f>IF(AND(N760="1521",MONTH(C760)='BK NL'!$M$11),"x","")</f>
        <v/>
      </c>
    </row>
    <row r="761" spans="1:33" ht="15.75" customHeight="1">
      <c r="A761" s="398" t="str">
        <f>IF(B761&lt;&gt;"",IF(AND(B761&gt;=_TM1,B761&lt;=_TM2,OR(TH!N761="1111",TH!O761="1111")),TH!D761,""),"")</f>
        <v/>
      </c>
      <c r="B761" s="63" t="str">
        <f t="shared" si="48"/>
        <v/>
      </c>
      <c r="C761" s="64"/>
      <c r="D761" s="64"/>
      <c r="E761" s="64"/>
      <c r="F761" s="67"/>
      <c r="G761" s="375"/>
      <c r="H761" s="366"/>
      <c r="I761" s="513"/>
      <c r="J761" s="513"/>
      <c r="K761" s="505"/>
      <c r="L761" s="513"/>
      <c r="M761" s="65"/>
      <c r="N761" s="365"/>
      <c r="O761" s="66"/>
      <c r="P761" s="86" t="str">
        <f>IF(AND('331-CT'!$E$7=TH!H761,OR(N761="331",O761="331")),"x","")</f>
        <v/>
      </c>
      <c r="Q761" s="86" t="str">
        <f>IF(AND($B761&gt;='111'!$N$11,$B761&lt;='111'!$O$11,OR($N761=$Q$7,$O761=$Q$7)),"x","")</f>
        <v/>
      </c>
      <c r="R761" s="86" t="str">
        <f>IF(AND($N761=$Q$7,$B761&lt;'111'!$N$11),"x","")</f>
        <v/>
      </c>
      <c r="S761" s="86" t="str">
        <f>IF(AND($O761=$Q$7,$B761&lt;'111'!$N$11),"x","")</f>
        <v/>
      </c>
      <c r="T761" s="86" t="str">
        <f>IF(AND($B761&gt;='112'!$M$9,$B761&lt;='112'!$N$9,OR($N761='112'!$I$6,$O761='112'!$I$6)),"x","")</f>
        <v/>
      </c>
      <c r="U761" s="86" t="str">
        <f>IF(AND($N761='112'!$I$6,$B761&lt;'112'!$M$9),"x","")</f>
        <v/>
      </c>
      <c r="V761" s="86" t="str">
        <f>IF(AND($O761='112'!$I$6,$B761&lt;'112'!$M$9),"x","")</f>
        <v/>
      </c>
      <c r="W761" s="86" t="str">
        <f>IF(AND('131-CT'!$H$9=TH!H761,OR(N761="131",O761="131")),"x","")</f>
        <v/>
      </c>
      <c r="X761" s="86" t="str">
        <f>IF(AND($B761&gt;='1331'!$I$9,$B761&lt;='1331'!$J$9,OR($N761=$X$7,$O761=$X$7)),"x","")</f>
        <v/>
      </c>
      <c r="Y761" s="86" t="str">
        <f>IF(AND($N761=$X$7,$B761&lt;'1331'!$I$9),"x","")</f>
        <v/>
      </c>
      <c r="Z761" s="86" t="str">
        <f>IF(AND($O761=$X$7,$B761&lt;'1331'!$I$9),"x","")</f>
        <v/>
      </c>
      <c r="AA761" s="86" t="str">
        <f>IF(AND('341-CT'!$H$9=H761,OR(LEFT(N761,3)=$AA$7,LEFT(O761,3)=$AA$7)),"x","")</f>
        <v/>
      </c>
      <c r="AB761" s="86" t="str">
        <f>IF(OR(TH!N761=TH!$AB$7,O761=TH!$AB$7),"x","")</f>
        <v/>
      </c>
      <c r="AC761" s="86" t="str">
        <f t="shared" si="49"/>
        <v/>
      </c>
      <c r="AD761" s="86" t="str">
        <f>IF(AND(MONTH(E761)&lt;='IN-NX'!$P$3,'IN-NX'!$D$7=D761,OR(LEFT(TH!N761,2)="15",LEFT(TH!O761,2)="15")),"x","")</f>
        <v/>
      </c>
      <c r="AE761" s="86" t="str">
        <f>IF(AND(OR(LEFT(TH!N761,2)="15",LEFT(TH!O761,2)="15"),'152-CT'!$J$8=TH!F761),"x","")</f>
        <v/>
      </c>
      <c r="AF761" s="86" t="str">
        <f>IF(AND(OR(LEFT(TH!N761,2)="15",LEFT(TH!O761,2)="15"),'THE KHO'!$E$7=TH!F761),"x","")</f>
        <v/>
      </c>
      <c r="AG761" s="86" t="str">
        <f>IF(AND(N761="1521",MONTH(C761)='BK NL'!$M$11),"x","")</f>
        <v/>
      </c>
    </row>
    <row r="762" spans="1:33" ht="15.75" customHeight="1">
      <c r="A762" s="398" t="str">
        <f>IF(B762&lt;&gt;"",IF(AND(B762&gt;=_TM1,B762&lt;=_TM2,OR(TH!N762="1111",TH!O762="1111")),TH!D762,""),"")</f>
        <v/>
      </c>
      <c r="B762" s="63" t="str">
        <f t="shared" si="48"/>
        <v/>
      </c>
      <c r="C762" s="64"/>
      <c r="D762" s="64"/>
      <c r="E762" s="64"/>
      <c r="F762" s="67"/>
      <c r="G762" s="375"/>
      <c r="H762" s="366"/>
      <c r="I762" s="513"/>
      <c r="J762" s="513"/>
      <c r="K762" s="505"/>
      <c r="L762" s="513"/>
      <c r="M762" s="65"/>
      <c r="N762" s="365"/>
      <c r="O762" s="66"/>
      <c r="P762" s="86" t="str">
        <f>IF(AND('331-CT'!$E$7=TH!H762,OR(N762="331",O762="331")),"x","")</f>
        <v/>
      </c>
      <c r="Q762" s="86" t="str">
        <f>IF(AND($B762&gt;='111'!$N$11,$B762&lt;='111'!$O$11,OR($N762=$Q$7,$O762=$Q$7)),"x","")</f>
        <v/>
      </c>
      <c r="R762" s="86" t="str">
        <f>IF(AND($N762=$Q$7,$B762&lt;'111'!$N$11),"x","")</f>
        <v/>
      </c>
      <c r="S762" s="86" t="str">
        <f>IF(AND($O762=$Q$7,$B762&lt;'111'!$N$11),"x","")</f>
        <v/>
      </c>
      <c r="T762" s="86" t="str">
        <f>IF(AND($B762&gt;='112'!$M$9,$B762&lt;='112'!$N$9,OR($N762='112'!$I$6,$O762='112'!$I$6)),"x","")</f>
        <v/>
      </c>
      <c r="U762" s="86" t="str">
        <f>IF(AND($N762='112'!$I$6,$B762&lt;'112'!$M$9),"x","")</f>
        <v/>
      </c>
      <c r="V762" s="86" t="str">
        <f>IF(AND($O762='112'!$I$6,$B762&lt;'112'!$M$9),"x","")</f>
        <v/>
      </c>
      <c r="W762" s="86" t="str">
        <f>IF(AND('131-CT'!$H$9=TH!H762,OR(N762="131",O762="131")),"x","")</f>
        <v/>
      </c>
      <c r="X762" s="86" t="str">
        <f>IF(AND($B762&gt;='1331'!$I$9,$B762&lt;='1331'!$J$9,OR($N762=$X$7,$O762=$X$7)),"x","")</f>
        <v/>
      </c>
      <c r="Y762" s="86" t="str">
        <f>IF(AND($N762=$X$7,$B762&lt;'1331'!$I$9),"x","")</f>
        <v/>
      </c>
      <c r="Z762" s="86" t="str">
        <f>IF(AND($O762=$X$7,$B762&lt;'1331'!$I$9),"x","")</f>
        <v/>
      </c>
      <c r="AA762" s="86" t="str">
        <f>IF(AND('341-CT'!$H$9=H762,OR(LEFT(N762,3)=$AA$7,LEFT(O762,3)=$AA$7)),"x","")</f>
        <v/>
      </c>
      <c r="AB762" s="86" t="str">
        <f>IF(OR(TH!N762=TH!$AB$7,O762=TH!$AB$7),"x","")</f>
        <v/>
      </c>
      <c r="AC762" s="86" t="str">
        <f t="shared" si="49"/>
        <v/>
      </c>
      <c r="AD762" s="86" t="str">
        <f>IF(AND(MONTH(E762)&lt;='IN-NX'!$P$3,'IN-NX'!$D$7=D762,OR(LEFT(TH!N762,2)="15",LEFT(TH!O762,2)="15")),"x","")</f>
        <v/>
      </c>
      <c r="AE762" s="86" t="str">
        <f>IF(AND(OR(LEFT(TH!N762,2)="15",LEFT(TH!O762,2)="15"),'152-CT'!$J$8=TH!F762),"x","")</f>
        <v/>
      </c>
      <c r="AF762" s="86" t="str">
        <f>IF(AND(OR(LEFT(TH!N762,2)="15",LEFT(TH!O762,2)="15"),'THE KHO'!$E$7=TH!F762),"x","")</f>
        <v/>
      </c>
      <c r="AG762" s="86" t="str">
        <f>IF(AND(N762="1521",MONTH(C762)='BK NL'!$M$11),"x","")</f>
        <v/>
      </c>
    </row>
    <row r="763" spans="1:33" ht="15.75" customHeight="1">
      <c r="A763" s="398" t="str">
        <f>IF(B763&lt;&gt;"",IF(AND(B763&gt;=_TM1,B763&lt;=_TM2,OR(TH!N763="1111",TH!O763="1111")),TH!D763,""),"")</f>
        <v/>
      </c>
      <c r="B763" s="63" t="str">
        <f t="shared" si="48"/>
        <v/>
      </c>
      <c r="C763" s="64"/>
      <c r="D763" s="64"/>
      <c r="E763" s="64"/>
      <c r="F763" s="67"/>
      <c r="G763" s="375"/>
      <c r="H763" s="364"/>
      <c r="I763" s="515"/>
      <c r="J763" s="515"/>
      <c r="K763" s="507"/>
      <c r="L763" s="515"/>
      <c r="M763" s="65"/>
      <c r="N763" s="66"/>
      <c r="O763" s="66"/>
      <c r="P763" s="86" t="str">
        <f>IF(AND('331-CT'!$E$7=TH!H763,OR(N763="331",O763="331")),"x","")</f>
        <v/>
      </c>
      <c r="Q763" s="86" t="str">
        <f>IF(AND($B763&gt;='111'!$N$11,$B763&lt;='111'!$O$11,OR($N763=$Q$7,$O763=$Q$7)),"x","")</f>
        <v/>
      </c>
      <c r="R763" s="86" t="str">
        <f>IF(AND($N763=$Q$7,$B763&lt;'111'!$N$11),"x","")</f>
        <v/>
      </c>
      <c r="S763" s="86" t="str">
        <f>IF(AND($O763=$Q$7,$B763&lt;'111'!$N$11),"x","")</f>
        <v/>
      </c>
      <c r="T763" s="86" t="str">
        <f>IF(AND($B763&gt;='112'!$M$9,$B763&lt;='112'!$N$9,OR($N763='112'!$I$6,$O763='112'!$I$6)),"x","")</f>
        <v/>
      </c>
      <c r="U763" s="86" t="str">
        <f>IF(AND($N763='112'!$I$6,$B763&lt;'112'!$M$9),"x","")</f>
        <v/>
      </c>
      <c r="V763" s="86" t="str">
        <f>IF(AND($O763='112'!$I$6,$B763&lt;'112'!$M$9),"x","")</f>
        <v/>
      </c>
      <c r="W763" s="86" t="str">
        <f>IF(AND('131-CT'!$H$9=TH!H763,OR(N763="131",O763="131")),"x","")</f>
        <v/>
      </c>
      <c r="X763" s="86" t="str">
        <f>IF(AND($B763&gt;='1331'!$I$9,$B763&lt;='1331'!$J$9,OR($N763=$X$7,$O763=$X$7)),"x","")</f>
        <v/>
      </c>
      <c r="Y763" s="86" t="str">
        <f>IF(AND($N763=$X$7,$B763&lt;'1331'!$I$9),"x","")</f>
        <v/>
      </c>
      <c r="Z763" s="86" t="str">
        <f>IF(AND($O763=$X$7,$B763&lt;'1331'!$I$9),"x","")</f>
        <v/>
      </c>
      <c r="AA763" s="86" t="str">
        <f>IF(AND('341-CT'!$H$9=H763,OR(LEFT(N763,3)=$AA$7,LEFT(O763,3)=$AA$7)),"x","")</f>
        <v/>
      </c>
      <c r="AB763" s="86" t="str">
        <f>IF(OR(TH!N763=TH!$AB$7,O763=TH!$AB$7),"x","")</f>
        <v/>
      </c>
      <c r="AC763" s="86" t="str">
        <f t="shared" si="49"/>
        <v/>
      </c>
      <c r="AD763" s="86" t="str">
        <f>IF(AND(MONTH(E763)&lt;='IN-NX'!$P$3,'IN-NX'!$D$7=D763,OR(LEFT(TH!N763,2)="15",LEFT(TH!O763,2)="15")),"x","")</f>
        <v/>
      </c>
      <c r="AE763" s="86" t="str">
        <f>IF(AND(OR(LEFT(TH!N763,2)="15",LEFT(TH!O763,2)="15"),'152-CT'!$J$8=TH!F763),"x","")</f>
        <v/>
      </c>
      <c r="AF763" s="86" t="str">
        <f>IF(AND(OR(LEFT(TH!N763,2)="15",LEFT(TH!O763,2)="15"),'THE KHO'!$E$7=TH!F763),"x","")</f>
        <v/>
      </c>
      <c r="AG763" s="86" t="str">
        <f>IF(AND(N763="1521",MONTH(C763)='BK NL'!$M$11),"x","")</f>
        <v/>
      </c>
    </row>
    <row r="764" spans="1:33" ht="15.75" customHeight="1">
      <c r="A764" s="398" t="str">
        <f>IF(B764&lt;&gt;"",IF(AND(B764&gt;=_TM1,B764&lt;=_TM2,OR(TH!N764="1111",TH!O764="1111")),TH!D764,""),"")</f>
        <v/>
      </c>
      <c r="B764" s="63" t="str">
        <f t="shared" si="48"/>
        <v/>
      </c>
      <c r="C764" s="64"/>
      <c r="D764" s="64"/>
      <c r="E764" s="64"/>
      <c r="F764" s="67"/>
      <c r="G764" s="375"/>
      <c r="H764" s="364"/>
      <c r="I764" s="515"/>
      <c r="J764" s="515"/>
      <c r="K764" s="507"/>
      <c r="L764" s="515"/>
      <c r="M764" s="65"/>
      <c r="N764" s="66"/>
      <c r="O764" s="66"/>
      <c r="P764" s="86" t="str">
        <f>IF(AND('331-CT'!$E$7=TH!H764,OR(N764="331",O764="331")),"x","")</f>
        <v/>
      </c>
      <c r="Q764" s="86" t="str">
        <f>IF(AND($B764&gt;='111'!$N$11,$B764&lt;='111'!$O$11,OR($N764=$Q$7,$O764=$Q$7)),"x","")</f>
        <v/>
      </c>
      <c r="R764" s="86" t="str">
        <f>IF(AND($N764=$Q$7,$B764&lt;'111'!$N$11),"x","")</f>
        <v/>
      </c>
      <c r="S764" s="86" t="str">
        <f>IF(AND($O764=$Q$7,$B764&lt;'111'!$N$11),"x","")</f>
        <v/>
      </c>
      <c r="T764" s="86" t="str">
        <f>IF(AND($B764&gt;='112'!$M$9,$B764&lt;='112'!$N$9,OR($N764='112'!$I$6,$O764='112'!$I$6)),"x","")</f>
        <v/>
      </c>
      <c r="U764" s="86" t="str">
        <f>IF(AND($N764='112'!$I$6,$B764&lt;'112'!$M$9),"x","")</f>
        <v/>
      </c>
      <c r="V764" s="86" t="str">
        <f>IF(AND($O764='112'!$I$6,$B764&lt;'112'!$M$9),"x","")</f>
        <v/>
      </c>
      <c r="W764" s="86" t="str">
        <f>IF(AND('131-CT'!$H$9=TH!H764,OR(N764="131",O764="131")),"x","")</f>
        <v/>
      </c>
      <c r="X764" s="86" t="str">
        <f>IF(AND($B764&gt;='1331'!$I$9,$B764&lt;='1331'!$J$9,OR($N764=$X$7,$O764=$X$7)),"x","")</f>
        <v/>
      </c>
      <c r="Y764" s="86" t="str">
        <f>IF(AND($N764=$X$7,$B764&lt;'1331'!$I$9),"x","")</f>
        <v/>
      </c>
      <c r="Z764" s="86" t="str">
        <f>IF(AND($O764=$X$7,$B764&lt;'1331'!$I$9),"x","")</f>
        <v/>
      </c>
      <c r="AA764" s="86" t="str">
        <f>IF(AND('341-CT'!$H$9=H764,OR(LEFT(N764,3)=$AA$7,LEFT(O764,3)=$AA$7)),"x","")</f>
        <v/>
      </c>
      <c r="AB764" s="86" t="str">
        <f>IF(OR(TH!N764=TH!$AB$7,O764=TH!$AB$7),"x","")</f>
        <v/>
      </c>
      <c r="AC764" s="86" t="str">
        <f t="shared" si="49"/>
        <v/>
      </c>
      <c r="AD764" s="86" t="str">
        <f>IF(AND(MONTH(E764)&lt;='IN-NX'!$P$3,'IN-NX'!$D$7=D764,OR(LEFT(TH!N764,2)="15",LEFT(TH!O764,2)="15")),"x","")</f>
        <v/>
      </c>
      <c r="AE764" s="86" t="str">
        <f>IF(AND(OR(LEFT(TH!N764,2)="15",LEFT(TH!O764,2)="15"),'152-CT'!$J$8=TH!F764),"x","")</f>
        <v/>
      </c>
      <c r="AF764" s="86" t="str">
        <f>IF(AND(OR(LEFT(TH!N764,2)="15",LEFT(TH!O764,2)="15"),'THE KHO'!$E$7=TH!F764),"x","")</f>
        <v/>
      </c>
      <c r="AG764" s="86" t="str">
        <f>IF(AND(N764="1521",MONTH(C764)='BK NL'!$M$11),"x","")</f>
        <v/>
      </c>
    </row>
    <row r="765" spans="1:33" ht="15.75" customHeight="1">
      <c r="A765" s="398" t="str">
        <f>IF(B765&lt;&gt;"",IF(AND(B765&gt;=_TM1,B765&lt;=_TM2,OR(TH!N765="1111",TH!O765="1111")),TH!D765,""),"")</f>
        <v/>
      </c>
      <c r="B765" s="63" t="str">
        <f t="shared" si="48"/>
        <v/>
      </c>
      <c r="C765" s="64"/>
      <c r="D765" s="64"/>
      <c r="E765" s="64"/>
      <c r="F765" s="67"/>
      <c r="G765" s="375"/>
      <c r="H765" s="74"/>
      <c r="I765" s="515"/>
      <c r="J765" s="515"/>
      <c r="K765" s="507"/>
      <c r="L765" s="515"/>
      <c r="M765" s="65"/>
      <c r="N765" s="66"/>
      <c r="O765" s="66"/>
      <c r="P765" s="86" t="str">
        <f>IF(AND('331-CT'!$E$7=TH!H765,OR(N765="331",O765="331")),"x","")</f>
        <v/>
      </c>
      <c r="Q765" s="86" t="str">
        <f>IF(AND($B765&gt;='111'!$N$11,$B765&lt;='111'!$O$11,OR($N765=$Q$7,$O765=$Q$7)),"x","")</f>
        <v/>
      </c>
      <c r="R765" s="86" t="str">
        <f>IF(AND($N765=$Q$7,$B765&lt;'111'!$N$11),"x","")</f>
        <v/>
      </c>
      <c r="S765" s="86" t="str">
        <f>IF(AND($O765=$Q$7,$B765&lt;'111'!$N$11),"x","")</f>
        <v/>
      </c>
      <c r="T765" s="86" t="str">
        <f>IF(AND($B765&gt;='112'!$M$9,$B765&lt;='112'!$N$9,OR($N765='112'!$I$6,$O765='112'!$I$6)),"x","")</f>
        <v/>
      </c>
      <c r="U765" s="86" t="str">
        <f>IF(AND($N765='112'!$I$6,$B765&lt;'112'!$M$9),"x","")</f>
        <v/>
      </c>
      <c r="V765" s="86" t="str">
        <f>IF(AND($O765='112'!$I$6,$B765&lt;'112'!$M$9),"x","")</f>
        <v/>
      </c>
      <c r="W765" s="86" t="str">
        <f>IF(AND('131-CT'!$H$9=TH!H765,OR(N765="131",O765="131")),"x","")</f>
        <v/>
      </c>
      <c r="X765" s="86" t="str">
        <f>IF(AND($B765&gt;='1331'!$I$9,$B765&lt;='1331'!$J$9,OR($N765=$X$7,$O765=$X$7)),"x","")</f>
        <v/>
      </c>
      <c r="Y765" s="86" t="str">
        <f>IF(AND($N765=$X$7,$B765&lt;'1331'!$I$9),"x","")</f>
        <v/>
      </c>
      <c r="Z765" s="86" t="str">
        <f>IF(AND($O765=$X$7,$B765&lt;'1331'!$I$9),"x","")</f>
        <v/>
      </c>
      <c r="AA765" s="86" t="str">
        <f>IF(AND('341-CT'!$H$9=H765,OR(LEFT(N765,3)=$AA$7,LEFT(O765,3)=$AA$7)),"x","")</f>
        <v/>
      </c>
      <c r="AB765" s="86" t="str">
        <f>IF(OR(TH!N765=TH!$AB$7,O765=TH!$AB$7),"x","")</f>
        <v/>
      </c>
      <c r="AC765" s="86" t="str">
        <f t="shared" si="49"/>
        <v/>
      </c>
      <c r="AD765" s="86" t="str">
        <f>IF(AND(MONTH(E765)&lt;='IN-NX'!$P$3,'IN-NX'!$D$7=D765,OR(LEFT(TH!N765,2)="15",LEFT(TH!O765,2)="15")),"x","")</f>
        <v/>
      </c>
      <c r="AE765" s="86" t="str">
        <f>IF(AND(OR(LEFT(TH!N765,2)="15",LEFT(TH!O765,2)="15"),'152-CT'!$J$8=TH!F765),"x","")</f>
        <v/>
      </c>
      <c r="AF765" s="86" t="str">
        <f>IF(AND(OR(LEFT(TH!N765,2)="15",LEFT(TH!O765,2)="15"),'THE KHO'!$E$7=TH!F765),"x","")</f>
        <v/>
      </c>
      <c r="AG765" s="86" t="str">
        <f>IF(AND(N765="1521",MONTH(C765)='BK NL'!$M$11),"x","")</f>
        <v/>
      </c>
    </row>
    <row r="766" spans="1:33" ht="15.75" customHeight="1">
      <c r="A766" s="398" t="str">
        <f>IF(B766&lt;&gt;"",IF(AND(B766&gt;=_TM1,B766&lt;=_TM2,OR(TH!N766="1111",TH!O766="1111")),TH!D766,""),"")</f>
        <v/>
      </c>
      <c r="B766" s="63" t="str">
        <f t="shared" si="48"/>
        <v/>
      </c>
      <c r="C766" s="64"/>
      <c r="D766" s="64"/>
      <c r="E766" s="64"/>
      <c r="F766" s="67"/>
      <c r="G766" s="375"/>
      <c r="H766" s="74"/>
      <c r="I766" s="515"/>
      <c r="J766" s="515"/>
      <c r="K766" s="507"/>
      <c r="L766" s="515"/>
      <c r="M766" s="65"/>
      <c r="N766" s="66"/>
      <c r="O766" s="66"/>
      <c r="P766" s="86" t="str">
        <f>IF(AND('331-CT'!$E$7=TH!H766,OR(N766="331",O766="331")),"x","")</f>
        <v/>
      </c>
      <c r="Q766" s="86" t="str">
        <f>IF(AND($B766&gt;='111'!$N$11,$B766&lt;='111'!$O$11,OR($N766=$Q$7,$O766=$Q$7)),"x","")</f>
        <v/>
      </c>
      <c r="R766" s="86" t="str">
        <f>IF(AND($N766=$Q$7,$B766&lt;'111'!$N$11),"x","")</f>
        <v/>
      </c>
      <c r="S766" s="86" t="str">
        <f>IF(AND($O766=$Q$7,$B766&lt;'111'!$N$11),"x","")</f>
        <v/>
      </c>
      <c r="T766" s="86" t="str">
        <f>IF(AND($B766&gt;='112'!$M$9,$B766&lt;='112'!$N$9,OR($N766='112'!$I$6,$O766='112'!$I$6)),"x","")</f>
        <v/>
      </c>
      <c r="U766" s="86" t="str">
        <f>IF(AND($N766='112'!$I$6,$B766&lt;'112'!$M$9),"x","")</f>
        <v/>
      </c>
      <c r="V766" s="86" t="str">
        <f>IF(AND($O766='112'!$I$6,$B766&lt;'112'!$M$9),"x","")</f>
        <v/>
      </c>
      <c r="W766" s="86" t="str">
        <f>IF(AND('131-CT'!$H$9=TH!H766,OR(N766="131",O766="131")),"x","")</f>
        <v/>
      </c>
      <c r="X766" s="86" t="str">
        <f>IF(AND($B766&gt;='1331'!$I$9,$B766&lt;='1331'!$J$9,OR($N766=$X$7,$O766=$X$7)),"x","")</f>
        <v/>
      </c>
      <c r="Y766" s="86" t="str">
        <f>IF(AND($N766=$X$7,$B766&lt;'1331'!$I$9),"x","")</f>
        <v/>
      </c>
      <c r="Z766" s="86" t="str">
        <f>IF(AND($O766=$X$7,$B766&lt;'1331'!$I$9),"x","")</f>
        <v/>
      </c>
      <c r="AA766" s="86" t="str">
        <f>IF(AND('341-CT'!$H$9=H766,OR(LEFT(N766,3)=$AA$7,LEFT(O766,3)=$AA$7)),"x","")</f>
        <v/>
      </c>
      <c r="AB766" s="86" t="str">
        <f>IF(OR(TH!N766=TH!$AB$7,O766=TH!$AB$7),"x","")</f>
        <v/>
      </c>
      <c r="AC766" s="86" t="str">
        <f t="shared" si="49"/>
        <v/>
      </c>
      <c r="AD766" s="86" t="str">
        <f>IF(AND(MONTH(E766)&lt;='IN-NX'!$P$3,'IN-NX'!$D$7=D766,OR(LEFT(TH!N766,2)="15",LEFT(TH!O766,2)="15")),"x","")</f>
        <v/>
      </c>
      <c r="AE766" s="86" t="str">
        <f>IF(AND(OR(LEFT(TH!N766,2)="15",LEFT(TH!O766,2)="15"),'152-CT'!$J$8=TH!F766),"x","")</f>
        <v/>
      </c>
      <c r="AF766" s="86" t="str">
        <f>IF(AND(OR(LEFT(TH!N766,2)="15",LEFT(TH!O766,2)="15"),'THE KHO'!$E$7=TH!F766),"x","")</f>
        <v/>
      </c>
      <c r="AG766" s="86" t="str">
        <f>IF(AND(N766="1521",MONTH(C766)='BK NL'!$M$11),"x","")</f>
        <v/>
      </c>
    </row>
    <row r="767" spans="1:33" ht="15.75" customHeight="1">
      <c r="A767" s="398" t="str">
        <f>IF(B767&lt;&gt;"",IF(AND(B767&gt;=_TM1,B767&lt;=_TM2,OR(TH!N767="1111",TH!O767="1111")),TH!D767,""),"")</f>
        <v/>
      </c>
      <c r="B767" s="63" t="str">
        <f t="shared" si="48"/>
        <v/>
      </c>
      <c r="C767" s="64"/>
      <c r="D767" s="64"/>
      <c r="E767" s="64"/>
      <c r="F767" s="67"/>
      <c r="G767" s="375"/>
      <c r="H767" s="74"/>
      <c r="I767" s="515"/>
      <c r="J767" s="515"/>
      <c r="K767" s="507"/>
      <c r="L767" s="515"/>
      <c r="M767" s="65"/>
      <c r="N767" s="66"/>
      <c r="O767" s="66"/>
      <c r="P767" s="86" t="str">
        <f>IF(AND('331-CT'!$E$7=TH!H767,OR(N767="331",O767="331")),"x","")</f>
        <v/>
      </c>
      <c r="Q767" s="86" t="str">
        <f>IF(AND($B767&gt;='111'!$N$11,$B767&lt;='111'!$O$11,OR($N767=$Q$7,$O767=$Q$7)),"x","")</f>
        <v/>
      </c>
      <c r="R767" s="86" t="str">
        <f>IF(AND($N767=$Q$7,$B767&lt;'111'!$N$11),"x","")</f>
        <v/>
      </c>
      <c r="S767" s="86" t="str">
        <f>IF(AND($O767=$Q$7,$B767&lt;'111'!$N$11),"x","")</f>
        <v/>
      </c>
      <c r="T767" s="86" t="str">
        <f>IF(AND($B767&gt;='112'!$M$9,$B767&lt;='112'!$N$9,OR($N767='112'!$I$6,$O767='112'!$I$6)),"x","")</f>
        <v/>
      </c>
      <c r="U767" s="86" t="str">
        <f>IF(AND($N767='112'!$I$6,$B767&lt;'112'!$M$9),"x","")</f>
        <v/>
      </c>
      <c r="V767" s="86" t="str">
        <f>IF(AND($O767='112'!$I$6,$B767&lt;'112'!$M$9),"x","")</f>
        <v/>
      </c>
      <c r="W767" s="86" t="str">
        <f>IF(AND('131-CT'!$H$9=TH!H767,OR(N767="131",O767="131")),"x","")</f>
        <v/>
      </c>
      <c r="X767" s="86" t="str">
        <f>IF(AND($B767&gt;='1331'!$I$9,$B767&lt;='1331'!$J$9,OR($N767=$X$7,$O767=$X$7)),"x","")</f>
        <v/>
      </c>
      <c r="Y767" s="86" t="str">
        <f>IF(AND($N767=$X$7,$B767&lt;'1331'!$I$9),"x","")</f>
        <v/>
      </c>
      <c r="Z767" s="86" t="str">
        <f>IF(AND($O767=$X$7,$B767&lt;'1331'!$I$9),"x","")</f>
        <v/>
      </c>
      <c r="AA767" s="86" t="str">
        <f>IF(AND('341-CT'!$H$9=H767,OR(LEFT(N767,3)=$AA$7,LEFT(O767,3)=$AA$7)),"x","")</f>
        <v/>
      </c>
      <c r="AB767" s="86" t="str">
        <f>IF(OR(TH!N767=TH!$AB$7,O767=TH!$AB$7),"x","")</f>
        <v/>
      </c>
      <c r="AC767" s="86" t="str">
        <f t="shared" si="49"/>
        <v/>
      </c>
      <c r="AD767" s="86" t="str">
        <f>IF(AND(MONTH(E767)&lt;='IN-NX'!$P$3,'IN-NX'!$D$7=D767,OR(LEFT(TH!N767,2)="15",LEFT(TH!O767,2)="15")),"x","")</f>
        <v/>
      </c>
      <c r="AE767" s="86" t="str">
        <f>IF(AND(OR(LEFT(TH!N767,2)="15",LEFT(TH!O767,2)="15"),'152-CT'!$J$8=TH!F767),"x","")</f>
        <v/>
      </c>
      <c r="AF767" s="86" t="str">
        <f>IF(AND(OR(LEFT(TH!N767,2)="15",LEFT(TH!O767,2)="15"),'THE KHO'!$E$7=TH!F767),"x","")</f>
        <v/>
      </c>
      <c r="AG767" s="86" t="str">
        <f>IF(AND(N767="1521",MONTH(C767)='BK NL'!$M$11),"x","")</f>
        <v/>
      </c>
    </row>
    <row r="768" spans="1:33" ht="15.75" customHeight="1">
      <c r="A768" s="398" t="str">
        <f>IF(B768&lt;&gt;"",IF(AND(B768&gt;=_TM1,B768&lt;=_TM2,OR(TH!N768="1111",TH!O768="1111")),TH!D768,""),"")</f>
        <v/>
      </c>
      <c r="B768" s="63" t="str">
        <f t="shared" si="48"/>
        <v/>
      </c>
      <c r="C768" s="362"/>
      <c r="D768" s="362"/>
      <c r="E768" s="362"/>
      <c r="F768" s="363"/>
      <c r="G768" s="390"/>
      <c r="H768" s="364"/>
      <c r="I768" s="515"/>
      <c r="J768" s="515"/>
      <c r="K768" s="507"/>
      <c r="L768" s="515"/>
      <c r="M768" s="65"/>
      <c r="N768" s="365"/>
      <c r="O768" s="365"/>
      <c r="P768" s="86" t="str">
        <f>IF(AND('331-CT'!$E$7=TH!H768,OR(N768="331",O768="331")),"x","")</f>
        <v/>
      </c>
      <c r="Q768" s="86" t="str">
        <f>IF(AND($B768&gt;='111'!$N$11,$B768&lt;='111'!$O$11,OR($N768=$Q$7,$O768=$Q$7)),"x","")</f>
        <v/>
      </c>
      <c r="R768" s="86" t="str">
        <f>IF(AND($N768=$Q$7,$B768&lt;'111'!$N$11),"x","")</f>
        <v/>
      </c>
      <c r="S768" s="86" t="str">
        <f>IF(AND($O768=$Q$7,$B768&lt;'111'!$N$11),"x","")</f>
        <v/>
      </c>
      <c r="T768" s="86" t="str">
        <f>IF(AND($B768&gt;='112'!$M$9,$B768&lt;='112'!$N$9,OR($N768='112'!$I$6,$O768='112'!$I$6)),"x","")</f>
        <v/>
      </c>
      <c r="U768" s="86" t="str">
        <f>IF(AND($N768='112'!$I$6,$B768&lt;'112'!$M$9),"x","")</f>
        <v/>
      </c>
      <c r="V768" s="86" t="str">
        <f>IF(AND($O768='112'!$I$6,$B768&lt;'112'!$M$9),"x","")</f>
        <v/>
      </c>
      <c r="W768" s="86" t="str">
        <f>IF(AND('131-CT'!$H$9=TH!H768,OR(N768="131",O768="131")),"x","")</f>
        <v/>
      </c>
      <c r="X768" s="86" t="str">
        <f>IF(AND($B768&gt;='1331'!$I$9,$B768&lt;='1331'!$J$9,OR($N768=$X$7,$O768=$X$7)),"x","")</f>
        <v/>
      </c>
      <c r="Y768" s="86" t="str">
        <f>IF(AND($N768=$X$7,$B768&lt;'1331'!$I$9),"x","")</f>
        <v/>
      </c>
      <c r="Z768" s="86" t="str">
        <f>IF(AND($O768=$X$7,$B768&lt;'1331'!$I$9),"x","")</f>
        <v/>
      </c>
      <c r="AA768" s="86" t="str">
        <f>IF(AND('341-CT'!$H$9=H768,OR(LEFT(N768,3)=$AA$7,LEFT(O768,3)=$AA$7)),"x","")</f>
        <v/>
      </c>
      <c r="AB768" s="86" t="str">
        <f>IF(OR(TH!N768=TH!$AB$7,O768=TH!$AB$7),"x","")</f>
        <v/>
      </c>
      <c r="AC768" s="86" t="str">
        <f t="shared" si="49"/>
        <v/>
      </c>
      <c r="AD768" s="86" t="str">
        <f>IF(AND(MONTH(E768)&lt;='IN-NX'!$P$3,'IN-NX'!$D$7=D768,OR(LEFT(TH!N768,2)="15",LEFT(TH!O768,2)="15")),"x","")</f>
        <v/>
      </c>
      <c r="AE768" s="86" t="str">
        <f>IF(AND(OR(LEFT(TH!N768,2)="15",LEFT(TH!O768,2)="15"),'152-CT'!$J$8=TH!F768),"x","")</f>
        <v/>
      </c>
      <c r="AF768" s="86" t="str">
        <f>IF(AND(OR(LEFT(TH!N768,2)="15",LEFT(TH!O768,2)="15"),'THE KHO'!$E$7=TH!F768),"x","")</f>
        <v/>
      </c>
      <c r="AG768" s="86" t="str">
        <f>IF(AND(N768="1521",MONTH(C768)='BK NL'!$M$11),"x","")</f>
        <v/>
      </c>
    </row>
    <row r="769" spans="1:33" ht="15.75" customHeight="1">
      <c r="A769" s="398" t="str">
        <f>IF(B769&lt;&gt;"",IF(AND(B769&gt;=_TM1,B769&lt;=_TM2,OR(TH!N769="1111",TH!O769="1111")),TH!D769,""),"")</f>
        <v/>
      </c>
      <c r="B769" s="63" t="str">
        <f t="shared" si="48"/>
        <v/>
      </c>
      <c r="C769" s="362"/>
      <c r="D769" s="362"/>
      <c r="E769" s="362"/>
      <c r="F769" s="363"/>
      <c r="G769" s="390"/>
      <c r="H769" s="364"/>
      <c r="I769" s="515"/>
      <c r="J769" s="515"/>
      <c r="K769" s="507"/>
      <c r="L769" s="515"/>
      <c r="M769" s="65"/>
      <c r="N769" s="365"/>
      <c r="O769" s="365"/>
      <c r="P769" s="86" t="str">
        <f>IF(AND('331-CT'!$E$7=TH!H769,OR(N769="331",O769="331")),"x","")</f>
        <v/>
      </c>
      <c r="Q769" s="86" t="str">
        <f>IF(AND($B769&gt;='111'!$N$11,$B769&lt;='111'!$O$11,OR($N769=$Q$7,$O769=$Q$7)),"x","")</f>
        <v/>
      </c>
      <c r="R769" s="86" t="str">
        <f>IF(AND($N769=$Q$7,$B769&lt;'111'!$N$11),"x","")</f>
        <v/>
      </c>
      <c r="S769" s="86" t="str">
        <f>IF(AND($O769=$Q$7,$B769&lt;'111'!$N$11),"x","")</f>
        <v/>
      </c>
      <c r="T769" s="86" t="str">
        <f>IF(AND($B769&gt;='112'!$M$9,$B769&lt;='112'!$N$9,OR($N769='112'!$I$6,$O769='112'!$I$6)),"x","")</f>
        <v/>
      </c>
      <c r="U769" s="86" t="str">
        <f>IF(AND($N769='112'!$I$6,$B769&lt;'112'!$M$9),"x","")</f>
        <v/>
      </c>
      <c r="V769" s="86" t="str">
        <f>IF(AND($O769='112'!$I$6,$B769&lt;'112'!$M$9),"x","")</f>
        <v/>
      </c>
      <c r="W769" s="86" t="str">
        <f>IF(AND('131-CT'!$H$9=TH!H769,OR(N769="131",O769="131")),"x","")</f>
        <v/>
      </c>
      <c r="X769" s="86" t="str">
        <f>IF(AND($B769&gt;='1331'!$I$9,$B769&lt;='1331'!$J$9,OR($N769=$X$7,$O769=$X$7)),"x","")</f>
        <v/>
      </c>
      <c r="Y769" s="86" t="str">
        <f>IF(AND($N769=$X$7,$B769&lt;'1331'!$I$9),"x","")</f>
        <v/>
      </c>
      <c r="Z769" s="86" t="str">
        <f>IF(AND($O769=$X$7,$B769&lt;'1331'!$I$9),"x","")</f>
        <v/>
      </c>
      <c r="AA769" s="86" t="str">
        <f>IF(AND('341-CT'!$H$9=H769,OR(LEFT(N769,3)=$AA$7,LEFT(O769,3)=$AA$7)),"x","")</f>
        <v/>
      </c>
      <c r="AB769" s="86" t="str">
        <f>IF(OR(TH!N769=TH!$AB$7,O769=TH!$AB$7),"x","")</f>
        <v/>
      </c>
      <c r="AC769" s="86" t="str">
        <f t="shared" si="49"/>
        <v/>
      </c>
      <c r="AD769" s="86" t="str">
        <f>IF(AND(MONTH(E769)&lt;='IN-NX'!$P$3,'IN-NX'!$D$7=D769,OR(LEFT(TH!N769,2)="15",LEFT(TH!O769,2)="15")),"x","")</f>
        <v/>
      </c>
      <c r="AE769" s="86" t="str">
        <f>IF(AND(OR(LEFT(TH!N769,2)="15",LEFT(TH!O769,2)="15"),'152-CT'!$J$8=TH!F769),"x","")</f>
        <v/>
      </c>
      <c r="AF769" s="86" t="str">
        <f>IF(AND(OR(LEFT(TH!N769,2)="15",LEFT(TH!O769,2)="15"),'THE KHO'!$E$7=TH!F769),"x","")</f>
        <v/>
      </c>
      <c r="AG769" s="86" t="str">
        <f>IF(AND(N769="1521",MONTH(C769)='BK NL'!$M$11),"x","")</f>
        <v/>
      </c>
    </row>
    <row r="770" spans="1:33" ht="15.75" customHeight="1">
      <c r="A770" s="398" t="str">
        <f>IF(B770&lt;&gt;"",IF(AND(B770&gt;=_TM1,B770&lt;=_TM2,OR(TH!N770="1111",TH!O770="1111")),TH!D770,""),"")</f>
        <v/>
      </c>
      <c r="B770" s="63" t="str">
        <f t="shared" si="48"/>
        <v/>
      </c>
      <c r="C770" s="362"/>
      <c r="D770" s="362"/>
      <c r="E770" s="362"/>
      <c r="F770" s="363"/>
      <c r="G770" s="390"/>
      <c r="H770" s="364"/>
      <c r="I770" s="515"/>
      <c r="J770" s="515"/>
      <c r="K770" s="507"/>
      <c r="L770" s="515"/>
      <c r="M770" s="65"/>
      <c r="N770" s="365"/>
      <c r="O770" s="365"/>
      <c r="P770" s="86" t="str">
        <f>IF(AND('331-CT'!$E$7=TH!H770,OR(N770="331",O770="331")),"x","")</f>
        <v/>
      </c>
      <c r="Q770" s="86" t="str">
        <f>IF(AND($B770&gt;='111'!$N$11,$B770&lt;='111'!$O$11,OR($N770=$Q$7,$O770=$Q$7)),"x","")</f>
        <v/>
      </c>
      <c r="R770" s="86" t="str">
        <f>IF(AND($N770=$Q$7,$B770&lt;'111'!$N$11),"x","")</f>
        <v/>
      </c>
      <c r="S770" s="86" t="str">
        <f>IF(AND($O770=$Q$7,$B770&lt;'111'!$N$11),"x","")</f>
        <v/>
      </c>
      <c r="T770" s="86" t="str">
        <f>IF(AND($B770&gt;='112'!$M$9,$B770&lt;='112'!$N$9,OR($N770='112'!$I$6,$O770='112'!$I$6)),"x","")</f>
        <v/>
      </c>
      <c r="U770" s="86" t="str">
        <f>IF(AND($N770='112'!$I$6,$B770&lt;'112'!$M$9),"x","")</f>
        <v/>
      </c>
      <c r="V770" s="86" t="str">
        <f>IF(AND($O770='112'!$I$6,$B770&lt;'112'!$M$9),"x","")</f>
        <v/>
      </c>
      <c r="W770" s="86" t="str">
        <f>IF(AND('131-CT'!$H$9=TH!H770,OR(N770="131",O770="131")),"x","")</f>
        <v/>
      </c>
      <c r="X770" s="86" t="str">
        <f>IF(AND($B770&gt;='1331'!$I$9,$B770&lt;='1331'!$J$9,OR($N770=$X$7,$O770=$X$7)),"x","")</f>
        <v/>
      </c>
      <c r="Y770" s="86" t="str">
        <f>IF(AND($N770=$X$7,$B770&lt;'1331'!$I$9),"x","")</f>
        <v/>
      </c>
      <c r="Z770" s="86" t="str">
        <f>IF(AND($O770=$X$7,$B770&lt;'1331'!$I$9),"x","")</f>
        <v/>
      </c>
      <c r="AA770" s="86" t="str">
        <f>IF(AND('341-CT'!$H$9=H770,OR(LEFT(N770,3)=$AA$7,LEFT(O770,3)=$AA$7)),"x","")</f>
        <v/>
      </c>
      <c r="AB770" s="86" t="str">
        <f>IF(OR(TH!N770=TH!$AB$7,O770=TH!$AB$7),"x","")</f>
        <v/>
      </c>
      <c r="AC770" s="86" t="str">
        <f t="shared" si="49"/>
        <v/>
      </c>
      <c r="AD770" s="86" t="str">
        <f>IF(AND(MONTH(E770)&lt;='IN-NX'!$P$3,'IN-NX'!$D$7=D770,OR(LEFT(TH!N770,2)="15",LEFT(TH!O770,2)="15")),"x","")</f>
        <v/>
      </c>
      <c r="AE770" s="86" t="str">
        <f>IF(AND(OR(LEFT(TH!N770,2)="15",LEFT(TH!O770,2)="15"),'152-CT'!$J$8=TH!F770),"x","")</f>
        <v/>
      </c>
      <c r="AF770" s="86" t="str">
        <f>IF(AND(OR(LEFT(TH!N770,2)="15",LEFT(TH!O770,2)="15"),'THE KHO'!$E$7=TH!F770),"x","")</f>
        <v/>
      </c>
      <c r="AG770" s="86" t="str">
        <f>IF(AND(N770="1521",MONTH(C770)='BK NL'!$M$11),"x","")</f>
        <v/>
      </c>
    </row>
    <row r="771" spans="1:33" ht="15.75" customHeight="1">
      <c r="A771" s="398" t="str">
        <f>IF(B771&lt;&gt;"",IF(AND(B771&gt;=_TM1,B771&lt;=_TM2,OR(TH!N771="1111",TH!O771="1111")),TH!D771,""),"")</f>
        <v/>
      </c>
      <c r="B771" s="63" t="str">
        <f t="shared" si="48"/>
        <v/>
      </c>
      <c r="C771" s="362"/>
      <c r="D771" s="362"/>
      <c r="E771" s="362"/>
      <c r="F771" s="363"/>
      <c r="G771" s="390"/>
      <c r="H771" s="364"/>
      <c r="I771" s="515"/>
      <c r="J771" s="515"/>
      <c r="K771" s="507"/>
      <c r="L771" s="515"/>
      <c r="M771" s="65"/>
      <c r="N771" s="365"/>
      <c r="O771" s="365"/>
      <c r="P771" s="86" t="str">
        <f>IF(AND('331-CT'!$E$7=TH!H771,OR(N771="331",O771="331")),"x","")</f>
        <v/>
      </c>
      <c r="Q771" s="86" t="str">
        <f>IF(AND($B771&gt;='111'!$N$11,$B771&lt;='111'!$O$11,OR($N771=$Q$7,$O771=$Q$7)),"x","")</f>
        <v/>
      </c>
      <c r="R771" s="86" t="str">
        <f>IF(AND($N771=$Q$7,$B771&lt;'111'!$N$11),"x","")</f>
        <v/>
      </c>
      <c r="S771" s="86" t="str">
        <f>IF(AND($O771=$Q$7,$B771&lt;'111'!$N$11),"x","")</f>
        <v/>
      </c>
      <c r="T771" s="86" t="str">
        <f>IF(AND($B771&gt;='112'!$M$9,$B771&lt;='112'!$N$9,OR($N771='112'!$I$6,$O771='112'!$I$6)),"x","")</f>
        <v/>
      </c>
      <c r="U771" s="86" t="str">
        <f>IF(AND($N771='112'!$I$6,$B771&lt;'112'!$M$9),"x","")</f>
        <v/>
      </c>
      <c r="V771" s="86" t="str">
        <f>IF(AND($O771='112'!$I$6,$B771&lt;'112'!$M$9),"x","")</f>
        <v/>
      </c>
      <c r="W771" s="86" t="str">
        <f>IF(AND('131-CT'!$H$9=TH!H771,OR(N771="131",O771="131")),"x","")</f>
        <v/>
      </c>
      <c r="X771" s="86" t="str">
        <f>IF(AND($B771&gt;='1331'!$I$9,$B771&lt;='1331'!$J$9,OR($N771=$X$7,$O771=$X$7)),"x","")</f>
        <v/>
      </c>
      <c r="Y771" s="86" t="str">
        <f>IF(AND($N771=$X$7,$B771&lt;'1331'!$I$9),"x","")</f>
        <v/>
      </c>
      <c r="Z771" s="86" t="str">
        <f>IF(AND($O771=$X$7,$B771&lt;'1331'!$I$9),"x","")</f>
        <v/>
      </c>
      <c r="AA771" s="86" t="str">
        <f>IF(AND('341-CT'!$H$9=H771,OR(LEFT(N771,3)=$AA$7,LEFT(O771,3)=$AA$7)),"x","")</f>
        <v/>
      </c>
      <c r="AB771" s="86" t="str">
        <f>IF(OR(TH!N771=TH!$AB$7,O771=TH!$AB$7),"x","")</f>
        <v/>
      </c>
      <c r="AC771" s="86" t="str">
        <f t="shared" si="49"/>
        <v/>
      </c>
      <c r="AD771" s="86" t="str">
        <f>IF(AND(MONTH(E771)&lt;='IN-NX'!$P$3,'IN-NX'!$D$7=D771,OR(LEFT(TH!N771,2)="15",LEFT(TH!O771,2)="15")),"x","")</f>
        <v/>
      </c>
      <c r="AE771" s="86" t="str">
        <f>IF(AND(OR(LEFT(TH!N771,2)="15",LEFT(TH!O771,2)="15"),'152-CT'!$J$8=TH!F771),"x","")</f>
        <v/>
      </c>
      <c r="AF771" s="86" t="str">
        <f>IF(AND(OR(LEFT(TH!N771,2)="15",LEFT(TH!O771,2)="15"),'THE KHO'!$E$7=TH!F771),"x","")</f>
        <v/>
      </c>
      <c r="AG771" s="86" t="str">
        <f>IF(AND(N771="1521",MONTH(C771)='BK NL'!$M$11),"x","")</f>
        <v/>
      </c>
    </row>
    <row r="772" spans="1:33" ht="15.75" customHeight="1">
      <c r="A772" s="398" t="str">
        <f>IF(B772&lt;&gt;"",IF(AND(B772&gt;=_TM1,B772&lt;=_TM2,OR(TH!N772="1111",TH!O772="1111")),TH!D772,""),"")</f>
        <v/>
      </c>
      <c r="B772" s="63" t="str">
        <f t="shared" si="48"/>
        <v/>
      </c>
      <c r="C772" s="362"/>
      <c r="D772" s="362"/>
      <c r="E772" s="362"/>
      <c r="F772" s="363"/>
      <c r="G772" s="390"/>
      <c r="H772" s="364"/>
      <c r="I772" s="515"/>
      <c r="J772" s="515"/>
      <c r="K772" s="507"/>
      <c r="L772" s="515"/>
      <c r="M772" s="65"/>
      <c r="N772" s="365"/>
      <c r="O772" s="365"/>
      <c r="P772" s="86" t="str">
        <f>IF(AND('331-CT'!$E$7=TH!H772,OR(N772="331",O772="331")),"x","")</f>
        <v/>
      </c>
      <c r="Q772" s="86" t="str">
        <f>IF(AND($B772&gt;='111'!$N$11,$B772&lt;='111'!$O$11,OR($N772=$Q$7,$O772=$Q$7)),"x","")</f>
        <v/>
      </c>
      <c r="R772" s="86" t="str">
        <f>IF(AND($N772=$Q$7,$B772&lt;'111'!$N$11),"x","")</f>
        <v/>
      </c>
      <c r="S772" s="86" t="str">
        <f>IF(AND($O772=$Q$7,$B772&lt;'111'!$N$11),"x","")</f>
        <v/>
      </c>
      <c r="T772" s="86" t="str">
        <f>IF(AND($B772&gt;='112'!$M$9,$B772&lt;='112'!$N$9,OR($N772='112'!$I$6,$O772='112'!$I$6)),"x","")</f>
        <v/>
      </c>
      <c r="U772" s="86" t="str">
        <f>IF(AND($N772='112'!$I$6,$B772&lt;'112'!$M$9),"x","")</f>
        <v/>
      </c>
      <c r="V772" s="86" t="str">
        <f>IF(AND($O772='112'!$I$6,$B772&lt;'112'!$M$9),"x","")</f>
        <v/>
      </c>
      <c r="W772" s="86" t="str">
        <f>IF(AND('131-CT'!$H$9=TH!H772,OR(N772="131",O772="131")),"x","")</f>
        <v/>
      </c>
      <c r="X772" s="86" t="str">
        <f>IF(AND($B772&gt;='1331'!$I$9,$B772&lt;='1331'!$J$9,OR($N772=$X$7,$O772=$X$7)),"x","")</f>
        <v/>
      </c>
      <c r="Y772" s="86" t="str">
        <f>IF(AND($N772=$X$7,$B772&lt;'1331'!$I$9),"x","")</f>
        <v/>
      </c>
      <c r="Z772" s="86" t="str">
        <f>IF(AND($O772=$X$7,$B772&lt;'1331'!$I$9),"x","")</f>
        <v/>
      </c>
      <c r="AA772" s="86" t="str">
        <f>IF(AND('341-CT'!$H$9=H772,OR(LEFT(N772,3)=$AA$7,LEFT(O772,3)=$AA$7)),"x","")</f>
        <v/>
      </c>
      <c r="AB772" s="86" t="str">
        <f>IF(OR(TH!N772=TH!$AB$7,O772=TH!$AB$7),"x","")</f>
        <v/>
      </c>
      <c r="AC772" s="86" t="str">
        <f t="shared" si="49"/>
        <v/>
      </c>
      <c r="AD772" s="86" t="str">
        <f>IF(AND(MONTH(E772)&lt;='IN-NX'!$P$3,'IN-NX'!$D$7=D772,OR(LEFT(TH!N772,2)="15",LEFT(TH!O772,2)="15")),"x","")</f>
        <v/>
      </c>
      <c r="AE772" s="86" t="str">
        <f>IF(AND(OR(LEFT(TH!N772,2)="15",LEFT(TH!O772,2)="15"),'152-CT'!$J$8=TH!F772),"x","")</f>
        <v/>
      </c>
      <c r="AF772" s="86" t="str">
        <f>IF(AND(OR(LEFT(TH!N772,2)="15",LEFT(TH!O772,2)="15"),'THE KHO'!$E$7=TH!F772),"x","")</f>
        <v/>
      </c>
      <c r="AG772" s="86" t="str">
        <f>IF(AND(N772="1521",MONTH(C772)='BK NL'!$M$11),"x","")</f>
        <v/>
      </c>
    </row>
    <row r="773" spans="1:33" ht="15.75" customHeight="1">
      <c r="A773" s="398" t="str">
        <f>IF(B773&lt;&gt;"",IF(AND(B773&gt;=_TM1,B773&lt;=_TM2,OR(TH!N773="1111",TH!O773="1111")),TH!D773,""),"")</f>
        <v/>
      </c>
      <c r="B773" s="63" t="str">
        <f t="shared" si="48"/>
        <v/>
      </c>
      <c r="C773" s="362"/>
      <c r="D773" s="362"/>
      <c r="E773" s="362"/>
      <c r="F773" s="363"/>
      <c r="G773" s="390"/>
      <c r="H773" s="364"/>
      <c r="I773" s="515"/>
      <c r="J773" s="515"/>
      <c r="K773" s="507"/>
      <c r="L773" s="515"/>
      <c r="M773" s="65"/>
      <c r="N773" s="365"/>
      <c r="O773" s="365"/>
      <c r="P773" s="86" t="str">
        <f>IF(AND('331-CT'!$E$7=TH!H773,OR(N773="331",O773="331")),"x","")</f>
        <v/>
      </c>
      <c r="Q773" s="86" t="str">
        <f>IF(AND($B773&gt;='111'!$N$11,$B773&lt;='111'!$O$11,OR($N773=$Q$7,$O773=$Q$7)),"x","")</f>
        <v/>
      </c>
      <c r="R773" s="86" t="str">
        <f>IF(AND($N773=$Q$7,$B773&lt;'111'!$N$11),"x","")</f>
        <v/>
      </c>
      <c r="S773" s="86" t="str">
        <f>IF(AND($O773=$Q$7,$B773&lt;'111'!$N$11),"x","")</f>
        <v/>
      </c>
      <c r="T773" s="86" t="str">
        <f>IF(AND($B773&gt;='112'!$M$9,$B773&lt;='112'!$N$9,OR($N773='112'!$I$6,$O773='112'!$I$6)),"x","")</f>
        <v/>
      </c>
      <c r="U773" s="86" t="str">
        <f>IF(AND($N773='112'!$I$6,$B773&lt;'112'!$M$9),"x","")</f>
        <v/>
      </c>
      <c r="V773" s="86" t="str">
        <f>IF(AND($O773='112'!$I$6,$B773&lt;'112'!$M$9),"x","")</f>
        <v/>
      </c>
      <c r="W773" s="86" t="str">
        <f>IF(AND('131-CT'!$H$9=TH!H773,OR(N773="131",O773="131")),"x","")</f>
        <v/>
      </c>
      <c r="X773" s="86" t="str">
        <f>IF(AND($B773&gt;='1331'!$I$9,$B773&lt;='1331'!$J$9,OR($N773=$X$7,$O773=$X$7)),"x","")</f>
        <v/>
      </c>
      <c r="Y773" s="86" t="str">
        <f>IF(AND($N773=$X$7,$B773&lt;'1331'!$I$9),"x","")</f>
        <v/>
      </c>
      <c r="Z773" s="86" t="str">
        <f>IF(AND($O773=$X$7,$B773&lt;'1331'!$I$9),"x","")</f>
        <v/>
      </c>
      <c r="AA773" s="86" t="str">
        <f>IF(AND('341-CT'!$H$9=H773,OR(LEFT(N773,3)=$AA$7,LEFT(O773,3)=$AA$7)),"x","")</f>
        <v/>
      </c>
      <c r="AB773" s="86" t="str">
        <f>IF(OR(TH!N773=TH!$AB$7,O773=TH!$AB$7),"x","")</f>
        <v/>
      </c>
      <c r="AC773" s="86" t="str">
        <f t="shared" si="49"/>
        <v/>
      </c>
      <c r="AD773" s="86" t="str">
        <f>IF(AND(MONTH(E773)&lt;='IN-NX'!$P$3,'IN-NX'!$D$7=D773,OR(LEFT(TH!N773,2)="15",LEFT(TH!O773,2)="15")),"x","")</f>
        <v/>
      </c>
      <c r="AE773" s="86" t="str">
        <f>IF(AND(OR(LEFT(TH!N773,2)="15",LEFT(TH!O773,2)="15"),'152-CT'!$J$8=TH!F773),"x","")</f>
        <v/>
      </c>
      <c r="AF773" s="86" t="str">
        <f>IF(AND(OR(LEFT(TH!N773,2)="15",LEFT(TH!O773,2)="15"),'THE KHO'!$E$7=TH!F773),"x","")</f>
        <v/>
      </c>
      <c r="AG773" s="86" t="str">
        <f>IF(AND(N773="1521",MONTH(C773)='BK NL'!$M$11),"x","")</f>
        <v/>
      </c>
    </row>
    <row r="774" spans="1:33" ht="15.75" customHeight="1">
      <c r="A774" s="398" t="str">
        <f>IF(B774&lt;&gt;"",IF(AND(B774&gt;=_TM1,B774&lt;=_TM2,OR(TH!N774="1111",TH!O774="1111")),TH!D774,""),"")</f>
        <v/>
      </c>
      <c r="B774" s="63" t="str">
        <f t="shared" si="48"/>
        <v/>
      </c>
      <c r="C774" s="362"/>
      <c r="D774" s="362"/>
      <c r="E774" s="362"/>
      <c r="F774" s="363"/>
      <c r="G774" s="390"/>
      <c r="H774" s="364"/>
      <c r="I774" s="515"/>
      <c r="J774" s="515"/>
      <c r="K774" s="507"/>
      <c r="L774" s="515"/>
      <c r="M774" s="65"/>
      <c r="N774" s="365"/>
      <c r="O774" s="365"/>
      <c r="P774" s="86" t="str">
        <f>IF(AND('331-CT'!$E$7=TH!H774,OR(N774="331",O774="331")),"x","")</f>
        <v/>
      </c>
      <c r="Q774" s="86" t="str">
        <f>IF(AND($B774&gt;='111'!$N$11,$B774&lt;='111'!$O$11,OR($N774=$Q$7,$O774=$Q$7)),"x","")</f>
        <v/>
      </c>
      <c r="R774" s="86" t="str">
        <f>IF(AND($N774=$Q$7,$B774&lt;'111'!$N$11),"x","")</f>
        <v/>
      </c>
      <c r="S774" s="86" t="str">
        <f>IF(AND($O774=$Q$7,$B774&lt;'111'!$N$11),"x","")</f>
        <v/>
      </c>
      <c r="T774" s="86" t="str">
        <f>IF(AND($B774&gt;='112'!$M$9,$B774&lt;='112'!$N$9,OR($N774='112'!$I$6,$O774='112'!$I$6)),"x","")</f>
        <v/>
      </c>
      <c r="U774" s="86" t="str">
        <f>IF(AND($N774='112'!$I$6,$B774&lt;'112'!$M$9),"x","")</f>
        <v/>
      </c>
      <c r="V774" s="86" t="str">
        <f>IF(AND($O774='112'!$I$6,$B774&lt;'112'!$M$9),"x","")</f>
        <v/>
      </c>
      <c r="W774" s="86" t="str">
        <f>IF(AND('131-CT'!$H$9=TH!H774,OR(N774="131",O774="131")),"x","")</f>
        <v/>
      </c>
      <c r="X774" s="86" t="str">
        <f>IF(AND($B774&gt;='1331'!$I$9,$B774&lt;='1331'!$J$9,OR($N774=$X$7,$O774=$X$7)),"x","")</f>
        <v/>
      </c>
      <c r="Y774" s="86" t="str">
        <f>IF(AND($N774=$X$7,$B774&lt;'1331'!$I$9),"x","")</f>
        <v/>
      </c>
      <c r="Z774" s="86" t="str">
        <f>IF(AND($O774=$X$7,$B774&lt;'1331'!$I$9),"x","")</f>
        <v/>
      </c>
      <c r="AA774" s="86" t="str">
        <f>IF(AND('341-CT'!$H$9=H774,OR(LEFT(N774,3)=$AA$7,LEFT(O774,3)=$AA$7)),"x","")</f>
        <v/>
      </c>
      <c r="AB774" s="86" t="str">
        <f>IF(OR(TH!N774=TH!$AB$7,O774=TH!$AB$7),"x","")</f>
        <v/>
      </c>
      <c r="AC774" s="86" t="str">
        <f t="shared" si="49"/>
        <v/>
      </c>
      <c r="AD774" s="86" t="str">
        <f>IF(AND(MONTH(E774)&lt;='IN-NX'!$P$3,'IN-NX'!$D$7=D774,OR(LEFT(TH!N774,2)="15",LEFT(TH!O774,2)="15")),"x","")</f>
        <v/>
      </c>
      <c r="AE774" s="86" t="str">
        <f>IF(AND(OR(LEFT(TH!N774,2)="15",LEFT(TH!O774,2)="15"),'152-CT'!$J$8=TH!F774),"x","")</f>
        <v/>
      </c>
      <c r="AF774" s="86" t="str">
        <f>IF(AND(OR(LEFT(TH!N774,2)="15",LEFT(TH!O774,2)="15"),'THE KHO'!$E$7=TH!F774),"x","")</f>
        <v/>
      </c>
      <c r="AG774" s="86" t="str">
        <f>IF(AND(N774="1521",MONTH(C774)='BK NL'!$M$11),"x","")</f>
        <v/>
      </c>
    </row>
    <row r="775" spans="1:33" ht="15.75" customHeight="1">
      <c r="A775" s="398" t="str">
        <f>IF(B775&lt;&gt;"",IF(AND(B775&gt;=_TM1,B775&lt;=_TM2,OR(TH!N775="1111",TH!O775="1111")),TH!D775,""),"")</f>
        <v/>
      </c>
      <c r="B775" s="63" t="str">
        <f t="shared" si="48"/>
        <v/>
      </c>
      <c r="C775" s="362"/>
      <c r="D775" s="362"/>
      <c r="E775" s="362"/>
      <c r="F775" s="363"/>
      <c r="G775" s="390"/>
      <c r="H775" s="364"/>
      <c r="I775" s="515"/>
      <c r="J775" s="515"/>
      <c r="K775" s="507"/>
      <c r="L775" s="515"/>
      <c r="M775" s="65"/>
      <c r="N775" s="365"/>
      <c r="O775" s="365"/>
      <c r="P775" s="86" t="str">
        <f>IF(AND('331-CT'!$E$7=TH!H775,OR(N775="331",O775="331")),"x","")</f>
        <v/>
      </c>
      <c r="Q775" s="86" t="str">
        <f>IF(AND($B775&gt;='111'!$N$11,$B775&lt;='111'!$O$11,OR($N775=$Q$7,$O775=$Q$7)),"x","")</f>
        <v/>
      </c>
      <c r="R775" s="86" t="str">
        <f>IF(AND($N775=$Q$7,$B775&lt;'111'!$N$11),"x","")</f>
        <v/>
      </c>
      <c r="S775" s="86" t="str">
        <f>IF(AND($O775=$Q$7,$B775&lt;'111'!$N$11),"x","")</f>
        <v/>
      </c>
      <c r="T775" s="86" t="str">
        <f>IF(AND($B775&gt;='112'!$M$9,$B775&lt;='112'!$N$9,OR($N775='112'!$I$6,$O775='112'!$I$6)),"x","")</f>
        <v/>
      </c>
      <c r="U775" s="86" t="str">
        <f>IF(AND($N775='112'!$I$6,$B775&lt;'112'!$M$9),"x","")</f>
        <v/>
      </c>
      <c r="V775" s="86" t="str">
        <f>IF(AND($O775='112'!$I$6,$B775&lt;'112'!$M$9),"x","")</f>
        <v/>
      </c>
      <c r="W775" s="86" t="str">
        <f>IF(AND('131-CT'!$H$9=TH!H775,OR(N775="131",O775="131")),"x","")</f>
        <v/>
      </c>
      <c r="X775" s="86" t="str">
        <f>IF(AND($B775&gt;='1331'!$I$9,$B775&lt;='1331'!$J$9,OR($N775=$X$7,$O775=$X$7)),"x","")</f>
        <v/>
      </c>
      <c r="Y775" s="86" t="str">
        <f>IF(AND($N775=$X$7,$B775&lt;'1331'!$I$9),"x","")</f>
        <v/>
      </c>
      <c r="Z775" s="86" t="str">
        <f>IF(AND($O775=$X$7,$B775&lt;'1331'!$I$9),"x","")</f>
        <v/>
      </c>
      <c r="AA775" s="86" t="str">
        <f>IF(AND('341-CT'!$H$9=H775,OR(LEFT(N775,3)=$AA$7,LEFT(O775,3)=$AA$7)),"x","")</f>
        <v/>
      </c>
      <c r="AB775" s="86" t="str">
        <f>IF(OR(TH!N775=TH!$AB$7,O775=TH!$AB$7),"x","")</f>
        <v/>
      </c>
      <c r="AC775" s="86" t="str">
        <f t="shared" si="49"/>
        <v/>
      </c>
      <c r="AD775" s="86" t="str">
        <f>IF(AND(MONTH(E775)&lt;='IN-NX'!$P$3,'IN-NX'!$D$7=D775,OR(LEFT(TH!N775,2)="15",LEFT(TH!O775,2)="15")),"x","")</f>
        <v/>
      </c>
      <c r="AE775" s="86" t="str">
        <f>IF(AND(OR(LEFT(TH!N775,2)="15",LEFT(TH!O775,2)="15"),'152-CT'!$J$8=TH!F775),"x","")</f>
        <v/>
      </c>
      <c r="AF775" s="86" t="str">
        <f>IF(AND(OR(LEFT(TH!N775,2)="15",LEFT(TH!O775,2)="15"),'THE KHO'!$E$7=TH!F775),"x","")</f>
        <v/>
      </c>
      <c r="AG775" s="86" t="str">
        <f>IF(AND(N775="1521",MONTH(C775)='BK NL'!$M$11),"x","")</f>
        <v/>
      </c>
    </row>
    <row r="776" spans="1:33" ht="15.75" customHeight="1">
      <c r="A776" s="398" t="str">
        <f>IF(B776&lt;&gt;"",IF(AND(B776&gt;=_TM1,B776&lt;=_TM2,OR(TH!N776="1111",TH!O776="1111")),TH!D776,""),"")</f>
        <v/>
      </c>
      <c r="B776" s="63" t="str">
        <f t="shared" ref="B776:B794" si="50">IF(C776&lt;&gt;"",MONTH(C776),"")</f>
        <v/>
      </c>
      <c r="C776" s="362"/>
      <c r="D776" s="362"/>
      <c r="E776" s="362"/>
      <c r="F776" s="363"/>
      <c r="G776" s="390"/>
      <c r="H776" s="364"/>
      <c r="I776" s="515"/>
      <c r="J776" s="515"/>
      <c r="K776" s="507"/>
      <c r="L776" s="515"/>
      <c r="M776" s="65"/>
      <c r="N776" s="365"/>
      <c r="O776" s="365"/>
      <c r="P776" s="86" t="str">
        <f>IF(AND('331-CT'!$E$7=TH!H776,OR(N776="331",O776="331")),"x","")</f>
        <v/>
      </c>
      <c r="Q776" s="86" t="str">
        <f>IF(AND($B776&gt;='111'!$N$11,$B776&lt;='111'!$O$11,OR($N776=$Q$7,$O776=$Q$7)),"x","")</f>
        <v/>
      </c>
      <c r="R776" s="86" t="str">
        <f>IF(AND($N776=$Q$7,$B776&lt;'111'!$N$11),"x","")</f>
        <v/>
      </c>
      <c r="S776" s="86" t="str">
        <f>IF(AND($O776=$Q$7,$B776&lt;'111'!$N$11),"x","")</f>
        <v/>
      </c>
      <c r="T776" s="86" t="str">
        <f>IF(AND($B776&gt;='112'!$M$9,$B776&lt;='112'!$N$9,OR($N776='112'!$I$6,$O776='112'!$I$6)),"x","")</f>
        <v/>
      </c>
      <c r="U776" s="86" t="str">
        <f>IF(AND($N776='112'!$I$6,$B776&lt;'112'!$M$9),"x","")</f>
        <v/>
      </c>
      <c r="V776" s="86" t="str">
        <f>IF(AND($O776='112'!$I$6,$B776&lt;'112'!$M$9),"x","")</f>
        <v/>
      </c>
      <c r="W776" s="86" t="str">
        <f>IF(AND('131-CT'!$H$9=TH!H776,OR(N776="131",O776="131")),"x","")</f>
        <v/>
      </c>
      <c r="X776" s="86" t="str">
        <f>IF(AND($B776&gt;='1331'!$I$9,$B776&lt;='1331'!$J$9,OR($N776=$X$7,$O776=$X$7)),"x","")</f>
        <v/>
      </c>
      <c r="Y776" s="86" t="str">
        <f>IF(AND($N776=$X$7,$B776&lt;'1331'!$I$9),"x","")</f>
        <v/>
      </c>
      <c r="Z776" s="86" t="str">
        <f>IF(AND($O776=$X$7,$B776&lt;'1331'!$I$9),"x","")</f>
        <v/>
      </c>
      <c r="AA776" s="86" t="str">
        <f>IF(AND('341-CT'!$H$9=H776,OR(LEFT(N776,3)=$AA$7,LEFT(O776,3)=$AA$7)),"x","")</f>
        <v/>
      </c>
      <c r="AB776" s="86" t="str">
        <f>IF(OR(TH!N776=TH!$AB$7,O776=TH!$AB$7),"x","")</f>
        <v/>
      </c>
      <c r="AC776" s="86" t="str">
        <f t="shared" si="49"/>
        <v/>
      </c>
      <c r="AD776" s="86" t="str">
        <f>IF(AND(MONTH(E776)&lt;='IN-NX'!$P$3,'IN-NX'!$D$7=D776,OR(LEFT(TH!N776,2)="15",LEFT(TH!O776,2)="15")),"x","")</f>
        <v/>
      </c>
      <c r="AE776" s="86" t="str">
        <f>IF(AND(OR(LEFT(TH!N776,2)="15",LEFT(TH!O776,2)="15"),'152-CT'!$J$8=TH!F776),"x","")</f>
        <v/>
      </c>
      <c r="AF776" s="86" t="str">
        <f>IF(AND(OR(LEFT(TH!N776,2)="15",LEFT(TH!O776,2)="15"),'THE KHO'!$E$7=TH!F776),"x","")</f>
        <v/>
      </c>
      <c r="AG776" s="86" t="str">
        <f>IF(AND(N776="1521",MONTH(C776)='BK NL'!$M$11),"x","")</f>
        <v/>
      </c>
    </row>
    <row r="777" spans="1:33" ht="15.75" customHeight="1">
      <c r="A777" s="398" t="str">
        <f>IF(B777&lt;&gt;"",IF(AND(B777&gt;=_TM1,B777&lt;=_TM2,OR(TH!N777="1111",TH!O777="1111")),TH!D777,""),"")</f>
        <v/>
      </c>
      <c r="B777" s="63" t="str">
        <f t="shared" si="50"/>
        <v/>
      </c>
      <c r="C777" s="64"/>
      <c r="D777" s="64"/>
      <c r="E777" s="64"/>
      <c r="F777" s="67"/>
      <c r="G777" s="375"/>
      <c r="H777" s="405"/>
      <c r="I777" s="516"/>
      <c r="J777" s="516"/>
      <c r="K777" s="508"/>
      <c r="L777" s="516"/>
      <c r="M777" s="391"/>
      <c r="N777" s="365"/>
      <c r="O777" s="66"/>
      <c r="P777" s="86" t="str">
        <f>IF(AND('331-CT'!$E$7=TH!H777,OR(N777="331",O777="331")),"x","")</f>
        <v/>
      </c>
      <c r="Q777" s="86" t="str">
        <f>IF(AND($B777&gt;='111'!$N$11,$B777&lt;='111'!$O$11,OR($N777=$Q$7,$O777=$Q$7)),"x","")</f>
        <v/>
      </c>
      <c r="R777" s="86" t="str">
        <f>IF(AND($N777=$Q$7,$B777&lt;'111'!$N$11),"x","")</f>
        <v/>
      </c>
      <c r="S777" s="86" t="str">
        <f>IF(AND($O777=$Q$7,$B777&lt;'111'!$N$11),"x","")</f>
        <v/>
      </c>
      <c r="T777" s="86" t="str">
        <f>IF(AND($B777&gt;='112'!$M$9,$B777&lt;='112'!$N$9,OR($N777='112'!$I$6,$O777='112'!$I$6)),"x","")</f>
        <v/>
      </c>
      <c r="U777" s="86" t="str">
        <f>IF(AND($N777='112'!$I$6,$B777&lt;'112'!$M$9),"x","")</f>
        <v/>
      </c>
      <c r="V777" s="86" t="str">
        <f>IF(AND($O777='112'!$I$6,$B777&lt;'112'!$M$9),"x","")</f>
        <v/>
      </c>
      <c r="W777" s="86" t="str">
        <f>IF(AND('131-CT'!$H$9=TH!H777,OR(N777="131",O777="131")),"x","")</f>
        <v/>
      </c>
      <c r="X777" s="86" t="str">
        <f>IF(AND($B777&gt;='1331'!$I$9,$B777&lt;='1331'!$J$9,OR($N777=$X$7,$O777=$X$7)),"x","")</f>
        <v/>
      </c>
      <c r="Y777" s="86" t="str">
        <f>IF(AND($N777=$X$7,$B777&lt;'1331'!$I$9),"x","")</f>
        <v/>
      </c>
      <c r="Z777" s="86" t="str">
        <f>IF(AND($O777=$X$7,$B777&lt;'1331'!$I$9),"x","")</f>
        <v/>
      </c>
      <c r="AA777" s="86" t="str">
        <f>IF(AND('341-CT'!$H$9=H777,OR(LEFT(N777,3)=$AA$7,LEFT(O777,3)=$AA$7)),"x","")</f>
        <v/>
      </c>
      <c r="AB777" s="86" t="str">
        <f>IF(OR(TH!N777=TH!$AB$7,O777=TH!$AB$7),"x","")</f>
        <v/>
      </c>
      <c r="AC777" s="86" t="str">
        <f t="shared" si="49"/>
        <v/>
      </c>
      <c r="AD777" s="86" t="str">
        <f>IF(AND(MONTH(E777)&lt;='IN-NX'!$P$3,'IN-NX'!$D$7=D777,OR(LEFT(TH!N777,2)="15",LEFT(TH!O777,2)="15")),"x","")</f>
        <v/>
      </c>
      <c r="AE777" s="86" t="str">
        <f>IF(AND(OR(LEFT(TH!N777,2)="15",LEFT(TH!O777,2)="15"),'152-CT'!$J$8=TH!F777),"x","")</f>
        <v/>
      </c>
      <c r="AF777" s="86" t="str">
        <f>IF(AND(OR(LEFT(TH!N777,2)="15",LEFT(TH!O777,2)="15"),'THE KHO'!$E$7=TH!F777),"x","")</f>
        <v/>
      </c>
      <c r="AG777" s="86" t="str">
        <f>IF(AND(N777="1521",MONTH(C777)='BK NL'!$M$11),"x","")</f>
        <v/>
      </c>
    </row>
    <row r="778" spans="1:33" ht="15.75" customHeight="1">
      <c r="A778" s="398" t="str">
        <f>IF(B778&lt;&gt;"",IF(AND(B778&gt;=_TM1,B778&lt;=_TM2,OR(TH!N778="1111",TH!O778="1111")),TH!D778,""),"")</f>
        <v/>
      </c>
      <c r="B778" s="63" t="str">
        <f t="shared" si="50"/>
        <v/>
      </c>
      <c r="C778" s="64"/>
      <c r="D778" s="64"/>
      <c r="E778" s="64"/>
      <c r="F778" s="67"/>
      <c r="G778" s="375"/>
      <c r="H778" s="405"/>
      <c r="I778" s="516"/>
      <c r="J778" s="516"/>
      <c r="K778" s="508"/>
      <c r="L778" s="516"/>
      <c r="M778" s="65"/>
      <c r="N778" s="365"/>
      <c r="O778" s="66"/>
      <c r="P778" s="86" t="str">
        <f>IF(AND('331-CT'!$E$7=TH!H778,OR(N778="331",O778="331")),"x","")</f>
        <v/>
      </c>
      <c r="Q778" s="86" t="str">
        <f>IF(AND($B778&gt;='111'!$N$11,$B778&lt;='111'!$O$11,OR($N778=$Q$7,$O778=$Q$7)),"x","")</f>
        <v/>
      </c>
      <c r="R778" s="86" t="str">
        <f>IF(AND($N778=$Q$7,$B778&lt;'111'!$N$11),"x","")</f>
        <v/>
      </c>
      <c r="S778" s="86" t="str">
        <f>IF(AND($O778=$Q$7,$B778&lt;'111'!$N$11),"x","")</f>
        <v/>
      </c>
      <c r="T778" s="86" t="str">
        <f>IF(AND($B778&gt;='112'!$M$9,$B778&lt;='112'!$N$9,OR($N778='112'!$I$6,$O778='112'!$I$6)),"x","")</f>
        <v/>
      </c>
      <c r="U778" s="86" t="str">
        <f>IF(AND($N778='112'!$I$6,$B778&lt;'112'!$M$9),"x","")</f>
        <v/>
      </c>
      <c r="V778" s="86" t="str">
        <f>IF(AND($O778='112'!$I$6,$B778&lt;'112'!$M$9),"x","")</f>
        <v/>
      </c>
      <c r="W778" s="86" t="str">
        <f>IF(AND('131-CT'!$H$9=TH!H778,OR(N778="131",O778="131")),"x","")</f>
        <v/>
      </c>
      <c r="X778" s="86" t="str">
        <f>IF(AND($B778&gt;='1331'!$I$9,$B778&lt;='1331'!$J$9,OR($N778=$X$7,$O778=$X$7)),"x","")</f>
        <v/>
      </c>
      <c r="Y778" s="86" t="str">
        <f>IF(AND($N778=$X$7,$B778&lt;'1331'!$I$9),"x","")</f>
        <v/>
      </c>
      <c r="Z778" s="86" t="str">
        <f>IF(AND($O778=$X$7,$B778&lt;'1331'!$I$9),"x","")</f>
        <v/>
      </c>
      <c r="AA778" s="86" t="str">
        <f>IF(AND('341-CT'!$H$9=H778,OR(LEFT(N778,3)=$AA$7,LEFT(O778,3)=$AA$7)),"x","")</f>
        <v/>
      </c>
      <c r="AB778" s="86" t="str">
        <f>IF(OR(TH!N778=TH!$AB$7,O778=TH!$AB$7),"x","")</f>
        <v/>
      </c>
      <c r="AC778" s="86" t="str">
        <f t="shared" si="49"/>
        <v/>
      </c>
      <c r="AD778" s="86" t="str">
        <f>IF(AND(MONTH(E778)&lt;='IN-NX'!$P$3,'IN-NX'!$D$7=D778,OR(LEFT(TH!N778,2)="15",LEFT(TH!O778,2)="15")),"x","")</f>
        <v/>
      </c>
      <c r="AE778" s="86" t="str">
        <f>IF(AND(OR(LEFT(TH!N778,2)="15",LEFT(TH!O778,2)="15"),'152-CT'!$J$8=TH!F778),"x","")</f>
        <v/>
      </c>
      <c r="AF778" s="86" t="str">
        <f>IF(AND(OR(LEFT(TH!N778,2)="15",LEFT(TH!O778,2)="15"),'THE KHO'!$E$7=TH!F778),"x","")</f>
        <v/>
      </c>
      <c r="AG778" s="86" t="str">
        <f>IF(AND(N778="1521",MONTH(C778)='BK NL'!$M$11),"x","")</f>
        <v/>
      </c>
    </row>
    <row r="779" spans="1:33" ht="15.75" customHeight="1">
      <c r="A779" s="398" t="str">
        <f>IF(B779&lt;&gt;"",IF(AND(B779&gt;=_TM1,B779&lt;=_TM2,OR(TH!N779="1111",TH!O779="1111")),TH!D779,""),"")</f>
        <v/>
      </c>
      <c r="B779" s="63" t="str">
        <f t="shared" si="50"/>
        <v/>
      </c>
      <c r="C779" s="64"/>
      <c r="D779" s="64"/>
      <c r="E779" s="64"/>
      <c r="F779" s="67"/>
      <c r="G779" s="375"/>
      <c r="H779" s="74"/>
      <c r="I779" s="515"/>
      <c r="J779" s="515"/>
      <c r="K779" s="507"/>
      <c r="L779" s="515"/>
      <c r="M779" s="65"/>
      <c r="N779" s="66"/>
      <c r="O779" s="66"/>
      <c r="P779" s="86" t="str">
        <f>IF(AND('331-CT'!$E$7=TH!H779,OR(N779="331",O779="331")),"x","")</f>
        <v/>
      </c>
      <c r="Q779" s="86" t="str">
        <f>IF(AND($B779&gt;='111'!$N$11,$B779&lt;='111'!$O$11,OR($N779=$Q$7,$O779=$Q$7)),"x","")</f>
        <v/>
      </c>
      <c r="R779" s="86" t="str">
        <f>IF(AND($N779=$Q$7,$B779&lt;'111'!$N$11),"x","")</f>
        <v/>
      </c>
      <c r="S779" s="86" t="str">
        <f>IF(AND($O779=$Q$7,$B779&lt;'111'!$N$11),"x","")</f>
        <v/>
      </c>
      <c r="T779" s="86" t="str">
        <f>IF(AND($B779&gt;='112'!$M$9,$B779&lt;='112'!$N$9,OR($N779='112'!$I$6,$O779='112'!$I$6)),"x","")</f>
        <v/>
      </c>
      <c r="U779" s="86" t="str">
        <f>IF(AND($N779='112'!$I$6,$B779&lt;'112'!$M$9),"x","")</f>
        <v/>
      </c>
      <c r="V779" s="86" t="str">
        <f>IF(AND($O779='112'!$I$6,$B779&lt;'112'!$M$9),"x","")</f>
        <v/>
      </c>
      <c r="W779" s="86" t="str">
        <f>IF(AND('131-CT'!$H$9=TH!H779,OR(N779="131",O779="131")),"x","")</f>
        <v/>
      </c>
      <c r="X779" s="86" t="str">
        <f>IF(AND($B779&gt;='1331'!$I$9,$B779&lt;='1331'!$J$9,OR($N779=$X$7,$O779=$X$7)),"x","")</f>
        <v/>
      </c>
      <c r="Y779" s="86" t="str">
        <f>IF(AND($N779=$X$7,$B779&lt;'1331'!$I$9),"x","")</f>
        <v/>
      </c>
      <c r="Z779" s="86" t="str">
        <f>IF(AND($O779=$X$7,$B779&lt;'1331'!$I$9),"x","")</f>
        <v/>
      </c>
      <c r="AA779" s="86" t="str">
        <f>IF(AND('341-CT'!$H$9=H779,OR(LEFT(N779,3)=$AA$7,LEFT(O779,3)=$AA$7)),"x","")</f>
        <v/>
      </c>
      <c r="AB779" s="86" t="str">
        <f>IF(OR(TH!N779=TH!$AB$7,O779=TH!$AB$7),"x","")</f>
        <v/>
      </c>
      <c r="AC779" s="86" t="str">
        <f t="shared" si="49"/>
        <v/>
      </c>
      <c r="AD779" s="86" t="str">
        <f>IF(AND(MONTH(E779)&lt;='IN-NX'!$P$3,'IN-NX'!$D$7=D779,OR(LEFT(TH!N779,2)="15",LEFT(TH!O779,2)="15")),"x","")</f>
        <v/>
      </c>
      <c r="AE779" s="86" t="str">
        <f>IF(AND(OR(LEFT(TH!N779,2)="15",LEFT(TH!O779,2)="15"),'152-CT'!$J$8=TH!F779),"x","")</f>
        <v/>
      </c>
      <c r="AF779" s="86" t="str">
        <f>IF(AND(OR(LEFT(TH!N779,2)="15",LEFT(TH!O779,2)="15"),'THE KHO'!$E$7=TH!F779),"x","")</f>
        <v/>
      </c>
      <c r="AG779" s="86" t="str">
        <f>IF(AND(N779="1521",MONTH(C779)='BK NL'!$M$11),"x","")</f>
        <v/>
      </c>
    </row>
    <row r="780" spans="1:33" ht="15.75" customHeight="1">
      <c r="A780" s="398" t="str">
        <f>IF(B780&lt;&gt;"",IF(AND(B780&gt;=_TM1,B780&lt;=_TM2,OR(TH!N780="1111",TH!O780="1111")),TH!D780,""),"")</f>
        <v/>
      </c>
      <c r="B780" s="63" t="str">
        <f t="shared" si="50"/>
        <v/>
      </c>
      <c r="C780" s="64"/>
      <c r="D780" s="64"/>
      <c r="E780" s="64"/>
      <c r="F780" s="67"/>
      <c r="G780" s="375"/>
      <c r="H780" s="74"/>
      <c r="I780" s="515"/>
      <c r="J780" s="515"/>
      <c r="K780" s="507"/>
      <c r="L780" s="515"/>
      <c r="M780" s="65"/>
      <c r="N780" s="66"/>
      <c r="O780" s="66"/>
      <c r="P780" s="86" t="str">
        <f>IF(AND('331-CT'!$E$7=TH!H780,OR(N780="331",O780="331")),"x","")</f>
        <v/>
      </c>
      <c r="Q780" s="86" t="str">
        <f>IF(AND($B780&gt;='111'!$N$11,$B780&lt;='111'!$O$11,OR($N780=$Q$7,$O780=$Q$7)),"x","")</f>
        <v/>
      </c>
      <c r="R780" s="86" t="str">
        <f>IF(AND($N780=$Q$7,$B780&lt;'111'!$N$11),"x","")</f>
        <v/>
      </c>
      <c r="S780" s="86" t="str">
        <f>IF(AND($O780=$Q$7,$B780&lt;'111'!$N$11),"x","")</f>
        <v/>
      </c>
      <c r="T780" s="86" t="str">
        <f>IF(AND($B780&gt;='112'!$M$9,$B780&lt;='112'!$N$9,OR($N780='112'!$I$6,$O780='112'!$I$6)),"x","")</f>
        <v/>
      </c>
      <c r="U780" s="86" t="str">
        <f>IF(AND($N780='112'!$I$6,$B780&lt;'112'!$M$9),"x","")</f>
        <v/>
      </c>
      <c r="V780" s="86" t="str">
        <f>IF(AND($O780='112'!$I$6,$B780&lt;'112'!$M$9),"x","")</f>
        <v/>
      </c>
      <c r="W780" s="86" t="str">
        <f>IF(AND('131-CT'!$H$9=TH!H780,OR(N780="131",O780="131")),"x","")</f>
        <v/>
      </c>
      <c r="X780" s="86" t="str">
        <f>IF(AND($B780&gt;='1331'!$I$9,$B780&lt;='1331'!$J$9,OR($N780=$X$7,$O780=$X$7)),"x","")</f>
        <v/>
      </c>
      <c r="Y780" s="86" t="str">
        <f>IF(AND($N780=$X$7,$B780&lt;'1331'!$I$9),"x","")</f>
        <v/>
      </c>
      <c r="Z780" s="86" t="str">
        <f>IF(AND($O780=$X$7,$B780&lt;'1331'!$I$9),"x","")</f>
        <v/>
      </c>
      <c r="AA780" s="86" t="str">
        <f>IF(AND('341-CT'!$H$9=H780,OR(LEFT(N780,3)=$AA$7,LEFT(O780,3)=$AA$7)),"x","")</f>
        <v/>
      </c>
      <c r="AB780" s="86" t="str">
        <f>IF(OR(TH!N780=TH!$AB$7,O780=TH!$AB$7),"x","")</f>
        <v/>
      </c>
      <c r="AC780" s="86" t="str">
        <f t="shared" si="49"/>
        <v/>
      </c>
      <c r="AD780" s="86" t="str">
        <f>IF(AND(MONTH(E780)&lt;='IN-NX'!$P$3,'IN-NX'!$D$7=D780,OR(LEFT(TH!N780,2)="15",LEFT(TH!O780,2)="15")),"x","")</f>
        <v/>
      </c>
      <c r="AE780" s="86" t="str">
        <f>IF(AND(OR(LEFT(TH!N780,2)="15",LEFT(TH!O780,2)="15"),'152-CT'!$J$8=TH!F780),"x","")</f>
        <v/>
      </c>
      <c r="AF780" s="86" t="str">
        <f>IF(AND(OR(LEFT(TH!N780,2)="15",LEFT(TH!O780,2)="15"),'THE KHO'!$E$7=TH!F780),"x","")</f>
        <v/>
      </c>
      <c r="AG780" s="86" t="str">
        <f>IF(AND(N780="1521",MONTH(C780)='BK NL'!$M$11),"x","")</f>
        <v/>
      </c>
    </row>
    <row r="781" spans="1:33" ht="15.75" customHeight="1">
      <c r="A781" s="398" t="str">
        <f>IF(B781&lt;&gt;"",IF(AND(B781&gt;=_TM1,B781&lt;=_TM2,OR(TH!N781="1111",TH!O781="1111")),TH!D781,""),"")</f>
        <v/>
      </c>
      <c r="B781" s="63" t="str">
        <f t="shared" si="50"/>
        <v/>
      </c>
      <c r="C781" s="64"/>
      <c r="D781" s="64"/>
      <c r="E781" s="64"/>
      <c r="F781" s="67"/>
      <c r="G781" s="375"/>
      <c r="H781" s="74"/>
      <c r="I781" s="515"/>
      <c r="J781" s="515"/>
      <c r="K781" s="507"/>
      <c r="L781" s="515"/>
      <c r="M781" s="65"/>
      <c r="N781" s="66"/>
      <c r="O781" s="66"/>
      <c r="P781" s="86" t="str">
        <f>IF(AND('331-CT'!$E$7=TH!H781,OR(N781="331",O781="331")),"x","")</f>
        <v/>
      </c>
      <c r="Q781" s="86" t="str">
        <f>IF(AND($B781&gt;='111'!$N$11,$B781&lt;='111'!$O$11,OR($N781=$Q$7,$O781=$Q$7)),"x","")</f>
        <v/>
      </c>
      <c r="R781" s="86" t="str">
        <f>IF(AND($N781=$Q$7,$B781&lt;'111'!$N$11),"x","")</f>
        <v/>
      </c>
      <c r="S781" s="86" t="str">
        <f>IF(AND($O781=$Q$7,$B781&lt;'111'!$N$11),"x","")</f>
        <v/>
      </c>
      <c r="T781" s="86" t="str">
        <f>IF(AND($B781&gt;='112'!$M$9,$B781&lt;='112'!$N$9,OR($N781='112'!$I$6,$O781='112'!$I$6)),"x","")</f>
        <v/>
      </c>
      <c r="U781" s="86" t="str">
        <f>IF(AND($N781='112'!$I$6,$B781&lt;'112'!$M$9),"x","")</f>
        <v/>
      </c>
      <c r="V781" s="86" t="str">
        <f>IF(AND($O781='112'!$I$6,$B781&lt;'112'!$M$9),"x","")</f>
        <v/>
      </c>
      <c r="W781" s="86" t="str">
        <f>IF(AND('131-CT'!$H$9=TH!H781,OR(N781="131",O781="131")),"x","")</f>
        <v/>
      </c>
      <c r="X781" s="86" t="str">
        <f>IF(AND($B781&gt;='1331'!$I$9,$B781&lt;='1331'!$J$9,OR($N781=$X$7,$O781=$X$7)),"x","")</f>
        <v/>
      </c>
      <c r="Y781" s="86" t="str">
        <f>IF(AND($N781=$X$7,$B781&lt;'1331'!$I$9),"x","")</f>
        <v/>
      </c>
      <c r="Z781" s="86" t="str">
        <f>IF(AND($O781=$X$7,$B781&lt;'1331'!$I$9),"x","")</f>
        <v/>
      </c>
      <c r="AA781" s="86" t="str">
        <f>IF(AND('341-CT'!$H$9=H781,OR(LEFT(N781,3)=$AA$7,LEFT(O781,3)=$AA$7)),"x","")</f>
        <v/>
      </c>
      <c r="AB781" s="86" t="str">
        <f>IF(OR(TH!N781=TH!$AB$7,O781=TH!$AB$7),"x","")</f>
        <v/>
      </c>
      <c r="AC781" s="86" t="str">
        <f t="shared" si="49"/>
        <v/>
      </c>
      <c r="AD781" s="86" t="str">
        <f>IF(AND(MONTH(E781)&lt;='IN-NX'!$P$3,'IN-NX'!$D$7=D781,OR(LEFT(TH!N781,2)="15",LEFT(TH!O781,2)="15")),"x","")</f>
        <v/>
      </c>
      <c r="AE781" s="86" t="str">
        <f>IF(AND(OR(LEFT(TH!N781,2)="15",LEFT(TH!O781,2)="15"),'152-CT'!$J$8=TH!F781),"x","")</f>
        <v/>
      </c>
      <c r="AF781" s="86" t="str">
        <f>IF(AND(OR(LEFT(TH!N781,2)="15",LEFT(TH!O781,2)="15"),'THE KHO'!$E$7=TH!F781),"x","")</f>
        <v/>
      </c>
      <c r="AG781" s="86" t="str">
        <f>IF(AND(N781="1521",MONTH(C781)='BK NL'!$M$11),"x","")</f>
        <v/>
      </c>
    </row>
    <row r="782" spans="1:33" ht="15.75" customHeight="1">
      <c r="A782" s="398" t="str">
        <f>IF(B782&lt;&gt;"",IF(AND(B782&gt;=_TM1,B782&lt;=_TM2,OR(TH!N782="1111",TH!O782="1111")),TH!D782,""),"")</f>
        <v/>
      </c>
      <c r="B782" s="63" t="str">
        <f t="shared" si="50"/>
        <v/>
      </c>
      <c r="C782" s="64"/>
      <c r="D782" s="64"/>
      <c r="E782" s="362"/>
      <c r="F782" s="363"/>
      <c r="G782" s="361"/>
      <c r="H782" s="74"/>
      <c r="I782" s="515"/>
      <c r="J782" s="515"/>
      <c r="K782" s="507"/>
      <c r="L782" s="515"/>
      <c r="M782" s="65"/>
      <c r="N782" s="365"/>
      <c r="O782" s="365"/>
      <c r="P782" s="86" t="str">
        <f>IF(AND('331-CT'!$E$7=TH!H782,OR(N782="331",O782="331")),"x","")</f>
        <v/>
      </c>
      <c r="Q782" s="86" t="str">
        <f>IF(AND($B782&gt;='111'!$N$11,$B782&lt;='111'!$O$11,OR($N782=$Q$7,$O782=$Q$7)),"x","")</f>
        <v/>
      </c>
      <c r="R782" s="86" t="str">
        <f>IF(AND($N782=$Q$7,$B782&lt;'111'!$N$11),"x","")</f>
        <v/>
      </c>
      <c r="S782" s="86" t="str">
        <f>IF(AND($O782=$Q$7,$B782&lt;'111'!$N$11),"x","")</f>
        <v/>
      </c>
      <c r="T782" s="86" t="str">
        <f>IF(AND($B782&gt;='112'!$M$9,$B782&lt;='112'!$N$9,OR($N782='112'!$I$6,$O782='112'!$I$6)),"x","")</f>
        <v/>
      </c>
      <c r="U782" s="86" t="str">
        <f>IF(AND($N782='112'!$I$6,$B782&lt;'112'!$M$9),"x","")</f>
        <v/>
      </c>
      <c r="V782" s="86" t="str">
        <f>IF(AND($O782='112'!$I$6,$B782&lt;'112'!$M$9),"x","")</f>
        <v/>
      </c>
      <c r="W782" s="86" t="str">
        <f>IF(AND('131-CT'!$H$9=TH!H782,OR(N782="131",O782="131")),"x","")</f>
        <v/>
      </c>
      <c r="X782" s="86" t="str">
        <f>IF(AND($B782&gt;='1331'!$I$9,$B782&lt;='1331'!$J$9,OR($N782=$X$7,$O782=$X$7)),"x","")</f>
        <v/>
      </c>
      <c r="Y782" s="86" t="str">
        <f>IF(AND($N782=$X$7,$B782&lt;'1331'!$I$9),"x","")</f>
        <v/>
      </c>
      <c r="Z782" s="86" t="str">
        <f>IF(AND($O782=$X$7,$B782&lt;'1331'!$I$9),"x","")</f>
        <v/>
      </c>
      <c r="AA782" s="86" t="str">
        <f>IF(AND('341-CT'!$H$9=H782,OR(LEFT(N782,3)=$AA$7,LEFT(O782,3)=$AA$7)),"x","")</f>
        <v/>
      </c>
      <c r="AB782" s="86" t="str">
        <f>IF(OR(TH!N782=TH!$AB$7,O782=TH!$AB$7),"x","")</f>
        <v/>
      </c>
      <c r="AC782" s="86" t="str">
        <f t="shared" si="49"/>
        <v/>
      </c>
      <c r="AD782" s="86" t="str">
        <f>IF(AND(MONTH(E782)&lt;='IN-NX'!$P$3,'IN-NX'!$D$7=D782,OR(LEFT(TH!N782,2)="15",LEFT(TH!O782,2)="15")),"x","")</f>
        <v/>
      </c>
      <c r="AE782" s="86" t="str">
        <f>IF(AND(OR(LEFT(TH!N782,2)="15",LEFT(TH!O782,2)="15"),'152-CT'!$J$8=TH!F782),"x","")</f>
        <v/>
      </c>
      <c r="AF782" s="86" t="str">
        <f>IF(AND(OR(LEFT(TH!N782,2)="15",LEFT(TH!O782,2)="15"),'THE KHO'!$E$7=TH!F782),"x","")</f>
        <v/>
      </c>
      <c r="AG782" s="86" t="str">
        <f>IF(AND(N782="1521",MONTH(C782)='BK NL'!$M$11),"x","")</f>
        <v/>
      </c>
    </row>
    <row r="783" spans="1:33" ht="15.75" customHeight="1">
      <c r="A783" s="398" t="str">
        <f>IF(B783&lt;&gt;"",IF(AND(B783&gt;=_TM1,B783&lt;=_TM2,OR(TH!N783="1111",TH!O783="1111")),TH!D783,""),"")</f>
        <v/>
      </c>
      <c r="B783" s="63" t="str">
        <f t="shared" si="50"/>
        <v/>
      </c>
      <c r="C783" s="64"/>
      <c r="D783" s="362"/>
      <c r="E783" s="362"/>
      <c r="F783" s="363"/>
      <c r="G783" s="390"/>
      <c r="H783" s="364"/>
      <c r="I783" s="515"/>
      <c r="J783" s="515"/>
      <c r="K783" s="507"/>
      <c r="L783" s="515"/>
      <c r="M783" s="65"/>
      <c r="N783" s="365"/>
      <c r="O783" s="365"/>
      <c r="P783" s="86" t="str">
        <f>IF(AND('331-CT'!$E$7=TH!H783,OR(N783="331",O783="331")),"x","")</f>
        <v/>
      </c>
      <c r="Q783" s="86" t="str">
        <f>IF(AND($B783&gt;='111'!$N$11,$B783&lt;='111'!$O$11,OR($N783=$Q$7,$O783=$Q$7)),"x","")</f>
        <v/>
      </c>
      <c r="R783" s="86" t="str">
        <f>IF(AND($N783=$Q$7,$B783&lt;'111'!$N$11),"x","")</f>
        <v/>
      </c>
      <c r="S783" s="86" t="str">
        <f>IF(AND($O783=$Q$7,$B783&lt;'111'!$N$11),"x","")</f>
        <v/>
      </c>
      <c r="T783" s="86" t="str">
        <f>IF(AND($B783&gt;='112'!$M$9,$B783&lt;='112'!$N$9,OR($N783='112'!$I$6,$O783='112'!$I$6)),"x","")</f>
        <v/>
      </c>
      <c r="U783" s="86" t="str">
        <f>IF(AND($N783='112'!$I$6,$B783&lt;'112'!$M$9),"x","")</f>
        <v/>
      </c>
      <c r="V783" s="86" t="str">
        <f>IF(AND($O783='112'!$I$6,$B783&lt;'112'!$M$9),"x","")</f>
        <v/>
      </c>
      <c r="W783" s="86" t="str">
        <f>IF(AND('131-CT'!$H$9=TH!H783,OR(N783="131",O783="131")),"x","")</f>
        <v/>
      </c>
      <c r="X783" s="86" t="str">
        <f>IF(AND($B783&gt;='1331'!$I$9,$B783&lt;='1331'!$J$9,OR($N783=$X$7,$O783=$X$7)),"x","")</f>
        <v/>
      </c>
      <c r="Y783" s="86" t="str">
        <f>IF(AND($N783=$X$7,$B783&lt;'1331'!$I$9),"x","")</f>
        <v/>
      </c>
      <c r="Z783" s="86" t="str">
        <f>IF(AND($O783=$X$7,$B783&lt;'1331'!$I$9),"x","")</f>
        <v/>
      </c>
      <c r="AA783" s="86" t="str">
        <f>IF(AND('341-CT'!$H$9=H783,OR(LEFT(N783,3)=$AA$7,LEFT(O783,3)=$AA$7)),"x","")</f>
        <v/>
      </c>
      <c r="AB783" s="86" t="str">
        <f>IF(OR(TH!N783=TH!$AB$7,O783=TH!$AB$7),"x","")</f>
        <v/>
      </c>
      <c r="AC783" s="86" t="str">
        <f t="shared" si="49"/>
        <v/>
      </c>
      <c r="AD783" s="86" t="str">
        <f>IF(AND(MONTH(E783)&lt;='IN-NX'!$P$3,'IN-NX'!$D$7=D783,OR(LEFT(TH!N783,2)="15",LEFT(TH!O783,2)="15")),"x","")</f>
        <v/>
      </c>
      <c r="AE783" s="86" t="str">
        <f>IF(AND(OR(LEFT(TH!N783,2)="15",LEFT(TH!O783,2)="15"),'152-CT'!$J$8=TH!F783),"x","")</f>
        <v/>
      </c>
      <c r="AF783" s="86" t="str">
        <f>IF(AND(OR(LEFT(TH!N783,2)="15",LEFT(TH!O783,2)="15"),'THE KHO'!$E$7=TH!F783),"x","")</f>
        <v/>
      </c>
      <c r="AG783" s="86" t="str">
        <f>IF(AND(N783="1521",MONTH(C783)='BK NL'!$M$11),"x","")</f>
        <v/>
      </c>
    </row>
    <row r="784" spans="1:33" ht="15.75" customHeight="1">
      <c r="A784" s="398" t="str">
        <f>IF(B784&lt;&gt;"",IF(AND(B784&gt;=_TM1,B784&lt;=_TM2,OR(TH!N784="1111",TH!O784="1111")),TH!D784,""),"")</f>
        <v/>
      </c>
      <c r="B784" s="63" t="str">
        <f t="shared" si="50"/>
        <v/>
      </c>
      <c r="C784" s="64"/>
      <c r="D784" s="362"/>
      <c r="E784" s="362"/>
      <c r="F784" s="363"/>
      <c r="G784" s="390"/>
      <c r="H784" s="364"/>
      <c r="I784" s="515"/>
      <c r="J784" s="515"/>
      <c r="K784" s="507"/>
      <c r="L784" s="515"/>
      <c r="M784" s="65"/>
      <c r="N784" s="365"/>
      <c r="O784" s="365"/>
      <c r="P784" s="86" t="str">
        <f>IF(AND('331-CT'!$E$7=TH!H784,OR(N784="331",O784="331")),"x","")</f>
        <v/>
      </c>
      <c r="Q784" s="86" t="str">
        <f>IF(AND($B784&gt;='111'!$N$11,$B784&lt;='111'!$O$11,OR($N784=$Q$7,$O784=$Q$7)),"x","")</f>
        <v/>
      </c>
      <c r="R784" s="86" t="str">
        <f>IF(AND($N784=$Q$7,$B784&lt;'111'!$N$11),"x","")</f>
        <v/>
      </c>
      <c r="S784" s="86" t="str">
        <f>IF(AND($O784=$Q$7,$B784&lt;'111'!$N$11),"x","")</f>
        <v/>
      </c>
      <c r="T784" s="86" t="str">
        <f>IF(AND($B784&gt;='112'!$M$9,$B784&lt;='112'!$N$9,OR($N784='112'!$I$6,$O784='112'!$I$6)),"x","")</f>
        <v/>
      </c>
      <c r="U784" s="86" t="str">
        <f>IF(AND($N784='112'!$I$6,$B784&lt;'112'!$M$9),"x","")</f>
        <v/>
      </c>
      <c r="V784" s="86" t="str">
        <f>IF(AND($O784='112'!$I$6,$B784&lt;'112'!$M$9),"x","")</f>
        <v/>
      </c>
      <c r="W784" s="86" t="str">
        <f>IF(AND('131-CT'!$H$9=TH!H784,OR(N784="131",O784="131")),"x","")</f>
        <v/>
      </c>
      <c r="X784" s="86" t="str">
        <f>IF(AND($B784&gt;='1331'!$I$9,$B784&lt;='1331'!$J$9,OR($N784=$X$7,$O784=$X$7)),"x","")</f>
        <v/>
      </c>
      <c r="Y784" s="86" t="str">
        <f>IF(AND($N784=$X$7,$B784&lt;'1331'!$I$9),"x","")</f>
        <v/>
      </c>
      <c r="Z784" s="86" t="str">
        <f>IF(AND($O784=$X$7,$B784&lt;'1331'!$I$9),"x","")</f>
        <v/>
      </c>
      <c r="AA784" s="86" t="str">
        <f>IF(AND('341-CT'!$H$9=H784,OR(LEFT(N784,3)=$AA$7,LEFT(O784,3)=$AA$7)),"x","")</f>
        <v/>
      </c>
      <c r="AB784" s="86" t="str">
        <f>IF(OR(TH!N784=TH!$AB$7,O784=TH!$AB$7),"x","")</f>
        <v/>
      </c>
      <c r="AC784" s="86" t="str">
        <f t="shared" si="49"/>
        <v/>
      </c>
      <c r="AD784" s="86" t="str">
        <f>IF(AND(MONTH(E784)&lt;='IN-NX'!$P$3,'IN-NX'!$D$7=D784,OR(LEFT(TH!N784,2)="15",LEFT(TH!O784,2)="15")),"x","")</f>
        <v/>
      </c>
      <c r="AE784" s="86" t="str">
        <f>IF(AND(OR(LEFT(TH!N784,2)="15",LEFT(TH!O784,2)="15"),'152-CT'!$J$8=TH!F784),"x","")</f>
        <v/>
      </c>
      <c r="AF784" s="86" t="str">
        <f>IF(AND(OR(LEFT(TH!N784,2)="15",LEFT(TH!O784,2)="15"),'THE KHO'!$E$7=TH!F784),"x","")</f>
        <v/>
      </c>
      <c r="AG784" s="86" t="str">
        <f>IF(AND(N784="1521",MONTH(C784)='BK NL'!$M$11),"x","")</f>
        <v/>
      </c>
    </row>
    <row r="785" spans="1:33" ht="15.75" customHeight="1">
      <c r="A785" s="398" t="str">
        <f>IF(B785&lt;&gt;"",IF(AND(B785&gt;=_TM1,B785&lt;=_TM2,OR(TH!N785="1111",TH!O785="1111")),TH!D785,""),"")</f>
        <v/>
      </c>
      <c r="B785" s="63" t="str">
        <f t="shared" si="50"/>
        <v/>
      </c>
      <c r="C785" s="64"/>
      <c r="D785" s="362"/>
      <c r="E785" s="362"/>
      <c r="F785" s="363"/>
      <c r="G785" s="390"/>
      <c r="H785" s="364"/>
      <c r="I785" s="515"/>
      <c r="J785" s="515"/>
      <c r="K785" s="507"/>
      <c r="L785" s="515"/>
      <c r="M785" s="65"/>
      <c r="N785" s="365"/>
      <c r="O785" s="365"/>
      <c r="P785" s="86" t="str">
        <f>IF(AND('331-CT'!$E$7=TH!H785,OR(N785="331",O785="331")),"x","")</f>
        <v/>
      </c>
      <c r="Q785" s="86" t="str">
        <f>IF(AND($B785&gt;='111'!$N$11,$B785&lt;='111'!$O$11,OR($N785=$Q$7,$O785=$Q$7)),"x","")</f>
        <v/>
      </c>
      <c r="R785" s="86" t="str">
        <f>IF(AND($N785=$Q$7,$B785&lt;'111'!$N$11),"x","")</f>
        <v/>
      </c>
      <c r="S785" s="86" t="str">
        <f>IF(AND($O785=$Q$7,$B785&lt;'111'!$N$11),"x","")</f>
        <v/>
      </c>
      <c r="T785" s="86" t="str">
        <f>IF(AND($B785&gt;='112'!$M$9,$B785&lt;='112'!$N$9,OR($N785='112'!$I$6,$O785='112'!$I$6)),"x","")</f>
        <v/>
      </c>
      <c r="U785" s="86" t="str">
        <f>IF(AND($N785='112'!$I$6,$B785&lt;'112'!$M$9),"x","")</f>
        <v/>
      </c>
      <c r="V785" s="86" t="str">
        <f>IF(AND($O785='112'!$I$6,$B785&lt;'112'!$M$9),"x","")</f>
        <v/>
      </c>
      <c r="W785" s="86" t="str">
        <f>IF(AND('131-CT'!$H$9=TH!H785,OR(N785="131",O785="131")),"x","")</f>
        <v/>
      </c>
      <c r="X785" s="86" t="str">
        <f>IF(AND($B785&gt;='1331'!$I$9,$B785&lt;='1331'!$J$9,OR($N785=$X$7,$O785=$X$7)),"x","")</f>
        <v/>
      </c>
      <c r="Y785" s="86" t="str">
        <f>IF(AND($N785=$X$7,$B785&lt;'1331'!$I$9),"x","")</f>
        <v/>
      </c>
      <c r="Z785" s="86" t="str">
        <f>IF(AND($O785=$X$7,$B785&lt;'1331'!$I$9),"x","")</f>
        <v/>
      </c>
      <c r="AA785" s="86" t="str">
        <f>IF(AND('341-CT'!$H$9=H785,OR(LEFT(N785,3)=$AA$7,LEFT(O785,3)=$AA$7)),"x","")</f>
        <v/>
      </c>
      <c r="AB785" s="86" t="str">
        <f>IF(OR(TH!N785=TH!$AB$7,O785=TH!$AB$7),"x","")</f>
        <v/>
      </c>
      <c r="AC785" s="86" t="str">
        <f t="shared" si="49"/>
        <v/>
      </c>
      <c r="AD785" s="86" t="str">
        <f>IF(AND(MONTH(E785)&lt;='IN-NX'!$P$3,'IN-NX'!$D$7=D785,OR(LEFT(TH!N785,2)="15",LEFT(TH!O785,2)="15")),"x","")</f>
        <v/>
      </c>
      <c r="AE785" s="86" t="str">
        <f>IF(AND(OR(LEFT(TH!N785,2)="15",LEFT(TH!O785,2)="15"),'152-CT'!$J$8=TH!F785),"x","")</f>
        <v/>
      </c>
      <c r="AF785" s="86" t="str">
        <f>IF(AND(OR(LEFT(TH!N785,2)="15",LEFT(TH!O785,2)="15"),'THE KHO'!$E$7=TH!F785),"x","")</f>
        <v/>
      </c>
      <c r="AG785" s="86" t="str">
        <f>IF(AND(N785="1521",MONTH(C785)='BK NL'!$M$11),"x","")</f>
        <v/>
      </c>
    </row>
    <row r="786" spans="1:33" ht="15.75" customHeight="1">
      <c r="A786" s="398" t="str">
        <f>IF(B786&lt;&gt;"",IF(AND(B786&gt;=_TM1,B786&lt;=_TM2,OR(TH!N786="1111",TH!O786="1111")),TH!D786,""),"")</f>
        <v/>
      </c>
      <c r="B786" s="63" t="str">
        <f t="shared" si="50"/>
        <v/>
      </c>
      <c r="C786" s="64"/>
      <c r="D786" s="362"/>
      <c r="E786" s="362"/>
      <c r="F786" s="363"/>
      <c r="G786" s="390"/>
      <c r="H786" s="364"/>
      <c r="I786" s="515"/>
      <c r="J786" s="515"/>
      <c r="K786" s="507"/>
      <c r="L786" s="515"/>
      <c r="M786" s="65"/>
      <c r="N786" s="365"/>
      <c r="O786" s="365"/>
      <c r="P786" s="86" t="str">
        <f>IF(AND('331-CT'!$E$7=TH!H786,OR(N786="331",O786="331")),"x","")</f>
        <v/>
      </c>
      <c r="Q786" s="86" t="str">
        <f>IF(AND($B786&gt;='111'!$N$11,$B786&lt;='111'!$O$11,OR($N786=$Q$7,$O786=$Q$7)),"x","")</f>
        <v/>
      </c>
      <c r="R786" s="86" t="str">
        <f>IF(AND($N786=$Q$7,$B786&lt;'111'!$N$11),"x","")</f>
        <v/>
      </c>
      <c r="S786" s="86" t="str">
        <f>IF(AND($O786=$Q$7,$B786&lt;'111'!$N$11),"x","")</f>
        <v/>
      </c>
      <c r="T786" s="86" t="str">
        <f>IF(AND($B786&gt;='112'!$M$9,$B786&lt;='112'!$N$9,OR($N786='112'!$I$6,$O786='112'!$I$6)),"x","")</f>
        <v/>
      </c>
      <c r="U786" s="86" t="str">
        <f>IF(AND($N786='112'!$I$6,$B786&lt;'112'!$M$9),"x","")</f>
        <v/>
      </c>
      <c r="V786" s="86" t="str">
        <f>IF(AND($O786='112'!$I$6,$B786&lt;'112'!$M$9),"x","")</f>
        <v/>
      </c>
      <c r="W786" s="86" t="str">
        <f>IF(AND('131-CT'!$H$9=TH!H786,OR(N786="131",O786="131")),"x","")</f>
        <v/>
      </c>
      <c r="X786" s="86" t="str">
        <f>IF(AND($B786&gt;='1331'!$I$9,$B786&lt;='1331'!$J$9,OR($N786=$X$7,$O786=$X$7)),"x","")</f>
        <v/>
      </c>
      <c r="Y786" s="86" t="str">
        <f>IF(AND($N786=$X$7,$B786&lt;'1331'!$I$9),"x","")</f>
        <v/>
      </c>
      <c r="Z786" s="86" t="str">
        <f>IF(AND($O786=$X$7,$B786&lt;'1331'!$I$9),"x","")</f>
        <v/>
      </c>
      <c r="AA786" s="86" t="str">
        <f>IF(AND('341-CT'!$H$9=H786,OR(LEFT(N786,3)=$AA$7,LEFT(O786,3)=$AA$7)),"x","")</f>
        <v/>
      </c>
      <c r="AB786" s="86" t="str">
        <f>IF(OR(TH!N786=TH!$AB$7,O786=TH!$AB$7),"x","")</f>
        <v/>
      </c>
      <c r="AC786" s="86" t="str">
        <f t="shared" si="49"/>
        <v/>
      </c>
      <c r="AD786" s="86" t="str">
        <f>IF(AND(MONTH(E786)&lt;='IN-NX'!$P$3,'IN-NX'!$D$7=D786,OR(LEFT(TH!N786,2)="15",LEFT(TH!O786,2)="15")),"x","")</f>
        <v/>
      </c>
      <c r="AE786" s="86" t="str">
        <f>IF(AND(OR(LEFT(TH!N786,2)="15",LEFT(TH!O786,2)="15"),'152-CT'!$J$8=TH!F786),"x","")</f>
        <v/>
      </c>
      <c r="AF786" s="86" t="str">
        <f>IF(AND(OR(LEFT(TH!N786,2)="15",LEFT(TH!O786,2)="15"),'THE KHO'!$E$7=TH!F786),"x","")</f>
        <v/>
      </c>
      <c r="AG786" s="86" t="str">
        <f>IF(AND(N786="1521",MONTH(C786)='BK NL'!$M$11),"x","")</f>
        <v/>
      </c>
    </row>
    <row r="787" spans="1:33" ht="15.75" customHeight="1">
      <c r="A787" s="398" t="str">
        <f>IF(B787&lt;&gt;"",IF(AND(B787&gt;=_TM1,B787&lt;=_TM2,OR(TH!N787="1111",TH!O787="1111")),TH!D787,""),"")</f>
        <v/>
      </c>
      <c r="B787" s="63" t="str">
        <f t="shared" si="50"/>
        <v/>
      </c>
      <c r="C787" s="64"/>
      <c r="D787" s="362"/>
      <c r="E787" s="362"/>
      <c r="F787" s="363"/>
      <c r="G787" s="390"/>
      <c r="H787" s="364"/>
      <c r="I787" s="515"/>
      <c r="J787" s="515"/>
      <c r="K787" s="507"/>
      <c r="L787" s="515"/>
      <c r="M787" s="65"/>
      <c r="N787" s="365"/>
      <c r="O787" s="365"/>
      <c r="P787" s="86" t="str">
        <f>IF(AND('331-CT'!$E$7=TH!H787,OR(N787="331",O787="331")),"x","")</f>
        <v/>
      </c>
      <c r="Q787" s="86" t="str">
        <f>IF(AND($B787&gt;='111'!$N$11,$B787&lt;='111'!$O$11,OR($N787=$Q$7,$O787=$Q$7)),"x","")</f>
        <v/>
      </c>
      <c r="R787" s="86" t="str">
        <f>IF(AND($N787=$Q$7,$B787&lt;'111'!$N$11),"x","")</f>
        <v/>
      </c>
      <c r="S787" s="86" t="str">
        <f>IF(AND($O787=$Q$7,$B787&lt;'111'!$N$11),"x","")</f>
        <v/>
      </c>
      <c r="T787" s="86" t="str">
        <f>IF(AND($B787&gt;='112'!$M$9,$B787&lt;='112'!$N$9,OR($N787='112'!$I$6,$O787='112'!$I$6)),"x","")</f>
        <v/>
      </c>
      <c r="U787" s="86" t="str">
        <f>IF(AND($N787='112'!$I$6,$B787&lt;'112'!$M$9),"x","")</f>
        <v/>
      </c>
      <c r="V787" s="86" t="str">
        <f>IF(AND($O787='112'!$I$6,$B787&lt;'112'!$M$9),"x","")</f>
        <v/>
      </c>
      <c r="W787" s="86" t="str">
        <f>IF(AND('131-CT'!$H$9=TH!H787,OR(N787="131",O787="131")),"x","")</f>
        <v/>
      </c>
      <c r="X787" s="86" t="str">
        <f>IF(AND($B787&gt;='1331'!$I$9,$B787&lt;='1331'!$J$9,OR($N787=$X$7,$O787=$X$7)),"x","")</f>
        <v/>
      </c>
      <c r="Y787" s="86" t="str">
        <f>IF(AND($N787=$X$7,$B787&lt;'1331'!$I$9),"x","")</f>
        <v/>
      </c>
      <c r="Z787" s="86" t="str">
        <f>IF(AND($O787=$X$7,$B787&lt;'1331'!$I$9),"x","")</f>
        <v/>
      </c>
      <c r="AA787" s="86" t="str">
        <f>IF(AND('341-CT'!$H$9=H787,OR(LEFT(N787,3)=$AA$7,LEFT(O787,3)=$AA$7)),"x","")</f>
        <v/>
      </c>
      <c r="AB787" s="86" t="str">
        <f>IF(OR(TH!N787=TH!$AB$7,O787=TH!$AB$7),"x","")</f>
        <v/>
      </c>
      <c r="AC787" s="86" t="str">
        <f t="shared" si="49"/>
        <v/>
      </c>
      <c r="AD787" s="86" t="str">
        <f>IF(AND(MONTH(E787)&lt;='IN-NX'!$P$3,'IN-NX'!$D$7=D787,OR(LEFT(TH!N787,2)="15",LEFT(TH!O787,2)="15")),"x","")</f>
        <v/>
      </c>
      <c r="AE787" s="86" t="str">
        <f>IF(AND(OR(LEFT(TH!N787,2)="15",LEFT(TH!O787,2)="15"),'152-CT'!$J$8=TH!F787),"x","")</f>
        <v/>
      </c>
      <c r="AF787" s="86" t="str">
        <f>IF(AND(OR(LEFT(TH!N787,2)="15",LEFT(TH!O787,2)="15"),'THE KHO'!$E$7=TH!F787),"x","")</f>
        <v/>
      </c>
      <c r="AG787" s="86" t="str">
        <f>IF(AND(N787="1521",MONTH(C787)='BK NL'!$M$11),"x","")</f>
        <v/>
      </c>
    </row>
    <row r="788" spans="1:33" ht="15.75" customHeight="1">
      <c r="A788" s="398" t="str">
        <f>IF(B788&lt;&gt;"",IF(AND(B788&gt;=_TM1,B788&lt;=_TM2,OR(TH!N788="1111",TH!O788="1111")),TH!D788,""),"")</f>
        <v/>
      </c>
      <c r="B788" s="63" t="str">
        <f t="shared" si="50"/>
        <v/>
      </c>
      <c r="C788" s="64"/>
      <c r="D788" s="362"/>
      <c r="E788" s="362"/>
      <c r="F788" s="363"/>
      <c r="G788" s="390"/>
      <c r="H788" s="364"/>
      <c r="I788" s="515"/>
      <c r="J788" s="515"/>
      <c r="K788" s="507"/>
      <c r="L788" s="515"/>
      <c r="M788" s="65"/>
      <c r="N788" s="365"/>
      <c r="O788" s="365"/>
      <c r="P788" s="86" t="str">
        <f>IF(AND('331-CT'!$E$7=TH!H788,OR(N788="331",O788="331")),"x","")</f>
        <v/>
      </c>
      <c r="Q788" s="86" t="str">
        <f>IF(AND($B788&gt;='111'!$N$11,$B788&lt;='111'!$O$11,OR($N788=$Q$7,$O788=$Q$7)),"x","")</f>
        <v/>
      </c>
      <c r="R788" s="86" t="str">
        <f>IF(AND($N788=$Q$7,$B788&lt;'111'!$N$11),"x","")</f>
        <v/>
      </c>
      <c r="S788" s="86" t="str">
        <f>IF(AND($O788=$Q$7,$B788&lt;'111'!$N$11),"x","")</f>
        <v/>
      </c>
      <c r="T788" s="86" t="str">
        <f>IF(AND($B788&gt;='112'!$M$9,$B788&lt;='112'!$N$9,OR($N788='112'!$I$6,$O788='112'!$I$6)),"x","")</f>
        <v/>
      </c>
      <c r="U788" s="86" t="str">
        <f>IF(AND($N788='112'!$I$6,$B788&lt;'112'!$M$9),"x","")</f>
        <v/>
      </c>
      <c r="V788" s="86" t="str">
        <f>IF(AND($O788='112'!$I$6,$B788&lt;'112'!$M$9),"x","")</f>
        <v/>
      </c>
      <c r="W788" s="86" t="str">
        <f>IF(AND('131-CT'!$H$9=TH!H788,OR(N788="131",O788="131")),"x","")</f>
        <v/>
      </c>
      <c r="X788" s="86" t="str">
        <f>IF(AND($B788&gt;='1331'!$I$9,$B788&lt;='1331'!$J$9,OR($N788=$X$7,$O788=$X$7)),"x","")</f>
        <v/>
      </c>
      <c r="Y788" s="86" t="str">
        <f>IF(AND($N788=$X$7,$B788&lt;'1331'!$I$9),"x","")</f>
        <v/>
      </c>
      <c r="Z788" s="86" t="str">
        <f>IF(AND($O788=$X$7,$B788&lt;'1331'!$I$9),"x","")</f>
        <v/>
      </c>
      <c r="AA788" s="86" t="str">
        <f>IF(AND('341-CT'!$H$9=H788,OR(LEFT(N788,3)=$AA$7,LEFT(O788,3)=$AA$7)),"x","")</f>
        <v/>
      </c>
      <c r="AB788" s="86" t="str">
        <f>IF(OR(TH!N788=TH!$AB$7,O788=TH!$AB$7),"x","")</f>
        <v/>
      </c>
      <c r="AC788" s="86" t="str">
        <f t="shared" si="49"/>
        <v/>
      </c>
      <c r="AD788" s="86" t="str">
        <f>IF(AND(MONTH(E788)&lt;='IN-NX'!$P$3,'IN-NX'!$D$7=D788,OR(LEFT(TH!N788,2)="15",LEFT(TH!O788,2)="15")),"x","")</f>
        <v/>
      </c>
      <c r="AE788" s="86" t="str">
        <f>IF(AND(OR(LEFT(TH!N788,2)="15",LEFT(TH!O788,2)="15"),'152-CT'!$J$8=TH!F788),"x","")</f>
        <v/>
      </c>
      <c r="AF788" s="86" t="str">
        <f>IF(AND(OR(LEFT(TH!N788,2)="15",LEFT(TH!O788,2)="15"),'THE KHO'!$E$7=TH!F788),"x","")</f>
        <v/>
      </c>
      <c r="AG788" s="86" t="str">
        <f>IF(AND(N788="1521",MONTH(C788)='BK NL'!$M$11),"x","")</f>
        <v/>
      </c>
    </row>
    <row r="789" spans="1:33" ht="15.75" customHeight="1">
      <c r="A789" s="398" t="str">
        <f>IF(B789&lt;&gt;"",IF(AND(B789&gt;=_TM1,B789&lt;=_TM2,OR(TH!N789="1111",TH!O789="1111")),TH!D789,""),"")</f>
        <v/>
      </c>
      <c r="B789" s="63" t="str">
        <f t="shared" si="50"/>
        <v/>
      </c>
      <c r="C789" s="64"/>
      <c r="D789" s="362"/>
      <c r="E789" s="362"/>
      <c r="F789" s="363"/>
      <c r="G789" s="390"/>
      <c r="H789" s="364"/>
      <c r="I789" s="515"/>
      <c r="J789" s="515"/>
      <c r="K789" s="507"/>
      <c r="L789" s="515"/>
      <c r="M789" s="65"/>
      <c r="N789" s="365"/>
      <c r="O789" s="365"/>
      <c r="P789" s="86" t="str">
        <f>IF(AND('331-CT'!$E$7=TH!H789,OR(N789="331",O789="331")),"x","")</f>
        <v/>
      </c>
      <c r="Q789" s="86" t="str">
        <f>IF(AND($B789&gt;='111'!$N$11,$B789&lt;='111'!$O$11,OR($N789=$Q$7,$O789=$Q$7)),"x","")</f>
        <v/>
      </c>
      <c r="R789" s="86" t="str">
        <f>IF(AND($N789=$Q$7,$B789&lt;'111'!$N$11),"x","")</f>
        <v/>
      </c>
      <c r="S789" s="86" t="str">
        <f>IF(AND($O789=$Q$7,$B789&lt;'111'!$N$11),"x","")</f>
        <v/>
      </c>
      <c r="T789" s="86" t="str">
        <f>IF(AND($B789&gt;='112'!$M$9,$B789&lt;='112'!$N$9,OR($N789='112'!$I$6,$O789='112'!$I$6)),"x","")</f>
        <v/>
      </c>
      <c r="U789" s="86" t="str">
        <f>IF(AND($N789='112'!$I$6,$B789&lt;'112'!$M$9),"x","")</f>
        <v/>
      </c>
      <c r="V789" s="86" t="str">
        <f>IF(AND($O789='112'!$I$6,$B789&lt;'112'!$M$9),"x","")</f>
        <v/>
      </c>
      <c r="W789" s="86" t="str">
        <f>IF(AND('131-CT'!$H$9=TH!H789,OR(N789="131",O789="131")),"x","")</f>
        <v/>
      </c>
      <c r="X789" s="86" t="str">
        <f>IF(AND($B789&gt;='1331'!$I$9,$B789&lt;='1331'!$J$9,OR($N789=$X$7,$O789=$X$7)),"x","")</f>
        <v/>
      </c>
      <c r="Y789" s="86" t="str">
        <f>IF(AND($N789=$X$7,$B789&lt;'1331'!$I$9),"x","")</f>
        <v/>
      </c>
      <c r="Z789" s="86" t="str">
        <f>IF(AND($O789=$X$7,$B789&lt;'1331'!$I$9),"x","")</f>
        <v/>
      </c>
      <c r="AA789" s="86" t="str">
        <f>IF(AND('341-CT'!$H$9=H789,OR(LEFT(N789,3)=$AA$7,LEFT(O789,3)=$AA$7)),"x","")</f>
        <v/>
      </c>
      <c r="AB789" s="86" t="str">
        <f>IF(OR(TH!N789=TH!$AB$7,O789=TH!$AB$7),"x","")</f>
        <v/>
      </c>
      <c r="AC789" s="86" t="str">
        <f t="shared" si="49"/>
        <v/>
      </c>
      <c r="AD789" s="86" t="str">
        <f>IF(AND(MONTH(E789)&lt;='IN-NX'!$P$3,'IN-NX'!$D$7=D789,OR(LEFT(TH!N789,2)="15",LEFT(TH!O789,2)="15")),"x","")</f>
        <v/>
      </c>
      <c r="AE789" s="86" t="str">
        <f>IF(AND(OR(LEFT(TH!N789,2)="15",LEFT(TH!O789,2)="15"),'152-CT'!$J$8=TH!F789),"x","")</f>
        <v/>
      </c>
      <c r="AF789" s="86" t="str">
        <f>IF(AND(OR(LEFT(TH!N789,2)="15",LEFT(TH!O789,2)="15"),'THE KHO'!$E$7=TH!F789),"x","")</f>
        <v/>
      </c>
      <c r="AG789" s="86" t="str">
        <f>IF(AND(N789="1521",MONTH(C789)='BK NL'!$M$11),"x","")</f>
        <v/>
      </c>
    </row>
    <row r="790" spans="1:33" ht="15.75" customHeight="1">
      <c r="A790" s="398" t="str">
        <f>IF(B790&lt;&gt;"",IF(AND(B790&gt;=_TM1,B790&lt;=_TM2,OR(TH!N790="1111",TH!O790="1111")),TH!D790,""),"")</f>
        <v/>
      </c>
      <c r="B790" s="63" t="str">
        <f>IF(C790&lt;&gt;"",MONTH(C790),"")</f>
        <v/>
      </c>
      <c r="C790" s="64"/>
      <c r="D790" s="64"/>
      <c r="E790" s="64"/>
      <c r="F790" s="67"/>
      <c r="G790" s="375"/>
      <c r="H790" s="74"/>
      <c r="I790" s="515"/>
      <c r="J790" s="515"/>
      <c r="K790" s="507"/>
      <c r="L790" s="515"/>
      <c r="M790" s="65"/>
      <c r="N790" s="365"/>
      <c r="O790" s="66"/>
      <c r="P790" s="86" t="str">
        <f>IF(AND('331-CT'!$E$7=TH!H790,OR(N790="331",O790="331")),"x","")</f>
        <v/>
      </c>
      <c r="Q790" s="86" t="str">
        <f>IF(AND($B790&gt;='111'!$N$11,$B790&lt;='111'!$O$11,OR($N790=$Q$7,$O790=$Q$7)),"x","")</f>
        <v/>
      </c>
      <c r="R790" s="86" t="str">
        <f>IF(AND($N790=$Q$7,$B790&lt;'111'!$N$11),"x","")</f>
        <v/>
      </c>
      <c r="S790" s="86" t="str">
        <f>IF(AND($O790=$Q$7,$B790&lt;'111'!$N$11),"x","")</f>
        <v/>
      </c>
      <c r="T790" s="86" t="str">
        <f>IF(AND($B790&gt;='112'!$M$9,$B790&lt;='112'!$N$9,OR($N790='112'!$I$6,$O790='112'!$I$6)),"x","")</f>
        <v/>
      </c>
      <c r="U790" s="86" t="str">
        <f>IF(AND($N790='112'!$I$6,$B790&lt;'112'!$M$9),"x","")</f>
        <v/>
      </c>
      <c r="V790" s="86" t="str">
        <f>IF(AND($O790='112'!$I$6,$B790&lt;'112'!$M$9),"x","")</f>
        <v/>
      </c>
      <c r="W790" s="86" t="str">
        <f>IF(AND('131-CT'!$H$9=TH!H790,OR(N790="131",O790="131")),"x","")</f>
        <v/>
      </c>
      <c r="X790" s="86" t="str">
        <f>IF(AND($B790&gt;='1331'!$I$9,$B790&lt;='1331'!$J$9,OR($N790=$X$7,$O790=$X$7)),"x","")</f>
        <v/>
      </c>
      <c r="Y790" s="86" t="str">
        <f>IF(AND($N790=$X$7,$B790&lt;'1331'!$I$9),"x","")</f>
        <v/>
      </c>
      <c r="Z790" s="86" t="str">
        <f>IF(AND($O790=$X$7,$B790&lt;'1331'!$I$9),"x","")</f>
        <v/>
      </c>
      <c r="AA790" s="86" t="str">
        <f>IF(AND('341-CT'!$H$9=H790,OR(LEFT(N790,3)=$AA$7,LEFT(O790,3)=$AA$7)),"x","")</f>
        <v/>
      </c>
      <c r="AB790" s="86" t="str">
        <f>IF(OR(TH!N790=TH!$AB$7,O790=TH!$AB$7),"x","")</f>
        <v/>
      </c>
      <c r="AC790" s="86" t="str">
        <f t="shared" si="49"/>
        <v/>
      </c>
      <c r="AD790" s="86" t="str">
        <f>IF(AND(MONTH(E790)&lt;='IN-NX'!$P$3,'IN-NX'!$D$7=D790,OR(LEFT(TH!N790,2)="15",LEFT(TH!O790,2)="15")),"x","")</f>
        <v/>
      </c>
      <c r="AE790" s="86" t="str">
        <f>IF(AND(OR(LEFT(TH!N790,2)="15",LEFT(TH!O790,2)="15"),'152-CT'!$J$8=TH!F790),"x","")</f>
        <v/>
      </c>
      <c r="AF790" s="86" t="str">
        <f>IF(AND(OR(LEFT(TH!N790,2)="15",LEFT(TH!O790,2)="15"),'THE KHO'!$E$7=TH!F790),"x","")</f>
        <v/>
      </c>
      <c r="AG790" s="86" t="str">
        <f>IF(AND(N790="1521",MONTH(C790)='BK NL'!$M$11),"x","")</f>
        <v/>
      </c>
    </row>
    <row r="791" spans="1:33" ht="15.75" customHeight="1">
      <c r="A791" s="398" t="str">
        <f>IF(B791&lt;&gt;"",IF(AND(B791&gt;=_TM1,B791&lt;=_TM2,OR(TH!N791="1111",TH!O791="1111")),TH!D791,""),"")</f>
        <v/>
      </c>
      <c r="B791" s="63" t="str">
        <f>IF(C791&lt;&gt;"",MONTH(C791),"")</f>
        <v/>
      </c>
      <c r="C791" s="64"/>
      <c r="D791" s="64"/>
      <c r="E791" s="64"/>
      <c r="F791" s="67"/>
      <c r="G791" s="375"/>
      <c r="H791" s="74"/>
      <c r="I791" s="515"/>
      <c r="J791" s="515"/>
      <c r="K791" s="507"/>
      <c r="L791" s="515"/>
      <c r="M791" s="65"/>
      <c r="N791" s="365"/>
      <c r="O791" s="66"/>
      <c r="P791" s="86" t="str">
        <f>IF(AND('331-CT'!$E$7=TH!H791,OR(N791="331",O791="331")),"x","")</f>
        <v/>
      </c>
      <c r="Q791" s="86" t="str">
        <f>IF(AND($B791&gt;='111'!$N$11,$B791&lt;='111'!$O$11,OR($N791=$Q$7,$O791=$Q$7)),"x","")</f>
        <v/>
      </c>
      <c r="R791" s="86" t="str">
        <f>IF(AND($N791=$Q$7,$B791&lt;'111'!$N$11),"x","")</f>
        <v/>
      </c>
      <c r="S791" s="86" t="str">
        <f>IF(AND($O791=$Q$7,$B791&lt;'111'!$N$11),"x","")</f>
        <v/>
      </c>
      <c r="T791" s="86" t="str">
        <f>IF(AND($B791&gt;='112'!$M$9,$B791&lt;='112'!$N$9,OR($N791='112'!$I$6,$O791='112'!$I$6)),"x","")</f>
        <v/>
      </c>
      <c r="U791" s="86" t="str">
        <f>IF(AND($N791='112'!$I$6,$B791&lt;'112'!$M$9),"x","")</f>
        <v/>
      </c>
      <c r="V791" s="86" t="str">
        <f>IF(AND($O791='112'!$I$6,$B791&lt;'112'!$M$9),"x","")</f>
        <v/>
      </c>
      <c r="W791" s="86" t="str">
        <f>IF(AND('131-CT'!$H$9=TH!H791,OR(N791="131",O791="131")),"x","")</f>
        <v/>
      </c>
      <c r="X791" s="86" t="str">
        <f>IF(AND($B791&gt;='1331'!$I$9,$B791&lt;='1331'!$J$9,OR($N791=$X$7,$O791=$X$7)),"x","")</f>
        <v/>
      </c>
      <c r="Y791" s="86" t="str">
        <f>IF(AND($N791=$X$7,$B791&lt;'1331'!$I$9),"x","")</f>
        <v/>
      </c>
      <c r="Z791" s="86" t="str">
        <f>IF(AND($O791=$X$7,$B791&lt;'1331'!$I$9),"x","")</f>
        <v/>
      </c>
      <c r="AA791" s="86" t="str">
        <f>IF(AND('341-CT'!$H$9=H791,OR(LEFT(N791,3)=$AA$7,LEFT(O791,3)=$AA$7)),"x","")</f>
        <v/>
      </c>
      <c r="AB791" s="86" t="str">
        <f>IF(OR(TH!N791=TH!$AB$7,O791=TH!$AB$7),"x","")</f>
        <v/>
      </c>
      <c r="AC791" s="86" t="str">
        <f t="shared" si="49"/>
        <v/>
      </c>
      <c r="AD791" s="86" t="str">
        <f>IF(AND(MONTH(E791)&lt;='IN-NX'!$P$3,'IN-NX'!$D$7=D791,OR(LEFT(TH!N791,2)="15",LEFT(TH!O791,2)="15")),"x","")</f>
        <v/>
      </c>
      <c r="AE791" s="86" t="str">
        <f>IF(AND(OR(LEFT(TH!N791,2)="15",LEFT(TH!O791,2)="15"),'152-CT'!$J$8=TH!F791),"x","")</f>
        <v/>
      </c>
      <c r="AF791" s="86" t="str">
        <f>IF(AND(OR(LEFT(TH!N791,2)="15",LEFT(TH!O791,2)="15"),'THE KHO'!$E$7=TH!F791),"x","")</f>
        <v/>
      </c>
      <c r="AG791" s="86" t="str">
        <f>IF(AND(N791="1521",MONTH(C791)='BK NL'!$M$11),"x","")</f>
        <v/>
      </c>
    </row>
    <row r="792" spans="1:33" ht="15.75" customHeight="1">
      <c r="A792" s="398" t="str">
        <f>IF(B792&lt;&gt;"",IF(AND(B792&gt;=_TM1,B792&lt;=_TM2,OR(TH!N792="1111",TH!O792="1111")),TH!D792,""),"")</f>
        <v/>
      </c>
      <c r="B792" s="63" t="str">
        <f t="shared" si="50"/>
        <v/>
      </c>
      <c r="C792" s="64"/>
      <c r="D792" s="362"/>
      <c r="E792" s="362"/>
      <c r="F792" s="67"/>
      <c r="G792" s="361"/>
      <c r="H792" s="74"/>
      <c r="I792" s="515"/>
      <c r="J792" s="515"/>
      <c r="K792" s="507"/>
      <c r="L792" s="515"/>
      <c r="M792" s="65"/>
      <c r="N792" s="66"/>
      <c r="O792" s="66"/>
      <c r="P792" s="86" t="str">
        <f>IF(AND('331-CT'!$E$7=TH!H792,OR(N792="331",O792="331")),"x","")</f>
        <v/>
      </c>
      <c r="Q792" s="86" t="str">
        <f>IF(AND($B792&gt;='111'!$N$11,$B792&lt;='111'!$O$11,OR($N792=$Q$7,$O792=$Q$7)),"x","")</f>
        <v/>
      </c>
      <c r="R792" s="86" t="str">
        <f>IF(AND($N792=$Q$7,$B792&lt;'111'!$N$11),"x","")</f>
        <v/>
      </c>
      <c r="S792" s="86" t="str">
        <f>IF(AND($O792=$Q$7,$B792&lt;'111'!$N$11),"x","")</f>
        <v/>
      </c>
      <c r="T792" s="86" t="str">
        <f>IF(AND($B792&gt;='112'!$M$9,$B792&lt;='112'!$N$9,OR($N792='112'!$I$6,$O792='112'!$I$6)),"x","")</f>
        <v/>
      </c>
      <c r="U792" s="86" t="str">
        <f>IF(AND($N792='112'!$I$6,$B792&lt;'112'!$M$9),"x","")</f>
        <v/>
      </c>
      <c r="V792" s="86" t="str">
        <f>IF(AND($O792='112'!$I$6,$B792&lt;'112'!$M$9),"x","")</f>
        <v/>
      </c>
      <c r="W792" s="86" t="str">
        <f>IF(AND('131-CT'!$H$9=TH!H792,OR(N792="131",O792="131")),"x","")</f>
        <v/>
      </c>
      <c r="X792" s="86" t="str">
        <f>IF(AND($B792&gt;='1331'!$I$9,$B792&lt;='1331'!$J$9,OR($N792=$X$7,$O792=$X$7)),"x","")</f>
        <v/>
      </c>
      <c r="Y792" s="86" t="str">
        <f>IF(AND($N792=$X$7,$B792&lt;'1331'!$I$9),"x","")</f>
        <v/>
      </c>
      <c r="Z792" s="86" t="str">
        <f>IF(AND($O792=$X$7,$B792&lt;'1331'!$I$9),"x","")</f>
        <v/>
      </c>
      <c r="AA792" s="86" t="str">
        <f>IF(AND('341-CT'!$H$9=H792,OR(LEFT(N792,3)=$AA$7,LEFT(O792,3)=$AA$7)),"x","")</f>
        <v/>
      </c>
      <c r="AB792" s="86" t="str">
        <f>IF(OR(TH!N792=TH!$AB$7,O792=TH!$AB$7),"x","")</f>
        <v/>
      </c>
      <c r="AC792" s="86" t="str">
        <f t="shared" si="49"/>
        <v/>
      </c>
      <c r="AD792" s="86" t="str">
        <f>IF(AND(MONTH(E792)&lt;='IN-NX'!$P$3,'IN-NX'!$D$7=D792,OR(LEFT(TH!N792,2)="15",LEFT(TH!O792,2)="15")),"x","")</f>
        <v/>
      </c>
      <c r="AE792" s="86" t="str">
        <f>IF(AND(OR(LEFT(TH!N792,2)="15",LEFT(TH!O792,2)="15"),'152-CT'!$J$8=TH!F792),"x","")</f>
        <v/>
      </c>
      <c r="AF792" s="86" t="str">
        <f>IF(AND(OR(LEFT(TH!N792,2)="15",LEFT(TH!O792,2)="15"),'THE KHO'!$E$7=TH!F792),"x","")</f>
        <v/>
      </c>
      <c r="AG792" s="86" t="str">
        <f>IF(AND(N792="1521",MONTH(C792)='BK NL'!$M$11),"x","")</f>
        <v/>
      </c>
    </row>
    <row r="793" spans="1:33" ht="15.75" customHeight="1">
      <c r="A793" s="398" t="str">
        <f>IF(B793&lt;&gt;"",IF(AND(B793&gt;=_TM1,B793&lt;=_TM2,OR(TH!N793="1111",TH!O793="1111")),TH!D793,""),"")</f>
        <v/>
      </c>
      <c r="B793" s="63" t="str">
        <f t="shared" si="50"/>
        <v/>
      </c>
      <c r="C793" s="64"/>
      <c r="D793" s="64"/>
      <c r="E793" s="64"/>
      <c r="F793" s="67"/>
      <c r="G793" s="375"/>
      <c r="H793" s="74"/>
      <c r="I793" s="515"/>
      <c r="J793" s="515"/>
      <c r="K793" s="507"/>
      <c r="L793" s="515"/>
      <c r="M793" s="65"/>
      <c r="N793" s="66"/>
      <c r="O793" s="66"/>
      <c r="P793" s="86" t="str">
        <f>IF(AND('331-CT'!$E$7=TH!H793,OR(N793="331",O793="331")),"x","")</f>
        <v/>
      </c>
      <c r="Q793" s="86" t="str">
        <f>IF(AND($B793&gt;='111'!$N$11,$B793&lt;='111'!$O$11,OR($N793=$Q$7,$O793=$Q$7)),"x","")</f>
        <v/>
      </c>
      <c r="R793" s="86" t="str">
        <f>IF(AND($N793=$Q$7,$B793&lt;'111'!$N$11),"x","")</f>
        <v/>
      </c>
      <c r="S793" s="86" t="str">
        <f>IF(AND($O793=$Q$7,$B793&lt;'111'!$N$11),"x","")</f>
        <v/>
      </c>
      <c r="T793" s="86" t="str">
        <f>IF(AND($B793&gt;='112'!$M$9,$B793&lt;='112'!$N$9,OR($N793='112'!$I$6,$O793='112'!$I$6)),"x","")</f>
        <v/>
      </c>
      <c r="U793" s="86" t="str">
        <f>IF(AND($N793='112'!$I$6,$B793&lt;'112'!$M$9),"x","")</f>
        <v/>
      </c>
      <c r="V793" s="86" t="str">
        <f>IF(AND($O793='112'!$I$6,$B793&lt;'112'!$M$9),"x","")</f>
        <v/>
      </c>
      <c r="W793" s="86" t="str">
        <f>IF(AND('131-CT'!$H$9=TH!H793,OR(N793="131",O793="131")),"x","")</f>
        <v/>
      </c>
      <c r="X793" s="86" t="str">
        <f>IF(AND($B793&gt;='1331'!$I$9,$B793&lt;='1331'!$J$9,OR($N793=$X$7,$O793=$X$7)),"x","")</f>
        <v/>
      </c>
      <c r="Y793" s="86" t="str">
        <f>IF(AND($N793=$X$7,$B793&lt;'1331'!$I$9),"x","")</f>
        <v/>
      </c>
      <c r="Z793" s="86" t="str">
        <f>IF(AND($O793=$X$7,$B793&lt;'1331'!$I$9),"x","")</f>
        <v/>
      </c>
      <c r="AA793" s="86" t="str">
        <f>IF(AND('341-CT'!$H$9=H793,OR(LEFT(N793,3)=$AA$7,LEFT(O793,3)=$AA$7)),"x","")</f>
        <v/>
      </c>
      <c r="AB793" s="86" t="str">
        <f>IF(OR(TH!N793=TH!$AB$7,O793=TH!$AB$7),"x","")</f>
        <v/>
      </c>
      <c r="AC793" s="86" t="str">
        <f t="shared" si="49"/>
        <v/>
      </c>
      <c r="AD793" s="86" t="str">
        <f>IF(AND(MONTH(E793)&lt;='IN-NX'!$P$3,'IN-NX'!$D$7=D793,OR(LEFT(TH!N793,2)="15",LEFT(TH!O793,2)="15")),"x","")</f>
        <v/>
      </c>
      <c r="AE793" s="86" t="str">
        <f>IF(AND(OR(LEFT(TH!N793,2)="15",LEFT(TH!O793,2)="15"),'152-CT'!$J$8=TH!F793),"x","")</f>
        <v/>
      </c>
      <c r="AF793" s="86" t="str">
        <f>IF(AND(OR(LEFT(TH!N793,2)="15",LEFT(TH!O793,2)="15"),'THE KHO'!$E$7=TH!F793),"x","")</f>
        <v/>
      </c>
      <c r="AG793" s="86" t="str">
        <f>IF(AND(N793="1521",MONTH(C793)='BK NL'!$M$11),"x","")</f>
        <v/>
      </c>
    </row>
    <row r="794" spans="1:33" ht="15.75" customHeight="1">
      <c r="A794" s="398" t="str">
        <f>IF(B794&lt;&gt;"",IF(AND(B794&gt;=_TM1,B794&lt;=_TM2,OR(TH!N794="1111",TH!O794="1111")),TH!D794,""),"")</f>
        <v/>
      </c>
      <c r="B794" s="63" t="str">
        <f t="shared" si="50"/>
        <v/>
      </c>
      <c r="C794" s="64"/>
      <c r="D794" s="64"/>
      <c r="E794" s="64"/>
      <c r="F794" s="67"/>
      <c r="G794" s="375"/>
      <c r="H794" s="74"/>
      <c r="I794" s="515"/>
      <c r="J794" s="515"/>
      <c r="K794" s="507"/>
      <c r="L794" s="515"/>
      <c r="M794" s="65"/>
      <c r="N794" s="66"/>
      <c r="O794" s="66"/>
      <c r="P794" s="86" t="str">
        <f>IF(AND('331-CT'!$E$7=TH!H794,OR(N794="331",O794="331")),"x","")</f>
        <v/>
      </c>
      <c r="Q794" s="86" t="str">
        <f>IF(AND($B794&gt;='111'!$N$11,$B794&lt;='111'!$O$11,OR($N794=$Q$7,$O794=$Q$7)),"x","")</f>
        <v/>
      </c>
      <c r="R794" s="86" t="str">
        <f>IF(AND($N794=$Q$7,$B794&lt;'111'!$N$11),"x","")</f>
        <v/>
      </c>
      <c r="S794" s="86" t="str">
        <f>IF(AND($O794=$Q$7,$B794&lt;'111'!$N$11),"x","")</f>
        <v/>
      </c>
      <c r="T794" s="86" t="str">
        <f>IF(AND($B794&gt;='112'!$M$9,$B794&lt;='112'!$N$9,OR($N794='112'!$I$6,$O794='112'!$I$6)),"x","")</f>
        <v/>
      </c>
      <c r="U794" s="86" t="str">
        <f>IF(AND($N794='112'!$I$6,$B794&lt;'112'!$M$9),"x","")</f>
        <v/>
      </c>
      <c r="V794" s="86" t="str">
        <f>IF(AND($O794='112'!$I$6,$B794&lt;'112'!$M$9),"x","")</f>
        <v/>
      </c>
      <c r="W794" s="86" t="str">
        <f>IF(AND('131-CT'!$H$9=TH!H794,OR(N794="131",O794="131")),"x","")</f>
        <v/>
      </c>
      <c r="X794" s="86" t="str">
        <f>IF(AND($B794&gt;='1331'!$I$9,$B794&lt;='1331'!$J$9,OR($N794=$X$7,$O794=$X$7)),"x","")</f>
        <v/>
      </c>
      <c r="Y794" s="86" t="str">
        <f>IF(AND($N794=$X$7,$B794&lt;'1331'!$I$9),"x","")</f>
        <v/>
      </c>
      <c r="Z794" s="86" t="str">
        <f>IF(AND($O794=$X$7,$B794&lt;'1331'!$I$9),"x","")</f>
        <v/>
      </c>
      <c r="AA794" s="86" t="str">
        <f>IF(AND('341-CT'!$H$9=H794,OR(LEFT(N794,3)=$AA$7,LEFT(O794,3)=$AA$7)),"x","")</f>
        <v/>
      </c>
      <c r="AB794" s="86" t="str">
        <f>IF(OR(TH!N794=TH!$AB$7,O794=TH!$AB$7),"x","")</f>
        <v/>
      </c>
      <c r="AC794" s="86" t="str">
        <f t="shared" si="49"/>
        <v/>
      </c>
      <c r="AD794" s="86" t="str">
        <f>IF(AND(MONTH(E794)&lt;='IN-NX'!$P$3,'IN-NX'!$D$7=D794,OR(LEFT(TH!N794,2)="15",LEFT(TH!O794,2)="15")),"x","")</f>
        <v/>
      </c>
      <c r="AE794" s="86" t="str">
        <f>IF(AND(OR(LEFT(TH!N794,2)="15",LEFT(TH!O794,2)="15"),'152-CT'!$J$8=TH!F794),"x","")</f>
        <v/>
      </c>
      <c r="AF794" s="86" t="str">
        <f>IF(AND(OR(LEFT(TH!N794,2)="15",LEFT(TH!O794,2)="15"),'THE KHO'!$E$7=TH!F794),"x","")</f>
        <v/>
      </c>
      <c r="AG794" s="86" t="str">
        <f>IF(AND(N794="1521",MONTH(C794)='BK NL'!$M$11),"x","")</f>
        <v/>
      </c>
    </row>
    <row r="795" spans="1:33" ht="15.75" customHeight="1">
      <c r="A795" s="398" t="str">
        <f>IF(B795&lt;&gt;"",IF(AND(B795&gt;=_TM1,B795&lt;=_TM2,OR(TH!N795="1111",TH!O795="1111")),TH!D795,""),"")</f>
        <v/>
      </c>
      <c r="B795" s="63" t="str">
        <f t="shared" ref="B795:B805" si="51">IF(C795&lt;&gt;"",MONTH(C795),"")</f>
        <v/>
      </c>
      <c r="C795" s="64"/>
      <c r="D795" s="64"/>
      <c r="E795" s="64"/>
      <c r="F795" s="67"/>
      <c r="G795" s="361"/>
      <c r="H795" s="74"/>
      <c r="I795" s="515"/>
      <c r="J795" s="515"/>
      <c r="K795" s="507"/>
      <c r="L795" s="515"/>
      <c r="M795" s="65"/>
      <c r="N795" s="66"/>
      <c r="O795" s="66"/>
      <c r="P795" s="86" t="str">
        <f>IF(AND('331-CT'!$E$7=TH!H795,OR(N795="331",O795="331")),"x","")</f>
        <v/>
      </c>
      <c r="Q795" s="86" t="str">
        <f>IF(AND($B795&gt;='111'!$N$11,$B795&lt;='111'!$O$11,OR($N795=$Q$7,$O795=$Q$7)),"x","")</f>
        <v/>
      </c>
      <c r="R795" s="86" t="str">
        <f>IF(AND($N795=$Q$7,$B795&lt;'111'!$N$11),"x","")</f>
        <v/>
      </c>
      <c r="S795" s="86" t="str">
        <f>IF(AND($O795=$Q$7,$B795&lt;'111'!$N$11),"x","")</f>
        <v/>
      </c>
      <c r="T795" s="86" t="str">
        <f>IF(AND($B795&gt;='112'!$M$9,$B795&lt;='112'!$N$9,OR($N795='112'!$I$6,$O795='112'!$I$6)),"x","")</f>
        <v/>
      </c>
      <c r="U795" s="86" t="str">
        <f>IF(AND($N795='112'!$I$6,$B795&lt;'112'!$M$9),"x","")</f>
        <v/>
      </c>
      <c r="V795" s="86" t="str">
        <f>IF(AND($O795='112'!$I$6,$B795&lt;'112'!$M$9),"x","")</f>
        <v/>
      </c>
      <c r="W795" s="86" t="str">
        <f>IF(AND('131-CT'!$H$9=TH!H795,OR(N795="131",O795="131")),"x","")</f>
        <v/>
      </c>
      <c r="X795" s="86" t="str">
        <f>IF(AND($B795&gt;='1331'!$I$9,$B795&lt;='1331'!$J$9,OR($N795=$X$7,$O795=$X$7)),"x","")</f>
        <v/>
      </c>
      <c r="Y795" s="86" t="str">
        <f>IF(AND($N795=$X$7,$B795&lt;'1331'!$I$9),"x","")</f>
        <v/>
      </c>
      <c r="Z795" s="86" t="str">
        <f>IF(AND($O795=$X$7,$B795&lt;'1331'!$I$9),"x","")</f>
        <v/>
      </c>
      <c r="AA795" s="86" t="str">
        <f>IF(AND('341-CT'!$H$9=H795,OR(LEFT(N795,3)=$AA$7,LEFT(O795,3)=$AA$7)),"x","")</f>
        <v/>
      </c>
      <c r="AB795" s="86" t="str">
        <f>IF(OR(TH!N795=TH!$AB$7,O795=TH!$AB$7),"x","")</f>
        <v/>
      </c>
      <c r="AC795" s="86" t="str">
        <f t="shared" si="49"/>
        <v/>
      </c>
      <c r="AD795" s="86" t="str">
        <f>IF(AND(MONTH(E795)&lt;='IN-NX'!$P$3,'IN-NX'!$D$7=D795,OR(LEFT(TH!N795,2)="15",LEFT(TH!O795,2)="15")),"x","")</f>
        <v/>
      </c>
      <c r="AE795" s="86" t="str">
        <f>IF(AND(OR(LEFT(TH!N795,2)="15",LEFT(TH!O795,2)="15"),'152-CT'!$J$8=TH!F795),"x","")</f>
        <v/>
      </c>
      <c r="AF795" s="86" t="str">
        <f>IF(AND(OR(LEFT(TH!N795,2)="15",LEFT(TH!O795,2)="15"),'THE KHO'!$E$7=TH!F795),"x","")</f>
        <v/>
      </c>
      <c r="AG795" s="86" t="str">
        <f>IF(AND(N795="1521",MONTH(C795)='BK NL'!$M$11),"x","")</f>
        <v/>
      </c>
    </row>
    <row r="796" spans="1:33" ht="15.75" customHeight="1">
      <c r="A796" s="398" t="str">
        <f>IF(B796&lt;&gt;"",IF(AND(B796&gt;=_TM1,B796&lt;=_TM2,OR(TH!N796="1111",TH!O796="1111")),TH!D796,""),"")</f>
        <v/>
      </c>
      <c r="B796" s="63" t="str">
        <f t="shared" si="51"/>
        <v/>
      </c>
      <c r="C796" s="64"/>
      <c r="D796" s="64"/>
      <c r="E796" s="64"/>
      <c r="F796" s="67"/>
      <c r="G796" s="361"/>
      <c r="H796" s="74"/>
      <c r="I796" s="515"/>
      <c r="J796" s="515"/>
      <c r="K796" s="507"/>
      <c r="L796" s="515"/>
      <c r="M796" s="65"/>
      <c r="N796" s="66"/>
      <c r="O796" s="66"/>
      <c r="P796" s="86" t="str">
        <f>IF(AND('331-CT'!$E$7=TH!H796,OR(N796="331",O796="331")),"x","")</f>
        <v/>
      </c>
      <c r="Q796" s="86" t="str">
        <f>IF(AND($B796&gt;='111'!$N$11,$B796&lt;='111'!$O$11,OR($N796=$Q$7,$O796=$Q$7)),"x","")</f>
        <v/>
      </c>
      <c r="R796" s="86" t="str">
        <f>IF(AND($N796=$Q$7,$B796&lt;'111'!$N$11),"x","")</f>
        <v/>
      </c>
      <c r="S796" s="86" t="str">
        <f>IF(AND($O796=$Q$7,$B796&lt;'111'!$N$11),"x","")</f>
        <v/>
      </c>
      <c r="T796" s="86" t="str">
        <f>IF(AND($B796&gt;='112'!$M$9,$B796&lt;='112'!$N$9,OR($N796='112'!$I$6,$O796='112'!$I$6)),"x","")</f>
        <v/>
      </c>
      <c r="U796" s="86" t="str">
        <f>IF(AND($N796='112'!$I$6,$B796&lt;'112'!$M$9),"x","")</f>
        <v/>
      </c>
      <c r="V796" s="86" t="str">
        <f>IF(AND($O796='112'!$I$6,$B796&lt;'112'!$M$9),"x","")</f>
        <v/>
      </c>
      <c r="W796" s="86" t="str">
        <f>IF(AND('131-CT'!$H$9=TH!H796,OR(N796="131",O796="131")),"x","")</f>
        <v/>
      </c>
      <c r="X796" s="86" t="str">
        <f>IF(AND($B796&gt;='1331'!$I$9,$B796&lt;='1331'!$J$9,OR($N796=$X$7,$O796=$X$7)),"x","")</f>
        <v/>
      </c>
      <c r="Y796" s="86" t="str">
        <f>IF(AND($N796=$X$7,$B796&lt;'1331'!$I$9),"x","")</f>
        <v/>
      </c>
      <c r="Z796" s="86" t="str">
        <f>IF(AND($O796=$X$7,$B796&lt;'1331'!$I$9),"x","")</f>
        <v/>
      </c>
      <c r="AA796" s="86" t="str">
        <f>IF(AND('341-CT'!$H$9=H796,OR(LEFT(N796,3)=$AA$7,LEFT(O796,3)=$AA$7)),"x","")</f>
        <v/>
      </c>
      <c r="AB796" s="86" t="str">
        <f>IF(OR(TH!N796=TH!$AB$7,O796=TH!$AB$7),"x","")</f>
        <v/>
      </c>
      <c r="AC796" s="86" t="str">
        <f t="shared" si="49"/>
        <v/>
      </c>
      <c r="AD796" s="86" t="str">
        <f>IF(AND(MONTH(E796)&lt;='IN-NX'!$P$3,'IN-NX'!$D$7=D796,OR(LEFT(TH!N796,2)="15",LEFT(TH!O796,2)="15")),"x","")</f>
        <v/>
      </c>
      <c r="AE796" s="86" t="str">
        <f>IF(AND(OR(LEFT(TH!N796,2)="15",LEFT(TH!O796,2)="15"),'152-CT'!$J$8=TH!F796),"x","")</f>
        <v/>
      </c>
      <c r="AF796" s="86" t="str">
        <f>IF(AND(OR(LEFT(TH!N796,2)="15",LEFT(TH!O796,2)="15"),'THE KHO'!$E$7=TH!F796),"x","")</f>
        <v/>
      </c>
      <c r="AG796" s="86" t="str">
        <f>IF(AND(N796="1521",MONTH(C796)='BK NL'!$M$11),"x","")</f>
        <v/>
      </c>
    </row>
    <row r="797" spans="1:33" ht="15.75" customHeight="1">
      <c r="A797" s="398" t="str">
        <f>IF(B797&lt;&gt;"",IF(AND(B797&gt;=_TM1,B797&lt;=_TM2,OR(TH!N797="1111",TH!O797="1111")),TH!D797,""),"")</f>
        <v/>
      </c>
      <c r="B797" s="63" t="str">
        <f t="shared" si="51"/>
        <v/>
      </c>
      <c r="C797" s="64"/>
      <c r="D797" s="64"/>
      <c r="E797" s="64"/>
      <c r="F797" s="67"/>
      <c r="G797" s="361"/>
      <c r="H797" s="74"/>
      <c r="I797" s="515"/>
      <c r="J797" s="515"/>
      <c r="K797" s="507"/>
      <c r="L797" s="515"/>
      <c r="M797" s="65"/>
      <c r="N797" s="66"/>
      <c r="O797" s="66"/>
      <c r="P797" s="86" t="str">
        <f>IF(AND('331-CT'!$E$7=TH!H797,OR(N797="331",O797="331")),"x","")</f>
        <v/>
      </c>
      <c r="Q797" s="86" t="str">
        <f>IF(AND($B797&gt;='111'!$N$11,$B797&lt;='111'!$O$11,OR($N797=$Q$7,$O797=$Q$7)),"x","")</f>
        <v/>
      </c>
      <c r="R797" s="86" t="str">
        <f>IF(AND($N797=$Q$7,$B797&lt;'111'!$N$11),"x","")</f>
        <v/>
      </c>
      <c r="S797" s="86" t="str">
        <f>IF(AND($O797=$Q$7,$B797&lt;'111'!$N$11),"x","")</f>
        <v/>
      </c>
      <c r="T797" s="86" t="str">
        <f>IF(AND($B797&gt;='112'!$M$9,$B797&lt;='112'!$N$9,OR($N797='112'!$I$6,$O797='112'!$I$6)),"x","")</f>
        <v/>
      </c>
      <c r="U797" s="86" t="str">
        <f>IF(AND($N797='112'!$I$6,$B797&lt;'112'!$M$9),"x","")</f>
        <v/>
      </c>
      <c r="V797" s="86" t="str">
        <f>IF(AND($O797='112'!$I$6,$B797&lt;'112'!$M$9),"x","")</f>
        <v/>
      </c>
      <c r="W797" s="86" t="str">
        <f>IF(AND('131-CT'!$H$9=TH!H797,OR(N797="131",O797="131")),"x","")</f>
        <v/>
      </c>
      <c r="X797" s="86" t="str">
        <f>IF(AND($B797&gt;='1331'!$I$9,$B797&lt;='1331'!$J$9,OR($N797=$X$7,$O797=$X$7)),"x","")</f>
        <v/>
      </c>
      <c r="Y797" s="86" t="str">
        <f>IF(AND($N797=$X$7,$B797&lt;'1331'!$I$9),"x","")</f>
        <v/>
      </c>
      <c r="Z797" s="86" t="str">
        <f>IF(AND($O797=$X$7,$B797&lt;'1331'!$I$9),"x","")</f>
        <v/>
      </c>
      <c r="AA797" s="86" t="str">
        <f>IF(AND('341-CT'!$H$9=H797,OR(LEFT(N797,3)=$AA$7,LEFT(O797,3)=$AA$7)),"x","")</f>
        <v/>
      </c>
      <c r="AB797" s="86" t="str">
        <f>IF(OR(TH!N797=TH!$AB$7,O797=TH!$AB$7),"x","")</f>
        <v/>
      </c>
      <c r="AC797" s="86" t="str">
        <f t="shared" si="49"/>
        <v/>
      </c>
      <c r="AD797" s="86" t="str">
        <f>IF(AND(MONTH(E797)&lt;='IN-NX'!$P$3,'IN-NX'!$D$7=D797,OR(LEFT(TH!N797,2)="15",LEFT(TH!O797,2)="15")),"x","")</f>
        <v/>
      </c>
      <c r="AE797" s="86" t="str">
        <f>IF(AND(OR(LEFT(TH!N797,2)="15",LEFT(TH!O797,2)="15"),'152-CT'!$J$8=TH!F797),"x","")</f>
        <v/>
      </c>
      <c r="AF797" s="86" t="str">
        <f>IF(AND(OR(LEFT(TH!N797,2)="15",LEFT(TH!O797,2)="15"),'THE KHO'!$E$7=TH!F797),"x","")</f>
        <v/>
      </c>
      <c r="AG797" s="86" t="str">
        <f>IF(AND(N797="1521",MONTH(C797)='BK NL'!$M$11),"x","")</f>
        <v/>
      </c>
    </row>
    <row r="798" spans="1:33" ht="15.75" customHeight="1">
      <c r="A798" s="398" t="str">
        <f>IF(B798&lt;&gt;"",IF(AND(B798&gt;=_TM1,B798&lt;=_TM2,OR(TH!N798="1111",TH!O798="1111")),TH!D798,""),"")</f>
        <v/>
      </c>
      <c r="B798" s="63" t="str">
        <f t="shared" si="51"/>
        <v/>
      </c>
      <c r="C798" s="64"/>
      <c r="D798" s="64"/>
      <c r="E798" s="64"/>
      <c r="F798" s="67"/>
      <c r="G798" s="361"/>
      <c r="H798" s="74"/>
      <c r="I798" s="515"/>
      <c r="J798" s="515"/>
      <c r="K798" s="507"/>
      <c r="L798" s="515"/>
      <c r="M798" s="65"/>
      <c r="N798" s="66"/>
      <c r="O798" s="66"/>
      <c r="P798" s="86" t="str">
        <f>IF(AND('331-CT'!$E$7=TH!H798,OR(N798="331",O798="331")),"x","")</f>
        <v/>
      </c>
      <c r="Q798" s="86" t="str">
        <f>IF(AND($B798&gt;='111'!$N$11,$B798&lt;='111'!$O$11,OR($N798=$Q$7,$O798=$Q$7)),"x","")</f>
        <v/>
      </c>
      <c r="R798" s="86" t="str">
        <f>IF(AND($N798=$Q$7,$B798&lt;'111'!$N$11),"x","")</f>
        <v/>
      </c>
      <c r="S798" s="86" t="str">
        <f>IF(AND($O798=$Q$7,$B798&lt;'111'!$N$11),"x","")</f>
        <v/>
      </c>
      <c r="T798" s="86" t="str">
        <f>IF(AND($B798&gt;='112'!$M$9,$B798&lt;='112'!$N$9,OR($N798='112'!$I$6,$O798='112'!$I$6)),"x","")</f>
        <v/>
      </c>
      <c r="U798" s="86" t="str">
        <f>IF(AND($N798='112'!$I$6,$B798&lt;'112'!$M$9),"x","")</f>
        <v/>
      </c>
      <c r="V798" s="86" t="str">
        <f>IF(AND($O798='112'!$I$6,$B798&lt;'112'!$M$9),"x","")</f>
        <v/>
      </c>
      <c r="W798" s="86" t="str">
        <f>IF(AND('131-CT'!$H$9=TH!H798,OR(N798="131",O798="131")),"x","")</f>
        <v/>
      </c>
      <c r="X798" s="86" t="str">
        <f>IF(AND($B798&gt;='1331'!$I$9,$B798&lt;='1331'!$J$9,OR($N798=$X$7,$O798=$X$7)),"x","")</f>
        <v/>
      </c>
      <c r="Y798" s="86" t="str">
        <f>IF(AND($N798=$X$7,$B798&lt;'1331'!$I$9),"x","")</f>
        <v/>
      </c>
      <c r="Z798" s="86" t="str">
        <f>IF(AND($O798=$X$7,$B798&lt;'1331'!$I$9),"x","")</f>
        <v/>
      </c>
      <c r="AA798" s="86" t="str">
        <f>IF(AND('341-CT'!$H$9=H798,OR(LEFT(N798,3)=$AA$7,LEFT(O798,3)=$AA$7)),"x","")</f>
        <v/>
      </c>
      <c r="AB798" s="86" t="str">
        <f>IF(OR(TH!N798=TH!$AB$7,O798=TH!$AB$7),"x","")</f>
        <v/>
      </c>
      <c r="AC798" s="86" t="str">
        <f t="shared" si="49"/>
        <v/>
      </c>
      <c r="AD798" s="86" t="str">
        <f>IF(AND(MONTH(E798)&lt;='IN-NX'!$P$3,'IN-NX'!$D$7=D798,OR(LEFT(TH!N798,2)="15",LEFT(TH!O798,2)="15")),"x","")</f>
        <v/>
      </c>
      <c r="AE798" s="86" t="str">
        <f>IF(AND(OR(LEFT(TH!N798,2)="15",LEFT(TH!O798,2)="15"),'152-CT'!$J$8=TH!F798),"x","")</f>
        <v/>
      </c>
      <c r="AF798" s="86" t="str">
        <f>IF(AND(OR(LEFT(TH!N798,2)="15",LEFT(TH!O798,2)="15"),'THE KHO'!$E$7=TH!F798),"x","")</f>
        <v/>
      </c>
      <c r="AG798" s="86" t="str">
        <f>IF(AND(N798="1521",MONTH(C798)='BK NL'!$M$11),"x","")</f>
        <v/>
      </c>
    </row>
    <row r="799" spans="1:33" ht="15.75" customHeight="1">
      <c r="A799" s="398" t="str">
        <f>IF(B799&lt;&gt;"",IF(AND(B799&gt;=_TM1,B799&lt;=_TM2,OR(TH!N799="1111",TH!O799="1111")),TH!D799,""),"")</f>
        <v/>
      </c>
      <c r="B799" s="63" t="str">
        <f t="shared" si="51"/>
        <v/>
      </c>
      <c r="C799" s="64"/>
      <c r="D799" s="64"/>
      <c r="E799" s="64"/>
      <c r="F799" s="67"/>
      <c r="G799" s="361"/>
      <c r="H799" s="74"/>
      <c r="I799" s="515"/>
      <c r="J799" s="515"/>
      <c r="K799" s="507"/>
      <c r="L799" s="515"/>
      <c r="M799" s="65"/>
      <c r="N799" s="66"/>
      <c r="O799" s="66"/>
      <c r="P799" s="86" t="str">
        <f>IF(AND('331-CT'!$E$7=TH!H799,OR(N799="331",O799="331")),"x","")</f>
        <v/>
      </c>
      <c r="Q799" s="86" t="str">
        <f>IF(AND($B799&gt;='111'!$N$11,$B799&lt;='111'!$O$11,OR($N799=$Q$7,$O799=$Q$7)),"x","")</f>
        <v/>
      </c>
      <c r="R799" s="86" t="str">
        <f>IF(AND($N799=$Q$7,$B799&lt;'111'!$N$11),"x","")</f>
        <v/>
      </c>
      <c r="S799" s="86" t="str">
        <f>IF(AND($O799=$Q$7,$B799&lt;'111'!$N$11),"x","")</f>
        <v/>
      </c>
      <c r="T799" s="86" t="str">
        <f>IF(AND($B799&gt;='112'!$M$9,$B799&lt;='112'!$N$9,OR($N799='112'!$I$6,$O799='112'!$I$6)),"x","")</f>
        <v/>
      </c>
      <c r="U799" s="86" t="str">
        <f>IF(AND($N799='112'!$I$6,$B799&lt;'112'!$M$9),"x","")</f>
        <v/>
      </c>
      <c r="V799" s="86" t="str">
        <f>IF(AND($O799='112'!$I$6,$B799&lt;'112'!$M$9),"x","")</f>
        <v/>
      </c>
      <c r="W799" s="86" t="str">
        <f>IF(AND('131-CT'!$H$9=TH!H799,OR(N799="131",O799="131")),"x","")</f>
        <v/>
      </c>
      <c r="X799" s="86" t="str">
        <f>IF(AND($B799&gt;='1331'!$I$9,$B799&lt;='1331'!$J$9,OR($N799=$X$7,$O799=$X$7)),"x","")</f>
        <v/>
      </c>
      <c r="Y799" s="86" t="str">
        <f>IF(AND($N799=$X$7,$B799&lt;'1331'!$I$9),"x","")</f>
        <v/>
      </c>
      <c r="Z799" s="86" t="str">
        <f>IF(AND($O799=$X$7,$B799&lt;'1331'!$I$9),"x","")</f>
        <v/>
      </c>
      <c r="AA799" s="86" t="str">
        <f>IF(AND('341-CT'!$H$9=H799,OR(LEFT(N799,3)=$AA$7,LEFT(O799,3)=$AA$7)),"x","")</f>
        <v/>
      </c>
      <c r="AB799" s="86" t="str">
        <f>IF(OR(TH!N799=TH!$AB$7,O799=TH!$AB$7),"x","")</f>
        <v/>
      </c>
      <c r="AC799" s="86" t="str">
        <f t="shared" si="49"/>
        <v/>
      </c>
      <c r="AD799" s="86" t="str">
        <f>IF(AND(MONTH(E799)&lt;='IN-NX'!$P$3,'IN-NX'!$D$7=D799,OR(LEFT(TH!N799,2)="15",LEFT(TH!O799,2)="15")),"x","")</f>
        <v/>
      </c>
      <c r="AE799" s="86" t="str">
        <f>IF(AND(OR(LEFT(TH!N799,2)="15",LEFT(TH!O799,2)="15"),'152-CT'!$J$8=TH!F799),"x","")</f>
        <v/>
      </c>
      <c r="AF799" s="86" t="str">
        <f>IF(AND(OR(LEFT(TH!N799,2)="15",LEFT(TH!O799,2)="15"),'THE KHO'!$E$7=TH!F799),"x","")</f>
        <v/>
      </c>
      <c r="AG799" s="86" t="str">
        <f>IF(AND(N799="1521",MONTH(C799)='BK NL'!$M$11),"x","")</f>
        <v/>
      </c>
    </row>
    <row r="800" spans="1:33" ht="15.75" customHeight="1">
      <c r="A800" s="398" t="str">
        <f>IF(B800&lt;&gt;"",IF(AND(B800&gt;=_TM1,B800&lt;=_TM2,OR(TH!N800="1111",TH!O800="1111")),TH!D800,""),"")</f>
        <v/>
      </c>
      <c r="B800" s="63" t="str">
        <f t="shared" si="51"/>
        <v/>
      </c>
      <c r="C800" s="64"/>
      <c r="D800" s="64"/>
      <c r="E800" s="64"/>
      <c r="F800" s="67"/>
      <c r="G800" s="361"/>
      <c r="H800" s="74"/>
      <c r="I800" s="515"/>
      <c r="J800" s="515"/>
      <c r="K800" s="507"/>
      <c r="L800" s="515"/>
      <c r="M800" s="65"/>
      <c r="N800" s="66"/>
      <c r="O800" s="66"/>
      <c r="P800" s="86" t="str">
        <f>IF(AND('331-CT'!$E$7=TH!H800,OR(N800="331",O800="331")),"x","")</f>
        <v/>
      </c>
      <c r="Q800" s="86" t="str">
        <f>IF(AND($B800&gt;='111'!$N$11,$B800&lt;='111'!$O$11,OR($N800=$Q$7,$O800=$Q$7)),"x","")</f>
        <v/>
      </c>
      <c r="R800" s="86" t="str">
        <f>IF(AND($N800=$Q$7,$B800&lt;'111'!$N$11),"x","")</f>
        <v/>
      </c>
      <c r="S800" s="86" t="str">
        <f>IF(AND($O800=$Q$7,$B800&lt;'111'!$N$11),"x","")</f>
        <v/>
      </c>
      <c r="T800" s="86" t="str">
        <f>IF(AND($B800&gt;='112'!$M$9,$B800&lt;='112'!$N$9,OR($N800='112'!$I$6,$O800='112'!$I$6)),"x","")</f>
        <v/>
      </c>
      <c r="U800" s="86" t="str">
        <f>IF(AND($N800='112'!$I$6,$B800&lt;'112'!$M$9),"x","")</f>
        <v/>
      </c>
      <c r="V800" s="86" t="str">
        <f>IF(AND($O800='112'!$I$6,$B800&lt;'112'!$M$9),"x","")</f>
        <v/>
      </c>
      <c r="W800" s="86" t="str">
        <f>IF(AND('131-CT'!$H$9=TH!H800,OR(N800="131",O800="131")),"x","")</f>
        <v/>
      </c>
      <c r="X800" s="86" t="str">
        <f>IF(AND($B800&gt;='1331'!$I$9,$B800&lt;='1331'!$J$9,OR($N800=$X$7,$O800=$X$7)),"x","")</f>
        <v/>
      </c>
      <c r="Y800" s="86" t="str">
        <f>IF(AND($N800=$X$7,$B800&lt;'1331'!$I$9),"x","")</f>
        <v/>
      </c>
      <c r="Z800" s="86" t="str">
        <f>IF(AND($O800=$X$7,$B800&lt;'1331'!$I$9),"x","")</f>
        <v/>
      </c>
      <c r="AA800" s="86" t="str">
        <f>IF(AND('341-CT'!$H$9=H800,OR(LEFT(N800,3)=$AA$7,LEFT(O800,3)=$AA$7)),"x","")</f>
        <v/>
      </c>
      <c r="AB800" s="86" t="str">
        <f>IF(OR(TH!N800=TH!$AB$7,O800=TH!$AB$7),"x","")</f>
        <v/>
      </c>
      <c r="AC800" s="86" t="str">
        <f t="shared" si="49"/>
        <v/>
      </c>
      <c r="AD800" s="86" t="str">
        <f>IF(AND(MONTH(E800)&lt;='IN-NX'!$P$3,'IN-NX'!$D$7=D800,OR(LEFT(TH!N800,2)="15",LEFT(TH!O800,2)="15")),"x","")</f>
        <v/>
      </c>
      <c r="AE800" s="86" t="str">
        <f>IF(AND(OR(LEFT(TH!N800,2)="15",LEFT(TH!O800,2)="15"),'152-CT'!$J$8=TH!F800),"x","")</f>
        <v/>
      </c>
      <c r="AF800" s="86" t="str">
        <f>IF(AND(OR(LEFT(TH!N800,2)="15",LEFT(TH!O800,2)="15"),'THE KHO'!$E$7=TH!F800),"x","")</f>
        <v/>
      </c>
      <c r="AG800" s="86" t="str">
        <f>IF(AND(N800="1521",MONTH(C800)='BK NL'!$M$11),"x","")</f>
        <v/>
      </c>
    </row>
    <row r="801" spans="1:33" ht="15.75" customHeight="1">
      <c r="A801" s="398" t="str">
        <f>IF(B801&lt;&gt;"",IF(AND(B801&gt;=_TM1,B801&lt;=_TM2,OR(TH!N801="1111",TH!O801="1111")),TH!D801,""),"")</f>
        <v/>
      </c>
      <c r="B801" s="63" t="str">
        <f t="shared" si="51"/>
        <v/>
      </c>
      <c r="C801" s="64"/>
      <c r="D801" s="64"/>
      <c r="E801" s="64"/>
      <c r="F801" s="67"/>
      <c r="G801" s="361"/>
      <c r="H801" s="74"/>
      <c r="I801" s="515"/>
      <c r="J801" s="515"/>
      <c r="K801" s="507"/>
      <c r="L801" s="515"/>
      <c r="M801" s="65"/>
      <c r="N801" s="66"/>
      <c r="O801" s="66"/>
      <c r="P801" s="86" t="str">
        <f>IF(AND('331-CT'!$E$7=TH!H801,OR(N801="331",O801="331")),"x","")</f>
        <v/>
      </c>
      <c r="Q801" s="86" t="str">
        <f>IF(AND($B801&gt;='111'!$N$11,$B801&lt;='111'!$O$11,OR($N801=$Q$7,$O801=$Q$7)),"x","")</f>
        <v/>
      </c>
      <c r="R801" s="86" t="str">
        <f>IF(AND($N801=$Q$7,$B801&lt;'111'!$N$11),"x","")</f>
        <v/>
      </c>
      <c r="S801" s="86" t="str">
        <f>IF(AND($O801=$Q$7,$B801&lt;'111'!$N$11),"x","")</f>
        <v/>
      </c>
      <c r="T801" s="86" t="str">
        <f>IF(AND($B801&gt;='112'!$M$9,$B801&lt;='112'!$N$9,OR($N801='112'!$I$6,$O801='112'!$I$6)),"x","")</f>
        <v/>
      </c>
      <c r="U801" s="86" t="str">
        <f>IF(AND($N801='112'!$I$6,$B801&lt;'112'!$M$9),"x","")</f>
        <v/>
      </c>
      <c r="V801" s="86" t="str">
        <f>IF(AND($O801='112'!$I$6,$B801&lt;'112'!$M$9),"x","")</f>
        <v/>
      </c>
      <c r="W801" s="86" t="str">
        <f>IF(AND('131-CT'!$H$9=TH!H801,OR(N801="131",O801="131")),"x","")</f>
        <v/>
      </c>
      <c r="X801" s="86" t="str">
        <f>IF(AND($B801&gt;='1331'!$I$9,$B801&lt;='1331'!$J$9,OR($N801=$X$7,$O801=$X$7)),"x","")</f>
        <v/>
      </c>
      <c r="Y801" s="86" t="str">
        <f>IF(AND($N801=$X$7,$B801&lt;'1331'!$I$9),"x","")</f>
        <v/>
      </c>
      <c r="Z801" s="86" t="str">
        <f>IF(AND($O801=$X$7,$B801&lt;'1331'!$I$9),"x","")</f>
        <v/>
      </c>
      <c r="AA801" s="86" t="str">
        <f>IF(AND('341-CT'!$H$9=H801,OR(LEFT(N801,3)=$AA$7,LEFT(O801,3)=$AA$7)),"x","")</f>
        <v/>
      </c>
      <c r="AB801" s="86" t="str">
        <f>IF(OR(TH!N801=TH!$AB$7,O801=TH!$AB$7),"x","")</f>
        <v/>
      </c>
      <c r="AC801" s="86" t="str">
        <f t="shared" si="49"/>
        <v/>
      </c>
      <c r="AD801" s="86" t="str">
        <f>IF(AND(MONTH(E801)&lt;='IN-NX'!$P$3,'IN-NX'!$D$7=D801,OR(LEFT(TH!N801,2)="15",LEFT(TH!O801,2)="15")),"x","")</f>
        <v/>
      </c>
      <c r="AE801" s="86" t="str">
        <f>IF(AND(OR(LEFT(TH!N801,2)="15",LEFT(TH!O801,2)="15"),'152-CT'!$J$8=TH!F801),"x","")</f>
        <v/>
      </c>
      <c r="AF801" s="86" t="str">
        <f>IF(AND(OR(LEFT(TH!N801,2)="15",LEFT(TH!O801,2)="15"),'THE KHO'!$E$7=TH!F801),"x","")</f>
        <v/>
      </c>
      <c r="AG801" s="86" t="str">
        <f>IF(AND(N801="1521",MONTH(C801)='BK NL'!$M$11),"x","")</f>
        <v/>
      </c>
    </row>
    <row r="802" spans="1:33" ht="15.75" customHeight="1">
      <c r="A802" s="398" t="str">
        <f>IF(B802&lt;&gt;"",IF(AND(B802&gt;=_TM1,B802&lt;=_TM2,OR(TH!N802="1111",TH!O802="1111")),TH!D802,""),"")</f>
        <v/>
      </c>
      <c r="B802" s="63" t="str">
        <f t="shared" si="51"/>
        <v/>
      </c>
      <c r="C802" s="64"/>
      <c r="D802" s="64"/>
      <c r="E802" s="64"/>
      <c r="F802" s="67"/>
      <c r="G802" s="361"/>
      <c r="H802" s="74"/>
      <c r="I802" s="515"/>
      <c r="J802" s="515"/>
      <c r="K802" s="507"/>
      <c r="L802" s="515"/>
      <c r="M802" s="65"/>
      <c r="N802" s="66"/>
      <c r="O802" s="66"/>
      <c r="P802" s="86" t="str">
        <f>IF(AND('331-CT'!$E$7=TH!H802,OR(N802="331",O802="331")),"x","")</f>
        <v/>
      </c>
      <c r="Q802" s="86" t="str">
        <f>IF(AND($B802&gt;='111'!$N$11,$B802&lt;='111'!$O$11,OR($N802=$Q$7,$O802=$Q$7)),"x","")</f>
        <v/>
      </c>
      <c r="R802" s="86" t="str">
        <f>IF(AND($N802=$Q$7,$B802&lt;'111'!$N$11),"x","")</f>
        <v/>
      </c>
      <c r="S802" s="86" t="str">
        <f>IF(AND($O802=$Q$7,$B802&lt;'111'!$N$11),"x","")</f>
        <v/>
      </c>
      <c r="T802" s="86" t="str">
        <f>IF(AND($B802&gt;='112'!$M$9,$B802&lt;='112'!$N$9,OR($N802='112'!$I$6,$O802='112'!$I$6)),"x","")</f>
        <v/>
      </c>
      <c r="U802" s="86" t="str">
        <f>IF(AND($N802='112'!$I$6,$B802&lt;'112'!$M$9),"x","")</f>
        <v/>
      </c>
      <c r="V802" s="86" t="str">
        <f>IF(AND($O802='112'!$I$6,$B802&lt;'112'!$M$9),"x","")</f>
        <v/>
      </c>
      <c r="W802" s="86" t="str">
        <f>IF(AND('131-CT'!$H$9=TH!H802,OR(N802="131",O802="131")),"x","")</f>
        <v/>
      </c>
      <c r="X802" s="86" t="str">
        <f>IF(AND($B802&gt;='1331'!$I$9,$B802&lt;='1331'!$J$9,OR($N802=$X$7,$O802=$X$7)),"x","")</f>
        <v/>
      </c>
      <c r="Y802" s="86" t="str">
        <f>IF(AND($N802=$X$7,$B802&lt;'1331'!$I$9),"x","")</f>
        <v/>
      </c>
      <c r="Z802" s="86" t="str">
        <f>IF(AND($O802=$X$7,$B802&lt;'1331'!$I$9),"x","")</f>
        <v/>
      </c>
      <c r="AA802" s="86" t="str">
        <f>IF(AND('341-CT'!$H$9=H802,OR(LEFT(N802,3)=$AA$7,LEFT(O802,3)=$AA$7)),"x","")</f>
        <v/>
      </c>
      <c r="AB802" s="86" t="str">
        <f>IF(OR(TH!N802=TH!$AB$7,O802=TH!$AB$7),"x","")</f>
        <v/>
      </c>
      <c r="AC802" s="86" t="str">
        <f t="shared" si="49"/>
        <v/>
      </c>
      <c r="AD802" s="86" t="str">
        <f>IF(AND(MONTH(E802)&lt;='IN-NX'!$P$3,'IN-NX'!$D$7=D802,OR(LEFT(TH!N802,2)="15",LEFT(TH!O802,2)="15")),"x","")</f>
        <v/>
      </c>
      <c r="AE802" s="86" t="str">
        <f>IF(AND(OR(LEFT(TH!N802,2)="15",LEFT(TH!O802,2)="15"),'152-CT'!$J$8=TH!F802),"x","")</f>
        <v/>
      </c>
      <c r="AF802" s="86" t="str">
        <f>IF(AND(OR(LEFT(TH!N802,2)="15",LEFT(TH!O802,2)="15"),'THE KHO'!$E$7=TH!F802),"x","")</f>
        <v/>
      </c>
      <c r="AG802" s="86" t="str">
        <f>IF(AND(N802="1521",MONTH(C802)='BK NL'!$M$11),"x","")</f>
        <v/>
      </c>
    </row>
    <row r="803" spans="1:33" ht="15.75" customHeight="1">
      <c r="A803" s="398" t="str">
        <f>IF(B803&lt;&gt;"",IF(AND(B803&gt;=_TM1,B803&lt;=_TM2,OR(TH!N803="1111",TH!O803="1111")),TH!D803,""),"")</f>
        <v/>
      </c>
      <c r="B803" s="63" t="str">
        <f t="shared" si="51"/>
        <v/>
      </c>
      <c r="C803" s="64"/>
      <c r="D803" s="64"/>
      <c r="E803" s="64"/>
      <c r="F803" s="67"/>
      <c r="G803" s="361"/>
      <c r="H803" s="74"/>
      <c r="I803" s="515"/>
      <c r="J803" s="515"/>
      <c r="K803" s="507"/>
      <c r="L803" s="515"/>
      <c r="M803" s="65"/>
      <c r="N803" s="66"/>
      <c r="O803" s="66"/>
      <c r="P803" s="86" t="str">
        <f>IF(AND('331-CT'!$E$7=TH!H803,OR(N803="331",O803="331")),"x","")</f>
        <v/>
      </c>
      <c r="Q803" s="86" t="str">
        <f>IF(AND($B803&gt;='111'!$N$11,$B803&lt;='111'!$O$11,OR($N803=$Q$7,$O803=$Q$7)),"x","")</f>
        <v/>
      </c>
      <c r="R803" s="86" t="str">
        <f>IF(AND($N803=$Q$7,$B803&lt;'111'!$N$11),"x","")</f>
        <v/>
      </c>
      <c r="S803" s="86" t="str">
        <f>IF(AND($O803=$Q$7,$B803&lt;'111'!$N$11),"x","")</f>
        <v/>
      </c>
      <c r="T803" s="86" t="str">
        <f>IF(AND($B803&gt;='112'!$M$9,$B803&lt;='112'!$N$9,OR($N803='112'!$I$6,$O803='112'!$I$6)),"x","")</f>
        <v/>
      </c>
      <c r="U803" s="86" t="str">
        <f>IF(AND($N803='112'!$I$6,$B803&lt;'112'!$M$9),"x","")</f>
        <v/>
      </c>
      <c r="V803" s="86" t="str">
        <f>IF(AND($O803='112'!$I$6,$B803&lt;'112'!$M$9),"x","")</f>
        <v/>
      </c>
      <c r="W803" s="86" t="str">
        <f>IF(AND('131-CT'!$H$9=TH!H803,OR(N803="131",O803="131")),"x","")</f>
        <v/>
      </c>
      <c r="X803" s="86" t="str">
        <f>IF(AND($B803&gt;='1331'!$I$9,$B803&lt;='1331'!$J$9,OR($N803=$X$7,$O803=$X$7)),"x","")</f>
        <v/>
      </c>
      <c r="Y803" s="86" t="str">
        <f>IF(AND($N803=$X$7,$B803&lt;'1331'!$I$9),"x","")</f>
        <v/>
      </c>
      <c r="Z803" s="86" t="str">
        <f>IF(AND($O803=$X$7,$B803&lt;'1331'!$I$9),"x","")</f>
        <v/>
      </c>
      <c r="AA803" s="86" t="str">
        <f>IF(AND('341-CT'!$H$9=H803,OR(LEFT(N803,3)=$AA$7,LEFT(O803,3)=$AA$7)),"x","")</f>
        <v/>
      </c>
      <c r="AB803" s="86" t="str">
        <f>IF(OR(TH!N803=TH!$AB$7,O803=TH!$AB$7),"x","")</f>
        <v/>
      </c>
      <c r="AC803" s="86" t="str">
        <f t="shared" si="49"/>
        <v/>
      </c>
      <c r="AD803" s="86" t="str">
        <f>IF(AND(MONTH(E803)&lt;='IN-NX'!$P$3,'IN-NX'!$D$7=D803,OR(LEFT(TH!N803,2)="15",LEFT(TH!O803,2)="15")),"x","")</f>
        <v/>
      </c>
      <c r="AE803" s="86" t="str">
        <f>IF(AND(OR(LEFT(TH!N803,2)="15",LEFT(TH!O803,2)="15"),'152-CT'!$J$8=TH!F803),"x","")</f>
        <v/>
      </c>
      <c r="AF803" s="86" t="str">
        <f>IF(AND(OR(LEFT(TH!N803,2)="15",LEFT(TH!O803,2)="15"),'THE KHO'!$E$7=TH!F803),"x","")</f>
        <v/>
      </c>
      <c r="AG803" s="86" t="str">
        <f>IF(AND(N803="1521",MONTH(C803)='BK NL'!$M$11),"x","")</f>
        <v/>
      </c>
    </row>
    <row r="804" spans="1:33" ht="15.75" customHeight="1">
      <c r="A804" s="398" t="str">
        <f>IF(B804&lt;&gt;"",IF(AND(B804&gt;=_TM1,B804&lt;=_TM2,OR(TH!N804="1111",TH!O804="1111")),TH!D804,""),"")</f>
        <v/>
      </c>
      <c r="B804" s="63" t="str">
        <f t="shared" si="51"/>
        <v/>
      </c>
      <c r="C804" s="64"/>
      <c r="D804" s="64"/>
      <c r="E804" s="64"/>
      <c r="F804" s="67"/>
      <c r="G804" s="361"/>
      <c r="H804" s="74"/>
      <c r="I804" s="515"/>
      <c r="J804" s="515"/>
      <c r="K804" s="507"/>
      <c r="L804" s="515"/>
      <c r="M804" s="65"/>
      <c r="N804" s="66"/>
      <c r="O804" s="66"/>
      <c r="P804" s="86" t="str">
        <f>IF(AND('331-CT'!$E$7=TH!H804,OR(N804="331",O804="331")),"x","")</f>
        <v/>
      </c>
      <c r="Q804" s="86" t="str">
        <f>IF(AND($B804&gt;='111'!$N$11,$B804&lt;='111'!$O$11,OR($N804=$Q$7,$O804=$Q$7)),"x","")</f>
        <v/>
      </c>
      <c r="R804" s="86" t="str">
        <f>IF(AND($N804=$Q$7,$B804&lt;'111'!$N$11),"x","")</f>
        <v/>
      </c>
      <c r="S804" s="86" t="str">
        <f>IF(AND($O804=$Q$7,$B804&lt;'111'!$N$11),"x","")</f>
        <v/>
      </c>
      <c r="T804" s="86" t="str">
        <f>IF(AND($B804&gt;='112'!$M$9,$B804&lt;='112'!$N$9,OR($N804='112'!$I$6,$O804='112'!$I$6)),"x","")</f>
        <v/>
      </c>
      <c r="U804" s="86" t="str">
        <f>IF(AND($N804='112'!$I$6,$B804&lt;'112'!$M$9),"x","")</f>
        <v/>
      </c>
      <c r="V804" s="86" t="str">
        <f>IF(AND($O804='112'!$I$6,$B804&lt;'112'!$M$9),"x","")</f>
        <v/>
      </c>
      <c r="W804" s="86" t="str">
        <f>IF(AND('131-CT'!$H$9=TH!H804,OR(N804="131",O804="131")),"x","")</f>
        <v/>
      </c>
      <c r="X804" s="86" t="str">
        <f>IF(AND($B804&gt;='1331'!$I$9,$B804&lt;='1331'!$J$9,OR($N804=$X$7,$O804=$X$7)),"x","")</f>
        <v/>
      </c>
      <c r="Y804" s="86" t="str">
        <f>IF(AND($N804=$X$7,$B804&lt;'1331'!$I$9),"x","")</f>
        <v/>
      </c>
      <c r="Z804" s="86" t="str">
        <f>IF(AND($O804=$X$7,$B804&lt;'1331'!$I$9),"x","")</f>
        <v/>
      </c>
      <c r="AA804" s="86" t="str">
        <f>IF(AND('341-CT'!$H$9=H804,OR(LEFT(N804,3)=$AA$7,LEFT(O804,3)=$AA$7)),"x","")</f>
        <v/>
      </c>
      <c r="AB804" s="86" t="str">
        <f>IF(OR(TH!N804=TH!$AB$7,O804=TH!$AB$7),"x","")</f>
        <v/>
      </c>
      <c r="AC804" s="86" t="str">
        <f t="shared" si="49"/>
        <v/>
      </c>
      <c r="AD804" s="86" t="str">
        <f>IF(AND(MONTH(E804)&lt;='IN-NX'!$P$3,'IN-NX'!$D$7=D804,OR(LEFT(TH!N804,2)="15",LEFT(TH!O804,2)="15")),"x","")</f>
        <v/>
      </c>
      <c r="AE804" s="86" t="str">
        <f>IF(AND(OR(LEFT(TH!N804,2)="15",LEFT(TH!O804,2)="15"),'152-CT'!$J$8=TH!F804),"x","")</f>
        <v/>
      </c>
      <c r="AF804" s="86" t="str">
        <f>IF(AND(OR(LEFT(TH!N804,2)="15",LEFT(TH!O804,2)="15"),'THE KHO'!$E$7=TH!F804),"x","")</f>
        <v/>
      </c>
      <c r="AG804" s="86" t="str">
        <f>IF(AND(N804="1521",MONTH(C804)='BK NL'!$M$11),"x","")</f>
        <v/>
      </c>
    </row>
    <row r="805" spans="1:33" ht="15.75" customHeight="1">
      <c r="A805" s="398" t="str">
        <f>IF(B805&lt;&gt;"",IF(AND(B805&gt;=_TM1,B805&lt;=_TM2,OR(TH!N805="1111",TH!O805="1111")),TH!D805,""),"")</f>
        <v/>
      </c>
      <c r="B805" s="63" t="str">
        <f t="shared" si="51"/>
        <v/>
      </c>
      <c r="C805" s="64"/>
      <c r="D805" s="64"/>
      <c r="E805" s="64"/>
      <c r="F805" s="67"/>
      <c r="G805" s="361"/>
      <c r="H805" s="74"/>
      <c r="I805" s="515"/>
      <c r="J805" s="515"/>
      <c r="K805" s="507"/>
      <c r="L805" s="515"/>
      <c r="M805" s="65"/>
      <c r="N805" s="66"/>
      <c r="O805" s="66"/>
      <c r="P805" s="86" t="str">
        <f>IF(AND('331-CT'!$E$7=TH!H805,OR(N805="331",O805="331")),"x","")</f>
        <v/>
      </c>
      <c r="Q805" s="86" t="str">
        <f>IF(AND($B805&gt;='111'!$N$11,$B805&lt;='111'!$O$11,OR($N805=$Q$7,$O805=$Q$7)),"x","")</f>
        <v/>
      </c>
      <c r="R805" s="86" t="str">
        <f>IF(AND($N805=$Q$7,$B805&lt;'111'!$N$11),"x","")</f>
        <v/>
      </c>
      <c r="S805" s="86" t="str">
        <f>IF(AND($O805=$Q$7,$B805&lt;'111'!$N$11),"x","")</f>
        <v/>
      </c>
      <c r="T805" s="86" t="str">
        <f>IF(AND($B805&gt;='112'!$M$9,$B805&lt;='112'!$N$9,OR($N805='112'!$I$6,$O805='112'!$I$6)),"x","")</f>
        <v/>
      </c>
      <c r="U805" s="86" t="str">
        <f>IF(AND($N805='112'!$I$6,$B805&lt;'112'!$M$9),"x","")</f>
        <v/>
      </c>
      <c r="V805" s="86" t="str">
        <f>IF(AND($O805='112'!$I$6,$B805&lt;'112'!$M$9),"x","")</f>
        <v/>
      </c>
      <c r="W805" s="86" t="str">
        <f>IF(AND('131-CT'!$H$9=TH!H805,OR(N805="131",O805="131")),"x","")</f>
        <v/>
      </c>
      <c r="X805" s="86" t="str">
        <f>IF(AND($B805&gt;='1331'!$I$9,$B805&lt;='1331'!$J$9,OR($N805=$X$7,$O805=$X$7)),"x","")</f>
        <v/>
      </c>
      <c r="Y805" s="86" t="str">
        <f>IF(AND($N805=$X$7,$B805&lt;'1331'!$I$9),"x","")</f>
        <v/>
      </c>
      <c r="Z805" s="86" t="str">
        <f>IF(AND($O805=$X$7,$B805&lt;'1331'!$I$9),"x","")</f>
        <v/>
      </c>
      <c r="AA805" s="86" t="str">
        <f>IF(AND('341-CT'!$H$9=H805,OR(LEFT(N805,3)=$AA$7,LEFT(O805,3)=$AA$7)),"x","")</f>
        <v/>
      </c>
      <c r="AB805" s="86" t="str">
        <f>IF(OR(TH!N805=TH!$AB$7,O805=TH!$AB$7),"x","")</f>
        <v/>
      </c>
      <c r="AC805" s="86" t="str">
        <f t="shared" si="49"/>
        <v/>
      </c>
      <c r="AD805" s="86" t="str">
        <f>IF(AND(MONTH(E805)&lt;='IN-NX'!$P$3,'IN-NX'!$D$7=D805,OR(LEFT(TH!N805,2)="15",LEFT(TH!O805,2)="15")),"x","")</f>
        <v/>
      </c>
      <c r="AE805" s="86" t="str">
        <f>IF(AND(OR(LEFT(TH!N805,2)="15",LEFT(TH!O805,2)="15"),'152-CT'!$J$8=TH!F805),"x","")</f>
        <v/>
      </c>
      <c r="AF805" s="86" t="str">
        <f>IF(AND(OR(LEFT(TH!N805,2)="15",LEFT(TH!O805,2)="15"),'THE KHO'!$E$7=TH!F805),"x","")</f>
        <v/>
      </c>
      <c r="AG805" s="86" t="str">
        <f>IF(AND(N805="1521",MONTH(C805)='BK NL'!$M$11),"x","")</f>
        <v/>
      </c>
    </row>
    <row r="806" spans="1:33" ht="15.75" customHeight="1">
      <c r="A806" s="398" t="str">
        <f>IF(B806&lt;&gt;"",IF(AND(B806&gt;=_TM1,B806&lt;=_TM2,OR(TH!N806="1111",TH!O806="1111")),TH!D806,""),"")</f>
        <v/>
      </c>
      <c r="B806" s="63" t="str">
        <f>IF(C806&lt;&gt;"",MONTH(C806),"")</f>
        <v/>
      </c>
      <c r="C806" s="64"/>
      <c r="D806" s="64"/>
      <c r="E806" s="64"/>
      <c r="F806" s="67"/>
      <c r="G806" s="361"/>
      <c r="H806" s="74"/>
      <c r="I806" s="515"/>
      <c r="J806" s="515"/>
      <c r="K806" s="507"/>
      <c r="L806" s="515"/>
      <c r="M806" s="65"/>
      <c r="N806" s="66"/>
      <c r="O806" s="66"/>
      <c r="P806" s="86" t="str">
        <f>IF(AND('331-CT'!$E$7=TH!H806,OR(N806="331",O806="331")),"x","")</f>
        <v/>
      </c>
      <c r="Q806" s="86" t="str">
        <f>IF(AND($B806&gt;='111'!$N$11,$B806&lt;='111'!$O$11,OR($N806=$Q$7,$O806=$Q$7)),"x","")</f>
        <v/>
      </c>
      <c r="R806" s="86" t="str">
        <f>IF(AND($N806=$Q$7,$B806&lt;'111'!$N$11),"x","")</f>
        <v/>
      </c>
      <c r="S806" s="86" t="str">
        <f>IF(AND($O806=$Q$7,$B806&lt;'111'!$N$11),"x","")</f>
        <v/>
      </c>
      <c r="T806" s="86" t="str">
        <f>IF(AND($B806&gt;='112'!$M$9,$B806&lt;='112'!$N$9,OR($N806='112'!$I$6,$O806='112'!$I$6)),"x","")</f>
        <v/>
      </c>
      <c r="U806" s="86" t="str">
        <f>IF(AND($N806='112'!$I$6,$B806&lt;'112'!$M$9),"x","")</f>
        <v/>
      </c>
      <c r="V806" s="86" t="str">
        <f>IF(AND($O806='112'!$I$6,$B806&lt;'112'!$M$9),"x","")</f>
        <v/>
      </c>
      <c r="W806" s="86" t="str">
        <f>IF(AND('131-CT'!$H$9=TH!H806,OR(N806="131",O806="131")),"x","")</f>
        <v/>
      </c>
      <c r="X806" s="86" t="str">
        <f>IF(AND($B806&gt;='1331'!$I$9,$B806&lt;='1331'!$J$9,OR($N806=$X$7,$O806=$X$7)),"x","")</f>
        <v/>
      </c>
      <c r="Y806" s="86" t="str">
        <f>IF(AND($N806=$X$7,$B806&lt;'1331'!$I$9),"x","")</f>
        <v/>
      </c>
      <c r="Z806" s="86" t="str">
        <f>IF(AND($O806=$X$7,$B806&lt;'1331'!$I$9),"x","")</f>
        <v/>
      </c>
      <c r="AA806" s="86" t="str">
        <f>IF(AND('341-CT'!$H$9=H806,OR(LEFT(N806,3)=$AA$7,LEFT(O806,3)=$AA$7)),"x","")</f>
        <v/>
      </c>
      <c r="AB806" s="86" t="str">
        <f>IF(OR(TH!N806=TH!$AB$7,O806=TH!$AB$7),"x","")</f>
        <v/>
      </c>
      <c r="AC806" s="86" t="str">
        <f t="shared" si="49"/>
        <v/>
      </c>
      <c r="AD806" s="86" t="str">
        <f>IF(AND(MONTH(E806)&lt;='IN-NX'!$P$3,'IN-NX'!$D$7=D806,OR(LEFT(TH!N806,2)="15",LEFT(TH!O806,2)="15")),"x","")</f>
        <v/>
      </c>
      <c r="AE806" s="86" t="str">
        <f>IF(AND(OR(LEFT(TH!N806,2)="15",LEFT(TH!O806,2)="15"),'152-CT'!$J$8=TH!F806),"x","")</f>
        <v/>
      </c>
      <c r="AF806" s="86" t="str">
        <f>IF(AND(OR(LEFT(TH!N806,2)="15",LEFT(TH!O806,2)="15"),'THE KHO'!$E$7=TH!F806),"x","")</f>
        <v/>
      </c>
      <c r="AG806" s="86" t="str">
        <f>IF(AND(N806="1521",MONTH(C806)='BK NL'!$M$11),"x","")</f>
        <v/>
      </c>
    </row>
    <row r="807" spans="1:33" ht="15.75" customHeight="1">
      <c r="A807" s="398" t="str">
        <f>IF(B807&lt;&gt;"",IF(AND(B807&gt;=_TM1,B807&lt;=_TM2,OR(TH!N807="1111",TH!O807="1111")),TH!D807,""),"")</f>
        <v/>
      </c>
      <c r="B807" s="63" t="str">
        <f>IF(C807&lt;&gt;"",MONTH(C807),"")</f>
        <v/>
      </c>
      <c r="C807" s="64"/>
      <c r="D807" s="64"/>
      <c r="E807" s="64"/>
      <c r="F807" s="67"/>
      <c r="G807" s="361"/>
      <c r="H807" s="74"/>
      <c r="I807" s="515"/>
      <c r="J807" s="515"/>
      <c r="K807" s="507"/>
      <c r="L807" s="515"/>
      <c r="M807" s="65"/>
      <c r="N807" s="66"/>
      <c r="O807" s="66"/>
      <c r="P807" s="86" t="str">
        <f>IF(AND('331-CT'!$E$7=TH!H807,OR(N807="331",O807="331")),"x","")</f>
        <v/>
      </c>
      <c r="Q807" s="86" t="str">
        <f>IF(AND($B807&gt;='111'!$N$11,$B807&lt;='111'!$O$11,OR($N807=$Q$7,$O807=$Q$7)),"x","")</f>
        <v/>
      </c>
      <c r="R807" s="86" t="str">
        <f>IF(AND($N807=$Q$7,$B807&lt;'111'!$N$11),"x","")</f>
        <v/>
      </c>
      <c r="S807" s="86" t="str">
        <f>IF(AND($O807=$Q$7,$B807&lt;'111'!$N$11),"x","")</f>
        <v/>
      </c>
      <c r="T807" s="86" t="str">
        <f>IF(AND($B807&gt;='112'!$M$9,$B807&lt;='112'!$N$9,OR($N807='112'!$I$6,$O807='112'!$I$6)),"x","")</f>
        <v/>
      </c>
      <c r="U807" s="86" t="str">
        <f>IF(AND($N807='112'!$I$6,$B807&lt;'112'!$M$9),"x","")</f>
        <v/>
      </c>
      <c r="V807" s="86" t="str">
        <f>IF(AND($O807='112'!$I$6,$B807&lt;'112'!$M$9),"x","")</f>
        <v/>
      </c>
      <c r="W807" s="86" t="str">
        <f>IF(AND('131-CT'!$H$9=TH!H807,OR(N807="131",O807="131")),"x","")</f>
        <v/>
      </c>
      <c r="X807" s="86" t="str">
        <f>IF(AND($B807&gt;='1331'!$I$9,$B807&lt;='1331'!$J$9,OR($N807=$X$7,$O807=$X$7)),"x","")</f>
        <v/>
      </c>
      <c r="Y807" s="86" t="str">
        <f>IF(AND($N807=$X$7,$B807&lt;'1331'!$I$9),"x","")</f>
        <v/>
      </c>
      <c r="Z807" s="86" t="str">
        <f>IF(AND($O807=$X$7,$B807&lt;'1331'!$I$9),"x","")</f>
        <v/>
      </c>
      <c r="AA807" s="86" t="str">
        <f>IF(AND('341-CT'!$H$9=H807,OR(LEFT(N807,3)=$AA$7,LEFT(O807,3)=$AA$7)),"x","")</f>
        <v/>
      </c>
      <c r="AB807" s="86" t="str">
        <f>IF(OR(TH!N807=TH!$AB$7,O807=TH!$AB$7),"x","")</f>
        <v/>
      </c>
      <c r="AC807" s="86" t="str">
        <f t="shared" si="49"/>
        <v/>
      </c>
      <c r="AD807" s="86" t="str">
        <f>IF(AND(MONTH(E807)&lt;='IN-NX'!$P$3,'IN-NX'!$D$7=D807,OR(LEFT(TH!N807,2)="15",LEFT(TH!O807,2)="15")),"x","")</f>
        <v/>
      </c>
      <c r="AE807" s="86" t="str">
        <f>IF(AND(OR(LEFT(TH!N807,2)="15",LEFT(TH!O807,2)="15"),'152-CT'!$J$8=TH!F807),"x","")</f>
        <v/>
      </c>
      <c r="AF807" s="86" t="str">
        <f>IF(AND(OR(LEFT(TH!N807,2)="15",LEFT(TH!O807,2)="15"),'THE KHO'!$E$7=TH!F807),"x","")</f>
        <v/>
      </c>
      <c r="AG807" s="86" t="str">
        <f>IF(AND(N807="1521",MONTH(C807)='BK NL'!$M$11),"x","")</f>
        <v/>
      </c>
    </row>
    <row r="808" spans="1:33" ht="15.75" customHeight="1">
      <c r="A808" s="398" t="str">
        <f>IF(B808&lt;&gt;"",IF(AND(B808&gt;=_TM1,B808&lt;=_TM2,OR(TH!N808="1111",TH!O808="1111")),TH!D808,""),"")</f>
        <v/>
      </c>
      <c r="B808" s="63" t="str">
        <f>IF(C808&lt;&gt;"",MONTH(C808),"")</f>
        <v/>
      </c>
      <c r="C808" s="64"/>
      <c r="D808" s="64"/>
      <c r="E808" s="64"/>
      <c r="F808" s="67"/>
      <c r="G808" s="361"/>
      <c r="H808" s="74"/>
      <c r="I808" s="515"/>
      <c r="J808" s="515"/>
      <c r="K808" s="507"/>
      <c r="L808" s="515"/>
      <c r="M808" s="65"/>
      <c r="N808" s="66"/>
      <c r="O808" s="66"/>
      <c r="P808" s="86" t="str">
        <f>IF(AND('331-CT'!$E$7=TH!H808,OR(N808="331",O808="331")),"x","")</f>
        <v/>
      </c>
      <c r="Q808" s="86" t="str">
        <f>IF(AND($B808&gt;='111'!$N$11,$B808&lt;='111'!$O$11,OR($N808=$Q$7,$O808=$Q$7)),"x","")</f>
        <v/>
      </c>
      <c r="R808" s="86" t="str">
        <f>IF(AND($N808=$Q$7,$B808&lt;'111'!$N$11),"x","")</f>
        <v/>
      </c>
      <c r="S808" s="86" t="str">
        <f>IF(AND($O808=$Q$7,$B808&lt;'111'!$N$11),"x","")</f>
        <v/>
      </c>
      <c r="T808" s="86" t="str">
        <f>IF(AND($B808&gt;='112'!$M$9,$B808&lt;='112'!$N$9,OR($N808='112'!$I$6,$O808='112'!$I$6)),"x","")</f>
        <v/>
      </c>
      <c r="U808" s="86" t="str">
        <f>IF(AND($N808='112'!$I$6,$B808&lt;'112'!$M$9),"x","")</f>
        <v/>
      </c>
      <c r="V808" s="86" t="str">
        <f>IF(AND($O808='112'!$I$6,$B808&lt;'112'!$M$9),"x","")</f>
        <v/>
      </c>
      <c r="W808" s="86" t="str">
        <f>IF(AND('131-CT'!$H$9=TH!H808,OR(N808="131",O808="131")),"x","")</f>
        <v/>
      </c>
      <c r="X808" s="86" t="str">
        <f>IF(AND($B808&gt;='1331'!$I$9,$B808&lt;='1331'!$J$9,OR($N808=$X$7,$O808=$X$7)),"x","")</f>
        <v/>
      </c>
      <c r="Y808" s="86" t="str">
        <f>IF(AND($N808=$X$7,$B808&lt;'1331'!$I$9),"x","")</f>
        <v/>
      </c>
      <c r="Z808" s="86" t="str">
        <f>IF(AND($O808=$X$7,$B808&lt;'1331'!$I$9),"x","")</f>
        <v/>
      </c>
      <c r="AA808" s="86" t="str">
        <f>IF(AND('341-CT'!$H$9=H808,OR(LEFT(N808,3)=$AA$7,LEFT(O808,3)=$AA$7)),"x","")</f>
        <v/>
      </c>
      <c r="AB808" s="86" t="str">
        <f>IF(OR(TH!N808=TH!$AB$7,O808=TH!$AB$7),"x","")</f>
        <v/>
      </c>
      <c r="AC808" s="86" t="str">
        <f t="shared" si="49"/>
        <v/>
      </c>
      <c r="AD808" s="86" t="str">
        <f>IF(AND(MONTH(E808)&lt;='IN-NX'!$P$3,'IN-NX'!$D$7=D808,OR(LEFT(TH!N808,2)="15",LEFT(TH!O808,2)="15")),"x","")</f>
        <v/>
      </c>
      <c r="AE808" s="86" t="str">
        <f>IF(AND(OR(LEFT(TH!N808,2)="15",LEFT(TH!O808,2)="15"),'152-CT'!$J$8=TH!F808),"x","")</f>
        <v/>
      </c>
      <c r="AF808" s="86" t="str">
        <f>IF(AND(OR(LEFT(TH!N808,2)="15",LEFT(TH!O808,2)="15"),'THE KHO'!$E$7=TH!F808),"x","")</f>
        <v/>
      </c>
      <c r="AG808" s="86" t="str">
        <f>IF(AND(N808="1521",MONTH(C808)='BK NL'!$M$11),"x","")</f>
        <v/>
      </c>
    </row>
  </sheetData>
  <autoFilter ref="A9:AD808"/>
  <sortState ref="A244:AH407">
    <sortCondition ref="C244:C407"/>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2" customWidth="1"/>
    <col min="2" max="2" width="8.5703125" style="292" customWidth="1"/>
    <col min="3" max="3" width="7.42578125" style="292" customWidth="1"/>
    <col min="4" max="4" width="9" style="292" customWidth="1"/>
    <col min="5" max="5" width="40" style="292" customWidth="1"/>
    <col min="6" max="6" width="14.140625" style="292" customWidth="1"/>
    <col min="7" max="8" width="5.85546875" style="293" customWidth="1"/>
    <col min="9" max="9" width="4.85546875" style="292" customWidth="1"/>
    <col min="10" max="10" width="13" style="292" customWidth="1"/>
    <col min="11" max="11" width="12" style="292" customWidth="1"/>
    <col min="12" max="12" width="13.28515625" style="292" customWidth="1"/>
    <col min="13" max="13" width="13.5703125" style="292" customWidth="1"/>
    <col min="14" max="14" width="13.28515625" style="292" customWidth="1"/>
    <col min="15" max="15" width="13.5703125" style="292" customWidth="1"/>
    <col min="16" max="16" width="11.7109375" style="292" customWidth="1"/>
    <col min="17" max="17" width="6.140625" style="292" customWidth="1"/>
    <col min="18" max="18" width="8.140625" style="292" customWidth="1"/>
    <col min="19" max="19" width="7.28515625" style="292" customWidth="1"/>
    <col min="20" max="20" width="12.7109375" style="292" customWidth="1"/>
    <col min="21" max="21" width="7.140625" style="292" customWidth="1"/>
    <col min="22" max="22" width="13.85546875" style="292" customWidth="1"/>
    <col min="23" max="23" width="5.85546875" style="292" customWidth="1"/>
    <col min="24" max="24" width="7.140625" style="292" customWidth="1"/>
    <col min="25" max="25" width="6" style="292" customWidth="1"/>
    <col min="26" max="26" width="11.28515625" style="292" customWidth="1"/>
    <col min="27" max="28" width="11.5703125" style="292" customWidth="1"/>
    <col min="29" max="29" width="12" style="292" customWidth="1"/>
    <col min="30" max="30" width="6.5703125" style="292" customWidth="1"/>
    <col min="31" max="31" width="15.7109375" style="292" customWidth="1"/>
    <col min="32" max="32" width="6.5703125" style="292" customWidth="1"/>
    <col min="33" max="33" width="15.7109375" style="292" customWidth="1"/>
    <col min="34" max="34" width="6.28515625" style="292" customWidth="1"/>
    <col min="35" max="36" width="12.5703125" style="292" customWidth="1"/>
    <col min="37" max="37" width="6.28515625" style="292" customWidth="1"/>
    <col min="38" max="38" width="9.7109375" style="292" customWidth="1"/>
    <col min="39" max="39" width="10.42578125" style="292" customWidth="1"/>
    <col min="40" max="45" width="12.5703125" style="292" customWidth="1"/>
    <col min="46" max="46" width="10.140625" style="292" customWidth="1"/>
    <col min="47" max="47" width="11.85546875" style="292" customWidth="1"/>
    <col min="48" max="48" width="9.140625" style="292" customWidth="1"/>
    <col min="49" max="51" width="10.7109375" style="292" customWidth="1"/>
    <col min="52" max="52" width="14.28515625" style="292" customWidth="1"/>
    <col min="53" max="53" width="14.5703125" style="292" customWidth="1"/>
    <col min="54" max="16384" width="9.140625" style="292"/>
  </cols>
  <sheetData>
    <row r="1" spans="1:53" ht="12.75" customHeight="1">
      <c r="A1" s="288"/>
      <c r="B1" s="289" t="s">
        <v>157</v>
      </c>
      <c r="C1" s="290"/>
      <c r="D1" s="290"/>
      <c r="E1" s="291"/>
      <c r="I1" s="290"/>
      <c r="M1" s="1081" t="s">
        <v>282</v>
      </c>
      <c r="N1" s="1081"/>
      <c r="O1" s="1081"/>
      <c r="P1" s="1081"/>
      <c r="Q1" s="1081"/>
      <c r="R1" s="1081"/>
      <c r="S1" s="1081"/>
      <c r="X1" s="290"/>
      <c r="Y1" s="290"/>
      <c r="Z1" s="291"/>
      <c r="AA1" s="291"/>
      <c r="AB1" s="291"/>
      <c r="AC1" s="291"/>
      <c r="AD1" s="291"/>
      <c r="AE1" s="291"/>
      <c r="AF1" s="291"/>
      <c r="AG1" s="291"/>
      <c r="AH1" s="291"/>
      <c r="AI1" s="291"/>
      <c r="AJ1" s="291"/>
      <c r="AK1" s="291"/>
      <c r="AL1" s="291"/>
      <c r="AM1" s="291"/>
      <c r="AN1" s="291"/>
      <c r="AO1" s="291"/>
      <c r="AP1" s="291"/>
      <c r="AQ1" s="291"/>
      <c r="AR1" s="291"/>
      <c r="AS1" s="291"/>
      <c r="AT1" s="290"/>
      <c r="AU1" s="290"/>
      <c r="AV1" s="290"/>
      <c r="AW1" s="290"/>
      <c r="AX1" s="290"/>
      <c r="AY1" s="290"/>
      <c r="AZ1" s="290"/>
      <c r="BA1" s="290"/>
    </row>
    <row r="2" spans="1:53" ht="12.75" customHeight="1">
      <c r="A2" s="288"/>
      <c r="B2" s="289" t="s">
        <v>271</v>
      </c>
      <c r="C2" s="290"/>
      <c r="D2" s="290"/>
      <c r="E2" s="290"/>
      <c r="I2" s="294"/>
      <c r="M2" s="1082" t="s">
        <v>224</v>
      </c>
      <c r="N2" s="1082"/>
      <c r="O2" s="1082"/>
      <c r="P2" s="1082"/>
      <c r="Q2" s="1082"/>
      <c r="R2" s="1082"/>
      <c r="S2" s="1082"/>
      <c r="X2" s="294"/>
      <c r="Y2" s="294"/>
      <c r="Z2" s="295"/>
      <c r="AA2" s="295"/>
      <c r="AB2" s="295"/>
      <c r="AC2" s="295"/>
      <c r="AD2" s="295"/>
      <c r="AE2" s="295"/>
      <c r="AF2" s="295"/>
      <c r="AG2" s="295"/>
      <c r="AH2" s="295"/>
      <c r="AI2" s="295"/>
      <c r="AJ2" s="295"/>
      <c r="AK2" s="295"/>
      <c r="AL2" s="295"/>
      <c r="AM2" s="295"/>
      <c r="AN2" s="295"/>
      <c r="AO2" s="295"/>
      <c r="AP2" s="295"/>
      <c r="AQ2" s="295"/>
      <c r="AR2" s="295"/>
      <c r="AS2" s="295"/>
      <c r="AT2" s="294"/>
      <c r="AU2" s="294"/>
      <c r="AV2" s="294"/>
      <c r="AW2" s="294"/>
      <c r="AX2" s="294"/>
      <c r="AY2" s="294"/>
      <c r="AZ2" s="294"/>
      <c r="BA2" s="294"/>
    </row>
    <row r="3" spans="1:53" ht="10.5" customHeight="1">
      <c r="A3" s="290"/>
      <c r="B3" s="290"/>
      <c r="C3" s="290"/>
      <c r="D3" s="290"/>
      <c r="E3" s="290"/>
      <c r="F3" s="294"/>
      <c r="G3" s="296"/>
      <c r="H3" s="296"/>
      <c r="I3" s="294"/>
      <c r="M3" s="1082"/>
      <c r="N3" s="1082"/>
      <c r="O3" s="1082"/>
      <c r="P3" s="1082"/>
      <c r="Q3" s="1082"/>
      <c r="R3" s="1082"/>
      <c r="S3" s="1082"/>
      <c r="X3" s="294"/>
      <c r="Y3" s="294"/>
      <c r="Z3" s="295"/>
      <c r="AA3" s="295"/>
      <c r="AB3" s="295"/>
      <c r="AC3" s="295"/>
      <c r="AD3" s="295"/>
      <c r="AE3" s="295"/>
      <c r="AF3" s="295"/>
      <c r="AG3" s="295"/>
      <c r="AH3" s="295"/>
      <c r="AI3" s="295"/>
      <c r="AJ3" s="295"/>
      <c r="AK3" s="295"/>
      <c r="AL3" s="295"/>
      <c r="AM3" s="295"/>
      <c r="AN3" s="295"/>
      <c r="AO3" s="295"/>
      <c r="AP3" s="295"/>
      <c r="AQ3" s="295"/>
      <c r="AR3" s="295"/>
      <c r="AS3" s="295"/>
      <c r="AT3" s="294"/>
      <c r="AU3" s="294"/>
      <c r="AV3" s="294"/>
      <c r="AW3" s="294"/>
      <c r="AX3" s="294"/>
      <c r="AY3" s="294"/>
      <c r="AZ3" s="294"/>
      <c r="BA3" s="294"/>
    </row>
    <row r="4" spans="1:53" ht="19.5" customHeight="1">
      <c r="B4" s="1083" t="s">
        <v>147</v>
      </c>
      <c r="C4" s="1083"/>
      <c r="D4" s="1083"/>
      <c r="E4" s="1083"/>
      <c r="F4" s="1083"/>
      <c r="G4" s="1083"/>
      <c r="H4" s="1083"/>
      <c r="I4" s="1083"/>
      <c r="J4" s="1083"/>
      <c r="K4" s="1083"/>
      <c r="L4" s="1083"/>
      <c r="M4" s="1083"/>
      <c r="N4" s="1083"/>
      <c r="O4" s="1083"/>
      <c r="P4" s="1083"/>
      <c r="Q4" s="1083"/>
      <c r="R4" s="1083"/>
      <c r="S4" s="297"/>
      <c r="T4" s="297"/>
      <c r="U4" s="297"/>
      <c r="V4" s="297"/>
      <c r="W4" s="297"/>
      <c r="X4" s="298"/>
      <c r="Y4" s="298"/>
      <c r="Z4" s="297"/>
      <c r="AA4" s="297"/>
      <c r="AB4" s="297"/>
      <c r="AC4" s="297"/>
      <c r="AD4" s="297"/>
      <c r="AE4" s="297"/>
      <c r="AF4" s="297"/>
      <c r="AG4" s="297"/>
      <c r="AH4" s="297"/>
      <c r="AI4" s="297"/>
      <c r="AJ4" s="297"/>
      <c r="AK4" s="297"/>
      <c r="AL4" s="297"/>
      <c r="AM4" s="297"/>
      <c r="AN4" s="297"/>
      <c r="AO4" s="297"/>
      <c r="AP4" s="297"/>
      <c r="AQ4" s="297"/>
      <c r="AR4" s="297"/>
      <c r="AS4" s="297"/>
      <c r="AT4" s="299"/>
      <c r="AU4" s="299"/>
      <c r="AV4" s="299"/>
      <c r="AW4" s="299"/>
      <c r="AX4" s="299"/>
      <c r="AY4" s="299"/>
      <c r="AZ4" s="299"/>
      <c r="BA4" s="299"/>
    </row>
    <row r="5" spans="1:53" ht="15">
      <c r="B5" s="1084" t="s">
        <v>283</v>
      </c>
      <c r="C5" s="1084"/>
      <c r="D5" s="1084"/>
      <c r="E5" s="1084"/>
      <c r="F5" s="1084"/>
      <c r="G5" s="1084"/>
      <c r="H5" s="1084"/>
      <c r="I5" s="1084"/>
      <c r="J5" s="1084"/>
      <c r="K5" s="1084"/>
      <c r="L5" s="1084"/>
      <c r="M5" s="1084"/>
      <c r="N5" s="1084"/>
      <c r="O5" s="1084"/>
      <c r="P5" s="1084"/>
      <c r="Q5" s="1084"/>
      <c r="R5" s="1084"/>
      <c r="S5" s="300"/>
      <c r="T5" s="300"/>
      <c r="U5" s="300"/>
      <c r="V5" s="300"/>
      <c r="W5" s="300"/>
      <c r="X5" s="301"/>
      <c r="Y5" s="301"/>
      <c r="Z5" s="300"/>
      <c r="AA5" s="300"/>
      <c r="AB5" s="300"/>
      <c r="AC5" s="300"/>
      <c r="AD5" s="300"/>
      <c r="AE5" s="300"/>
      <c r="AF5" s="300"/>
      <c r="AG5" s="300"/>
      <c r="AH5" s="300"/>
      <c r="AI5" s="300"/>
      <c r="AJ5" s="300"/>
      <c r="AK5" s="300"/>
      <c r="AL5" s="300"/>
      <c r="AM5" s="300"/>
      <c r="AN5" s="300"/>
      <c r="AO5" s="300"/>
      <c r="AP5" s="300"/>
      <c r="AQ5" s="300"/>
      <c r="AR5" s="300"/>
      <c r="AS5" s="300"/>
    </row>
    <row r="6" spans="1:53">
      <c r="P6" s="292" t="s">
        <v>228</v>
      </c>
    </row>
    <row r="7" spans="1:53" ht="13.5" customHeight="1">
      <c r="A7" s="1085" t="s">
        <v>46</v>
      </c>
      <c r="B7" s="1079" t="s">
        <v>27</v>
      </c>
      <c r="C7" s="1087" t="s">
        <v>1</v>
      </c>
      <c r="D7" s="1088"/>
      <c r="E7" s="1079" t="s">
        <v>0</v>
      </c>
      <c r="F7" s="1079" t="s">
        <v>148</v>
      </c>
      <c r="G7" s="1089" t="s">
        <v>149</v>
      </c>
      <c r="H7" s="1089"/>
      <c r="I7" s="1080" t="s">
        <v>46</v>
      </c>
      <c r="J7" s="1079" t="s">
        <v>284</v>
      </c>
      <c r="K7" s="1079"/>
      <c r="L7" s="1079" t="s">
        <v>285</v>
      </c>
      <c r="M7" s="1079"/>
      <c r="N7" s="1079" t="s">
        <v>466</v>
      </c>
      <c r="O7" s="1079"/>
      <c r="P7" s="1079" t="s">
        <v>286</v>
      </c>
      <c r="Q7" s="1079"/>
      <c r="R7" s="1079" t="s">
        <v>287</v>
      </c>
      <c r="S7" s="1079"/>
      <c r="T7" s="1079" t="s">
        <v>288</v>
      </c>
      <c r="U7" s="1079"/>
      <c r="V7" s="1079" t="s">
        <v>289</v>
      </c>
      <c r="W7" s="1079"/>
      <c r="X7" s="1079" t="s">
        <v>290</v>
      </c>
      <c r="Y7" s="1079"/>
      <c r="Z7" s="1079" t="s">
        <v>291</v>
      </c>
      <c r="AA7" s="1079"/>
      <c r="AB7" s="1079" t="s">
        <v>292</v>
      </c>
      <c r="AC7" s="1079"/>
      <c r="AD7" s="1079" t="s">
        <v>293</v>
      </c>
      <c r="AE7" s="1079"/>
      <c r="AF7" s="1079" t="s">
        <v>455</v>
      </c>
      <c r="AG7" s="1079"/>
      <c r="AH7" s="1079" t="s">
        <v>294</v>
      </c>
      <c r="AI7" s="1079"/>
      <c r="AJ7" s="1079" t="s">
        <v>295</v>
      </c>
      <c r="AK7" s="1079"/>
      <c r="AL7" s="1079" t="s">
        <v>296</v>
      </c>
      <c r="AM7" s="1079"/>
      <c r="AN7" s="1079" t="s">
        <v>297</v>
      </c>
      <c r="AO7" s="1079"/>
      <c r="AP7" s="1079" t="s">
        <v>298</v>
      </c>
      <c r="AQ7" s="1079"/>
      <c r="AR7" s="1079" t="s">
        <v>299</v>
      </c>
      <c r="AS7" s="1079"/>
      <c r="AT7" s="1079" t="s">
        <v>300</v>
      </c>
      <c r="AU7" s="1079"/>
      <c r="AV7" s="1079" t="s">
        <v>301</v>
      </c>
      <c r="AW7" s="1079"/>
      <c r="AX7" s="1079" t="s">
        <v>302</v>
      </c>
      <c r="AY7" s="1079"/>
      <c r="AZ7" s="1079" t="s">
        <v>303</v>
      </c>
      <c r="BA7" s="1079"/>
    </row>
    <row r="8" spans="1:53" ht="22.5" customHeight="1">
      <c r="A8" s="1086"/>
      <c r="B8" s="1079"/>
      <c r="C8" s="303" t="s">
        <v>20</v>
      </c>
      <c r="D8" s="302" t="s">
        <v>39</v>
      </c>
      <c r="E8" s="1079"/>
      <c r="F8" s="1079"/>
      <c r="G8" s="304" t="s">
        <v>29</v>
      </c>
      <c r="H8" s="304" t="s">
        <v>30</v>
      </c>
      <c r="I8" s="1080"/>
      <c r="J8" s="302" t="s">
        <v>29</v>
      </c>
      <c r="K8" s="302" t="s">
        <v>30</v>
      </c>
      <c r="L8" s="302" t="s">
        <v>29</v>
      </c>
      <c r="M8" s="302" t="s">
        <v>30</v>
      </c>
      <c r="N8" s="503" t="s">
        <v>29</v>
      </c>
      <c r="O8" s="503"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8" t="s">
        <v>29</v>
      </c>
      <c r="AG8" s="498"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IF(C10&lt;&gt;0,SUM(($C10:C$16&lt;&gt;0)*1),"")</f>
        <v/>
      </c>
      <c r="B10" s="307"/>
      <c r="C10" s="308"/>
      <c r="D10" s="307"/>
      <c r="E10" s="309" t="s">
        <v>304</v>
      </c>
      <c r="F10" s="310"/>
      <c r="G10" s="311"/>
      <c r="H10" s="311"/>
      <c r="I10" s="312"/>
      <c r="J10" s="313">
        <f>CDPS!C10</f>
        <v>1342165410</v>
      </c>
      <c r="K10" s="313">
        <f>CDPS!D10</f>
        <v>0</v>
      </c>
      <c r="L10" s="313">
        <f>CDPS!C12</f>
        <v>1694774692</v>
      </c>
      <c r="M10" s="313">
        <f>CDPS!D12</f>
        <v>0</v>
      </c>
      <c r="N10" s="313">
        <f>CDPS!C13</f>
        <v>0</v>
      </c>
      <c r="O10" s="313">
        <f>CDPS!D13</f>
        <v>0</v>
      </c>
      <c r="P10" s="313">
        <f>CDPS!C16</f>
        <v>452614594</v>
      </c>
      <c r="Q10" s="313">
        <f>CDPS!D16</f>
        <v>0</v>
      </c>
      <c r="R10" s="313">
        <f>CDPS!C18</f>
        <v>0</v>
      </c>
      <c r="S10" s="313">
        <f>CDPS!D18</f>
        <v>0</v>
      </c>
      <c r="T10" s="313">
        <f>CDPS!C31</f>
        <v>22599987302</v>
      </c>
      <c r="U10" s="313">
        <f>CDPS!D31</f>
        <v>0</v>
      </c>
      <c r="V10" s="313">
        <f>CDPS!C33</f>
        <v>4310031764</v>
      </c>
      <c r="W10" s="313">
        <f>CDPS!D33</f>
        <v>0</v>
      </c>
      <c r="X10" s="313">
        <f>CDPS!C34</f>
        <v>0</v>
      </c>
      <c r="Y10" s="313">
        <f>CDPS!D34</f>
        <v>0</v>
      </c>
      <c r="Z10" s="313">
        <f>CDPS!C35</f>
        <v>0</v>
      </c>
      <c r="AA10" s="313">
        <f>CDPS!D35</f>
        <v>0</v>
      </c>
      <c r="AB10" s="313">
        <f>CDPS!C38</f>
        <v>0</v>
      </c>
      <c r="AC10" s="313">
        <f>CDPS!D38</f>
        <v>5000000000</v>
      </c>
      <c r="AD10" s="313">
        <f>CDPS!C40</f>
        <v>0</v>
      </c>
      <c r="AE10" s="313">
        <f>CDPS!D40</f>
        <v>20000000000</v>
      </c>
      <c r="AF10" s="313">
        <f>CDPS!C41</f>
        <v>0</v>
      </c>
      <c r="AG10" s="313">
        <f>CDPS!D41</f>
        <v>1982640000</v>
      </c>
      <c r="AH10" s="313">
        <f>CDPS!C43</f>
        <v>0</v>
      </c>
      <c r="AI10" s="313">
        <f>CDPS!D43</f>
        <v>4000000000</v>
      </c>
      <c r="AJ10" s="313">
        <f>CDPS!C45</f>
        <v>223589505</v>
      </c>
      <c r="AK10" s="313">
        <f>CDPS!D45</f>
        <v>0</v>
      </c>
      <c r="AL10" s="313">
        <f>CDPS!C46</f>
        <v>359476733</v>
      </c>
      <c r="AM10" s="313">
        <f>CDPS!D46</f>
        <v>0</v>
      </c>
      <c r="AN10" s="313">
        <f>CDPS!C52</f>
        <v>0</v>
      </c>
      <c r="AO10" s="313">
        <f>CDPS!D52</f>
        <v>0</v>
      </c>
      <c r="AP10" s="313">
        <v>0</v>
      </c>
      <c r="AQ10" s="313">
        <v>0</v>
      </c>
      <c r="AR10" s="313">
        <v>0</v>
      </c>
      <c r="AS10" s="313">
        <v>0</v>
      </c>
      <c r="AT10" s="313">
        <v>0</v>
      </c>
      <c r="AU10" s="313">
        <v>0</v>
      </c>
      <c r="AV10" s="313">
        <v>0</v>
      </c>
      <c r="AW10" s="313">
        <v>0</v>
      </c>
      <c r="AX10" s="313">
        <v>0</v>
      </c>
      <c r="AY10" s="313">
        <v>0</v>
      </c>
      <c r="AZ10" s="313">
        <v>0</v>
      </c>
      <c r="BA10" s="313">
        <v>0</v>
      </c>
    </row>
    <row r="11" spans="1:53" s="314" customFormat="1" ht="15" customHeight="1">
      <c r="A11" s="63">
        <f t="array" aca="1" ref="A11" ca="1">IF(C11&lt;&gt;0,SUM(($C$11:C11&lt;&gt;0)*1),"")</f>
        <v>1</v>
      </c>
      <c r="B11" s="315">
        <f ca="1">IF(ROWS($1:1)&gt;COUNT(Dong6),"",OFFSET(TH!C$1,SMALL(Dong6,ROWS($1:1)),))</f>
        <v>42370</v>
      </c>
      <c r="C11" s="315" t="str">
        <f ca="1">IF(ROWS($1:1)&gt;COUNT(Dong6),"",OFFSET(TH!D$1,SMALL(Dong6,ROWS($1:1)),))</f>
        <v>CTGS</v>
      </c>
      <c r="D11" s="315">
        <f ca="1">IF(ROWS($1:1)&gt;COUNT(Dong6),"",OFFSET(TH!E$1,SMALL(Dong6,ROWS($1:1)),))</f>
        <v>42370</v>
      </c>
      <c r="E11" s="370" t="str">
        <f ca="1">IF(ROWS($1:1)&gt;COUNT(Dong6),"",OFFSET(TH!F$1,SMALL(Dong6,ROWS($1:1)),))</f>
        <v>Gas</v>
      </c>
      <c r="F11" s="371">
        <f ca="1">IF(ROWS($1:1)&gt;COUNT(Dong6),"",OFFSET(TH!M$1,SMALL(Dong6,ROWS($1:1)),))</f>
        <v>10490880</v>
      </c>
      <c r="G11" s="372" t="str">
        <f ca="1">IF(ROWS($1:1)&gt;COUNT(Dong6),"",OFFSET(TH!N$1,SMALL(Dong6,ROWS($1:1)),))</f>
        <v>642</v>
      </c>
      <c r="H11" s="372" t="str">
        <f ca="1">IF(ROWS($1:1)&gt;COUNT(Dong6),"",OFFSET(TH!O$1,SMALL(Dong6,ROWS($1:1)),))</f>
        <v>331</v>
      </c>
      <c r="I11" s="63">
        <f t="shared" ref="I11:I34" ca="1" si="0">A11</f>
        <v>1</v>
      </c>
      <c r="J11" s="317">
        <f t="shared" ref="J11:J73" ca="1" si="1">IF($G11="1111",$F11,0)</f>
        <v>0</v>
      </c>
      <c r="K11" s="317">
        <f t="shared" ref="K11:K73" ca="1" si="2">IF($H11="1111",$F11,0)</f>
        <v>0</v>
      </c>
      <c r="L11" s="317">
        <f t="shared" ref="L11:L73" ca="1" si="3">IF($G11="1121",$F11,0)</f>
        <v>0</v>
      </c>
      <c r="M11" s="317">
        <f t="shared" ref="M11:M73" ca="1" si="4">IF($H11="1121",$F11,0)</f>
        <v>0</v>
      </c>
      <c r="N11" s="317">
        <f ca="1">IF($G11="1122",$F11,0)</f>
        <v>0</v>
      </c>
      <c r="O11" s="317">
        <f ca="1">IF($H11="1122",$F11,0)</f>
        <v>0</v>
      </c>
      <c r="P11" s="317">
        <f t="shared" ref="P11:P73" ca="1" si="5">IF($G11="1331",$F11,0)</f>
        <v>0</v>
      </c>
      <c r="Q11" s="317">
        <f t="shared" ref="Q11:Q73" ca="1" si="6">IF($H11="1331",$F11,0)</f>
        <v>0</v>
      </c>
      <c r="R11" s="317">
        <f t="shared" ref="R11:R73" ca="1" si="7">IF($G11="1388",$F11,0)</f>
        <v>0</v>
      </c>
      <c r="S11" s="317">
        <f t="shared" ref="S11:S73" ca="1" si="8">IF($H11="1388",$F11,0)</f>
        <v>0</v>
      </c>
      <c r="T11" s="317">
        <f ca="1">IF($G11="2412",$F11,0)</f>
        <v>0</v>
      </c>
      <c r="U11" s="317">
        <f ca="1">IF($H11="2412",$F11,0)</f>
        <v>0</v>
      </c>
      <c r="V11" s="317">
        <f t="shared" ref="V11:V73" ca="1" si="9">IF($G11="331",$F11,0)</f>
        <v>0</v>
      </c>
      <c r="W11" s="317">
        <f t="shared" ref="W11:W73" ca="1" si="10">IF($H11="331",$F11,0)</f>
        <v>10490880</v>
      </c>
      <c r="X11" s="317">
        <f t="shared" ref="X11:X73" ca="1" si="11">IF($G11="3334",$F11,0)</f>
        <v>0</v>
      </c>
      <c r="Y11" s="317">
        <f t="shared" ref="Y11:Y73" ca="1" si="12">IF($H11="3334",$F11,0)</f>
        <v>0</v>
      </c>
      <c r="Z11" s="317">
        <f t="shared" ref="Z11:Z73" ca="1" si="13">IF($G11="33382",$F11,0)</f>
        <v>0</v>
      </c>
      <c r="AA11" s="317">
        <f t="shared" ref="AA11:AA73" ca="1" si="14">IF($H11="33382",$F11,0)</f>
        <v>0</v>
      </c>
      <c r="AB11" s="317">
        <f t="shared" ref="AB11:AB73" ca="1" si="15">IF($G11="3388",$F11,0)</f>
        <v>0</v>
      </c>
      <c r="AC11" s="317">
        <f t="shared" ref="AC11:AC73" ca="1" si="16">IF($H11="3388",$F11,0)</f>
        <v>0</v>
      </c>
      <c r="AD11" s="317">
        <f t="shared" ref="AD11:AD73" ca="1" si="17">IF($G11="3411",$F11,0)</f>
        <v>0</v>
      </c>
      <c r="AE11" s="317">
        <f t="shared" ref="AE11:AE73" ca="1" si="18">IF($H11="3411",$F11,0)</f>
        <v>0</v>
      </c>
      <c r="AF11" s="317">
        <f ca="1">IF($G11="3412",$F11,0)</f>
        <v>0</v>
      </c>
      <c r="AG11" s="317">
        <f ca="1">IF($H11="3412",$F11,0)</f>
        <v>0</v>
      </c>
      <c r="AH11" s="317">
        <f t="shared" ref="AH11:AH73" ca="1" si="19">IF($G11="4111",$F11,0)</f>
        <v>0</v>
      </c>
      <c r="AI11" s="317">
        <f t="shared" ref="AI11:AI73" ca="1" si="20">IF($H11="4111",$F11,0)</f>
        <v>0</v>
      </c>
      <c r="AJ11" s="317">
        <f t="shared" ref="AJ11:AJ73" ca="1" si="21">IF($G11="4211",$F11,0)</f>
        <v>0</v>
      </c>
      <c r="AK11" s="317">
        <f t="shared" ref="AK11:AK73" ca="1" si="22">IF($H11="4211",$F11,0)</f>
        <v>0</v>
      </c>
      <c r="AL11" s="317">
        <f t="shared" ref="AL11:AL73" ca="1" si="23">IF($G11="4212",$F11,0)</f>
        <v>0</v>
      </c>
      <c r="AM11" s="317">
        <f t="shared" ref="AM11:AM73" ca="1" si="24">IF($H11="4212",$F11,0)</f>
        <v>0</v>
      </c>
      <c r="AN11" s="317">
        <f t="shared" ref="AN11:AN73" ca="1" si="25">IF($G11="515",$F11,0)</f>
        <v>0</v>
      </c>
      <c r="AO11" s="317">
        <f t="shared" ref="AO11:AO73" ca="1" si="26">IF($H11="515",$F11,0)</f>
        <v>0</v>
      </c>
      <c r="AP11" s="317">
        <f t="shared" ref="AP11:AP73" ca="1" si="27">IF($G11="635",$F11,0)</f>
        <v>0</v>
      </c>
      <c r="AQ11" s="317">
        <f t="shared" ref="AQ11:AQ73" ca="1" si="28">IF($H11="635",$F11,0)</f>
        <v>0</v>
      </c>
      <c r="AR11" s="317">
        <f t="shared" ref="AR11:AR73" ca="1" si="29">IF($G11="642",$F11,0)</f>
        <v>10490880</v>
      </c>
      <c r="AS11" s="317">
        <f t="shared" ref="AS11:AS73" ca="1" si="30">IF($H11="642",$F11,0)</f>
        <v>0</v>
      </c>
      <c r="AT11" s="317">
        <f t="shared" ref="AT11:AT73" ca="1" si="31">IF($G11="711",$F11,0)</f>
        <v>0</v>
      </c>
      <c r="AU11" s="317">
        <f t="shared" ref="AU11:AU73" ca="1" si="32">IF($H11="711",$F11,0)</f>
        <v>0</v>
      </c>
      <c r="AV11" s="317">
        <f t="shared" ref="AV11:AV73" ca="1" si="33">IF($G11="811",$F11,0)</f>
        <v>0</v>
      </c>
      <c r="AW11" s="317">
        <f t="shared" ref="AW11:AW73" ca="1" si="34">IF($H11="811",$F11,0)</f>
        <v>0</v>
      </c>
      <c r="AX11" s="317">
        <f t="shared" ref="AX11:AX73" ca="1" si="35">IF($G11="821",$F11,0)</f>
        <v>0</v>
      </c>
      <c r="AY11" s="317">
        <f t="shared" ref="AY11:AY73" ca="1" si="36">IF($H11="821",$F11,0)</f>
        <v>0</v>
      </c>
      <c r="AZ11" s="317">
        <f t="shared" ref="AZ11:AZ73" ca="1" si="37">IF($G11="911",$F11,0)</f>
        <v>0</v>
      </c>
      <c r="BA11" s="317">
        <f t="shared" ref="BA11:BA73" ca="1" si="38">IF($H11="911",$F11,0)</f>
        <v>0</v>
      </c>
    </row>
    <row r="12" spans="1:53" s="314" customFormat="1" ht="15" customHeight="1">
      <c r="A12" s="63" t="str">
        <f t="array" ref="A12">IF(C12&lt;&gt;0,SUM(($C$11:C12&lt;&gt;0)*1),"")</f>
        <v/>
      </c>
      <c r="B12" s="315"/>
      <c r="C12" s="315"/>
      <c r="D12" s="315"/>
      <c r="E12" s="370"/>
      <c r="F12" s="371"/>
      <c r="G12" s="372"/>
      <c r="H12" s="372"/>
      <c r="I12" s="63" t="str">
        <f t="shared" si="0"/>
        <v/>
      </c>
      <c r="J12" s="317">
        <f t="shared" si="1"/>
        <v>0</v>
      </c>
      <c r="K12" s="317">
        <f t="shared" si="2"/>
        <v>0</v>
      </c>
      <c r="L12" s="317">
        <f t="shared" si="3"/>
        <v>0</v>
      </c>
      <c r="M12" s="317">
        <f t="shared" si="4"/>
        <v>0</v>
      </c>
      <c r="N12" s="317">
        <f t="shared" ref="N12:N73" si="39">IF($G12="1122",$F12,0)</f>
        <v>0</v>
      </c>
      <c r="O12" s="317">
        <f t="shared" ref="O12:O73" si="40">IF($H12="1122",$F12,0)</f>
        <v>0</v>
      </c>
      <c r="P12" s="317">
        <f t="shared" si="5"/>
        <v>0</v>
      </c>
      <c r="Q12" s="317">
        <f t="shared" si="6"/>
        <v>0</v>
      </c>
      <c r="R12" s="317">
        <f t="shared" si="7"/>
        <v>0</v>
      </c>
      <c r="S12" s="317">
        <f t="shared" si="8"/>
        <v>0</v>
      </c>
      <c r="T12" s="317">
        <f t="shared" ref="T12:T73" si="41">IF($G12="2412",$F12,0)</f>
        <v>0</v>
      </c>
      <c r="U12" s="317">
        <f t="shared" ref="U12:U73"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3" si="43">IF($G12="3412",$F12,0)</f>
        <v>0</v>
      </c>
      <c r="AG12" s="317">
        <f t="shared" ref="AG12:AG73"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370"/>
      <c r="F13" s="371"/>
      <c r="G13" s="372"/>
      <c r="H13" s="372"/>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370"/>
      <c r="F14" s="371"/>
      <c r="G14" s="372"/>
      <c r="H14" s="372"/>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370"/>
      <c r="F15" s="371"/>
      <c r="G15" s="372"/>
      <c r="H15" s="372"/>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370"/>
      <c r="F16" s="371"/>
      <c r="G16" s="372"/>
      <c r="H16" s="372"/>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370"/>
      <c r="F17" s="371"/>
      <c r="G17" s="372"/>
      <c r="H17" s="372"/>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370"/>
      <c r="F18" s="371"/>
      <c r="G18" s="372"/>
      <c r="H18" s="372"/>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370"/>
      <c r="F19" s="371"/>
      <c r="G19" s="372"/>
      <c r="H19" s="372"/>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370"/>
      <c r="F20" s="371"/>
      <c r="G20" s="372"/>
      <c r="H20" s="372"/>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370"/>
      <c r="F21" s="371"/>
      <c r="G21" s="372"/>
      <c r="H21" s="372"/>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370"/>
      <c r="F22" s="371"/>
      <c r="G22" s="372"/>
      <c r="H22" s="372"/>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370"/>
      <c r="F23" s="371"/>
      <c r="G23" s="372"/>
      <c r="H23" s="372"/>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370"/>
      <c r="F24" s="371"/>
      <c r="G24" s="372"/>
      <c r="H24" s="372"/>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370"/>
      <c r="F25" s="371"/>
      <c r="G25" s="372"/>
      <c r="H25" s="372"/>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370"/>
      <c r="F26" s="371"/>
      <c r="G26" s="372"/>
      <c r="H26" s="372"/>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370"/>
      <c r="F27" s="371"/>
      <c r="G27" s="372"/>
      <c r="H27" s="372"/>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370"/>
      <c r="F28" s="371"/>
      <c r="G28" s="372"/>
      <c r="H28" s="372"/>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370"/>
      <c r="F29" s="371"/>
      <c r="G29" s="372"/>
      <c r="H29" s="372"/>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370"/>
      <c r="F30" s="371"/>
      <c r="G30" s="372"/>
      <c r="H30" s="372"/>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370"/>
      <c r="F31" s="371"/>
      <c r="G31" s="372"/>
      <c r="H31" s="372"/>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370"/>
      <c r="F32" s="371"/>
      <c r="G32" s="372"/>
      <c r="H32" s="372"/>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370"/>
      <c r="F33" s="371"/>
      <c r="G33" s="372"/>
      <c r="H33" s="372"/>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370"/>
      <c r="F34" s="371"/>
      <c r="G34" s="372"/>
      <c r="H34" s="372"/>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370"/>
      <c r="F35" s="371"/>
      <c r="G35" s="372"/>
      <c r="H35" s="372"/>
      <c r="I35" s="63" t="str">
        <f>A35</f>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370"/>
      <c r="F36" s="371"/>
      <c r="G36" s="372"/>
      <c r="H36" s="372"/>
      <c r="I36" s="63" t="str">
        <f>A36</f>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370"/>
      <c r="F37" s="371"/>
      <c r="G37" s="372"/>
      <c r="H37" s="372"/>
      <c r="I37" s="63" t="str">
        <f>A37</f>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370"/>
      <c r="F38" s="371"/>
      <c r="G38" s="372"/>
      <c r="H38" s="372"/>
      <c r="I38" s="63" t="str">
        <f>A38</f>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370"/>
      <c r="F39" s="371"/>
      <c r="G39" s="372"/>
      <c r="H39" s="372"/>
      <c r="I39" s="63" t="str">
        <f t="shared" ref="I39:I65" si="45">A39</f>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370"/>
      <c r="F40" s="371"/>
      <c r="G40" s="372"/>
      <c r="H40" s="372"/>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370"/>
      <c r="F41" s="371"/>
      <c r="G41" s="372"/>
      <c r="H41" s="372"/>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370"/>
      <c r="F42" s="371"/>
      <c r="G42" s="372"/>
      <c r="H42" s="372"/>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370"/>
      <c r="F43" s="371"/>
      <c r="G43" s="372"/>
      <c r="H43" s="372"/>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370"/>
      <c r="F44" s="371"/>
      <c r="G44" s="372"/>
      <c r="H44" s="372"/>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370"/>
      <c r="F45" s="371"/>
      <c r="G45" s="372"/>
      <c r="H45" s="372"/>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370"/>
      <c r="F46" s="371"/>
      <c r="G46" s="372"/>
      <c r="H46" s="372"/>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370"/>
      <c r="F47" s="371"/>
      <c r="G47" s="372"/>
      <c r="H47" s="372"/>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370"/>
      <c r="F48" s="371"/>
      <c r="G48" s="372"/>
      <c r="H48" s="372"/>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370"/>
      <c r="F49" s="371"/>
      <c r="G49" s="372"/>
      <c r="H49" s="372"/>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370"/>
      <c r="F50" s="371"/>
      <c r="G50" s="372"/>
      <c r="H50" s="372"/>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370"/>
      <c r="F51" s="371"/>
      <c r="G51" s="372"/>
      <c r="H51" s="372"/>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370"/>
      <c r="F52" s="371"/>
      <c r="G52" s="372"/>
      <c r="H52" s="372"/>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370"/>
      <c r="F53" s="371"/>
      <c r="G53" s="372"/>
      <c r="H53" s="372"/>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370"/>
      <c r="F54" s="371"/>
      <c r="G54" s="372"/>
      <c r="H54" s="372"/>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370"/>
      <c r="F55" s="371"/>
      <c r="G55" s="372"/>
      <c r="H55" s="372"/>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370"/>
      <c r="F56" s="371"/>
      <c r="G56" s="372"/>
      <c r="H56" s="372"/>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370"/>
      <c r="F57" s="371"/>
      <c r="G57" s="372"/>
      <c r="H57" s="372"/>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370"/>
      <c r="F58" s="371"/>
      <c r="G58" s="372"/>
      <c r="H58" s="372"/>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370"/>
      <c r="F59" s="371"/>
      <c r="G59" s="372"/>
      <c r="H59" s="372"/>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370"/>
      <c r="F60" s="371"/>
      <c r="G60" s="372"/>
      <c r="H60" s="372"/>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370"/>
      <c r="F61" s="371"/>
      <c r="G61" s="372"/>
      <c r="H61" s="372"/>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370"/>
      <c r="F62" s="371"/>
      <c r="G62" s="372"/>
      <c r="H62" s="372"/>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370"/>
      <c r="F63" s="371"/>
      <c r="G63" s="372"/>
      <c r="H63" s="372"/>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370"/>
      <c r="F64" s="371"/>
      <c r="G64" s="372"/>
      <c r="H64" s="372"/>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370"/>
      <c r="F65" s="371"/>
      <c r="G65" s="372"/>
      <c r="H65" s="372"/>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f t="array" aca="1" ref="A66" ca="1">IF(C66&lt;&gt;0,SUM(($C$11:C66&lt;&gt;0)*1),"")</f>
        <v>2</v>
      </c>
      <c r="B66" s="315">
        <v>42094</v>
      </c>
      <c r="C66" s="318" t="s">
        <v>150</v>
      </c>
      <c r="D66" s="318">
        <f t="shared" ref="D66:D72" si="46">B66</f>
        <v>42094</v>
      </c>
      <c r="E66" s="319" t="s">
        <v>305</v>
      </c>
      <c r="F66" s="85">
        <f>AL10</f>
        <v>359476733</v>
      </c>
      <c r="G66" s="320" t="s">
        <v>127</v>
      </c>
      <c r="H66" s="320" t="s">
        <v>129</v>
      </c>
      <c r="I66" s="63">
        <f ca="1">A66</f>
        <v>2</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359476733</v>
      </c>
      <c r="AK66" s="317">
        <f t="shared" si="22"/>
        <v>0</v>
      </c>
      <c r="AL66" s="317">
        <f t="shared" si="23"/>
        <v>0</v>
      </c>
      <c r="AM66" s="317">
        <f t="shared" si="24"/>
        <v>359476733</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f t="array" aca="1" ref="A67" ca="1">IF(C67&lt;&gt;0,SUM(($C$11:C67&lt;&gt;0)*1),"")</f>
        <v>3</v>
      </c>
      <c r="B67" s="315">
        <v>42094</v>
      </c>
      <c r="C67" s="318" t="s">
        <v>150</v>
      </c>
      <c r="D67" s="318">
        <f t="shared" si="46"/>
        <v>42094</v>
      </c>
      <c r="E67" s="319" t="s">
        <v>151</v>
      </c>
      <c r="F67" s="85">
        <f ca="1">AP74</f>
        <v>0</v>
      </c>
      <c r="G67" s="320" t="s">
        <v>243</v>
      </c>
      <c r="H67" s="320" t="s">
        <v>134</v>
      </c>
      <c r="I67" s="63">
        <f t="shared" ref="I67:I73" ca="1" si="47">A67</f>
        <v>3</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ca="1"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ca="1"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f t="array" aca="1" ref="A68" ca="1">IF(C68&lt;&gt;0,SUM(($C$11:C68&lt;&gt;0)*1),"")</f>
        <v>4</v>
      </c>
      <c r="B68" s="315">
        <v>42094</v>
      </c>
      <c r="C68" s="318" t="s">
        <v>150</v>
      </c>
      <c r="D68" s="318">
        <f t="shared" si="46"/>
        <v>42094</v>
      </c>
      <c r="E68" s="319" t="s">
        <v>152</v>
      </c>
      <c r="F68" s="85">
        <f ca="1">AR74</f>
        <v>10490880</v>
      </c>
      <c r="G68" s="320" t="s">
        <v>144</v>
      </c>
      <c r="H68" s="320" t="s">
        <v>136</v>
      </c>
      <c r="I68" s="63">
        <f t="shared" ca="1" si="47"/>
        <v>4</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ca="1" si="30"/>
        <v>10490880</v>
      </c>
      <c r="AT68" s="317">
        <f t="shared" si="31"/>
        <v>0</v>
      </c>
      <c r="AU68" s="317">
        <f t="shared" si="32"/>
        <v>0</v>
      </c>
      <c r="AV68" s="317">
        <f t="shared" si="33"/>
        <v>0</v>
      </c>
      <c r="AW68" s="317">
        <f t="shared" si="34"/>
        <v>0</v>
      </c>
      <c r="AX68" s="317">
        <f t="shared" si="35"/>
        <v>0</v>
      </c>
      <c r="AY68" s="317">
        <f t="shared" si="36"/>
        <v>0</v>
      </c>
      <c r="AZ68" s="317">
        <f t="shared" ca="1" si="37"/>
        <v>10490880</v>
      </c>
      <c r="BA68" s="317">
        <f t="shared" si="38"/>
        <v>0</v>
      </c>
    </row>
    <row r="69" spans="1:53" s="314" customFormat="1" ht="15" customHeight="1">
      <c r="A69" s="63">
        <f t="array" aca="1" ref="A69" ca="1">IF(C69&lt;&gt;0,SUM(($C$11:C69&lt;&gt;0)*1),"")</f>
        <v>5</v>
      </c>
      <c r="B69" s="315">
        <v>42094</v>
      </c>
      <c r="C69" s="318" t="s">
        <v>150</v>
      </c>
      <c r="D69" s="318">
        <f t="shared" si="46"/>
        <v>42094</v>
      </c>
      <c r="E69" s="319" t="s">
        <v>306</v>
      </c>
      <c r="F69" s="85">
        <v>2440859</v>
      </c>
      <c r="G69" s="320" t="s">
        <v>129</v>
      </c>
      <c r="H69" s="320" t="s">
        <v>144</v>
      </c>
      <c r="I69" s="63">
        <f t="shared" ca="1" si="47"/>
        <v>5</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2440859</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2440859</v>
      </c>
    </row>
    <row r="70" spans="1:53" s="314" customFormat="1" ht="15" customHeight="1">
      <c r="A70" s="63">
        <f t="array" aca="1" ref="A70" ca="1">IF(C70&lt;&gt;0,SUM(($C$11:C70&lt;&gt;0)*1),"")</f>
        <v>6</v>
      </c>
      <c r="B70" s="315">
        <v>42094</v>
      </c>
      <c r="C70" s="318" t="s">
        <v>150</v>
      </c>
      <c r="D70" s="318">
        <f t="shared" si="46"/>
        <v>42094</v>
      </c>
      <c r="E70" s="319" t="s">
        <v>154</v>
      </c>
      <c r="F70" s="85">
        <f ca="1">AO74</f>
        <v>0</v>
      </c>
      <c r="G70" s="320" t="s">
        <v>59</v>
      </c>
      <c r="H70" s="320" t="s">
        <v>144</v>
      </c>
      <c r="I70" s="63">
        <f t="shared" ca="1" si="47"/>
        <v>6</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ca="1"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ca="1" si="38"/>
        <v>0</v>
      </c>
    </row>
    <row r="71" spans="1:53" s="314" customFormat="1" ht="15" customHeight="1">
      <c r="A71" s="63">
        <f t="array" aca="1" ref="A71" ca="1">IF(C71&lt;&gt;0,SUM(($C$11:C71&lt;&gt;0)*1),"")</f>
        <v>7</v>
      </c>
      <c r="B71" s="315">
        <v>42094</v>
      </c>
      <c r="C71" s="318" t="s">
        <v>150</v>
      </c>
      <c r="D71" s="318">
        <f t="shared" si="46"/>
        <v>42094</v>
      </c>
      <c r="E71" s="319" t="s">
        <v>155</v>
      </c>
      <c r="F71" s="85">
        <f ca="1">AU74</f>
        <v>0</v>
      </c>
      <c r="G71" s="320" t="s">
        <v>138</v>
      </c>
      <c r="H71" s="320" t="s">
        <v>144</v>
      </c>
      <c r="I71" s="63">
        <f t="shared" ca="1" si="47"/>
        <v>7</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ca="1" si="31"/>
        <v>0</v>
      </c>
      <c r="AU71" s="317">
        <f t="shared" si="32"/>
        <v>0</v>
      </c>
      <c r="AV71" s="317">
        <f t="shared" si="33"/>
        <v>0</v>
      </c>
      <c r="AW71" s="317">
        <f t="shared" si="34"/>
        <v>0</v>
      </c>
      <c r="AX71" s="317">
        <f t="shared" si="35"/>
        <v>0</v>
      </c>
      <c r="AY71" s="317">
        <f t="shared" si="36"/>
        <v>0</v>
      </c>
      <c r="AZ71" s="317">
        <f t="shared" si="37"/>
        <v>0</v>
      </c>
      <c r="BA71" s="317">
        <f t="shared" ca="1" si="38"/>
        <v>0</v>
      </c>
    </row>
    <row r="72" spans="1:53" s="314" customFormat="1" ht="15" customHeight="1">
      <c r="A72" s="63">
        <f t="array" aca="1" ref="A72" ca="1">IF(C72&lt;&gt;0,SUM(($C$11:C72&lt;&gt;0)*1),"")</f>
        <v>8</v>
      </c>
      <c r="B72" s="315">
        <v>42094</v>
      </c>
      <c r="C72" s="318" t="s">
        <v>150</v>
      </c>
      <c r="D72" s="318">
        <f t="shared" si="46"/>
        <v>42094</v>
      </c>
      <c r="E72" s="319" t="s">
        <v>156</v>
      </c>
      <c r="F72" s="85">
        <f ca="1">AV74</f>
        <v>0</v>
      </c>
      <c r="G72" s="320" t="s">
        <v>144</v>
      </c>
      <c r="H72" s="320" t="s">
        <v>140</v>
      </c>
      <c r="I72" s="63">
        <f t="shared" ca="1" si="47"/>
        <v>8</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ca="1" si="34"/>
        <v>0</v>
      </c>
      <c r="AX72" s="317">
        <f t="shared" si="35"/>
        <v>0</v>
      </c>
      <c r="AY72" s="317">
        <f t="shared" si="36"/>
        <v>0</v>
      </c>
      <c r="AZ72" s="317">
        <f t="shared" ca="1" si="37"/>
        <v>0</v>
      </c>
      <c r="BA72" s="317">
        <f t="shared" si="38"/>
        <v>0</v>
      </c>
    </row>
    <row r="73" spans="1:53" s="314" customFormat="1" ht="15" customHeight="1">
      <c r="A73" s="63" t="str">
        <f t="array" ref="A73">IF(C73&lt;&gt;0,SUM(($C$11:C73&lt;&gt;0)*1),"")</f>
        <v/>
      </c>
      <c r="B73" s="278"/>
      <c r="C73" s="321"/>
      <c r="D73" s="278"/>
      <c r="E73" s="316"/>
      <c r="F73" s="65"/>
      <c r="G73" s="322"/>
      <c r="H73" s="322"/>
      <c r="I73" s="63" t="str">
        <f t="shared" si="47"/>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23"/>
      <c r="C74" s="323"/>
      <c r="D74" s="323"/>
      <c r="E74" s="316" t="s">
        <v>264</v>
      </c>
      <c r="F74" s="323"/>
      <c r="G74" s="322"/>
      <c r="H74" s="322"/>
      <c r="I74" s="323"/>
      <c r="J74" s="317">
        <f t="shared" ref="J74:BA74" ca="1" si="48">SUM(J11:J73)</f>
        <v>0</v>
      </c>
      <c r="K74" s="317">
        <f t="shared" ca="1" si="48"/>
        <v>0</v>
      </c>
      <c r="L74" s="317">
        <f t="shared" ca="1" si="48"/>
        <v>0</v>
      </c>
      <c r="M74" s="317">
        <f t="shared" ca="1" si="48"/>
        <v>0</v>
      </c>
      <c r="N74" s="317">
        <f ca="1">SUM(N11:N73)</f>
        <v>0</v>
      </c>
      <c r="O74" s="317">
        <f ca="1">SUM(O11:O73)</f>
        <v>0</v>
      </c>
      <c r="P74" s="317">
        <f t="shared" ca="1" si="48"/>
        <v>0</v>
      </c>
      <c r="Q74" s="317">
        <f t="shared" ca="1" si="48"/>
        <v>0</v>
      </c>
      <c r="R74" s="317">
        <f t="shared" ca="1" si="48"/>
        <v>0</v>
      </c>
      <c r="S74" s="317">
        <f t="shared" ca="1" si="48"/>
        <v>0</v>
      </c>
      <c r="T74" s="317">
        <f t="shared" ca="1" si="48"/>
        <v>0</v>
      </c>
      <c r="U74" s="317">
        <f t="shared" ca="1" si="48"/>
        <v>0</v>
      </c>
      <c r="V74" s="317">
        <f t="shared" ca="1" si="48"/>
        <v>0</v>
      </c>
      <c r="W74" s="317">
        <f t="shared" ca="1" si="48"/>
        <v>10490880</v>
      </c>
      <c r="X74" s="317">
        <f t="shared" ca="1" si="48"/>
        <v>0</v>
      </c>
      <c r="Y74" s="317">
        <f t="shared" ca="1" si="48"/>
        <v>0</v>
      </c>
      <c r="Z74" s="317">
        <f t="shared" ca="1" si="48"/>
        <v>0</v>
      </c>
      <c r="AA74" s="317">
        <f t="shared" ca="1" si="48"/>
        <v>0</v>
      </c>
      <c r="AB74" s="317">
        <f t="shared" ca="1" si="48"/>
        <v>0</v>
      </c>
      <c r="AC74" s="317">
        <f t="shared" ca="1" si="48"/>
        <v>0</v>
      </c>
      <c r="AD74" s="317">
        <f t="shared" ca="1" si="48"/>
        <v>0</v>
      </c>
      <c r="AE74" s="317">
        <f t="shared" ca="1" si="48"/>
        <v>0</v>
      </c>
      <c r="AF74" s="317">
        <f ca="1">SUM(AF11:AF73)</f>
        <v>0</v>
      </c>
      <c r="AG74" s="317">
        <f ca="1">SUM(AG11:AG73)</f>
        <v>0</v>
      </c>
      <c r="AH74" s="317">
        <f t="shared" ca="1" si="48"/>
        <v>0</v>
      </c>
      <c r="AI74" s="317">
        <f t="shared" ca="1" si="48"/>
        <v>0</v>
      </c>
      <c r="AJ74" s="317">
        <f t="shared" ca="1" si="48"/>
        <v>359476733</v>
      </c>
      <c r="AK74" s="317">
        <f t="shared" ca="1" si="48"/>
        <v>0</v>
      </c>
      <c r="AL74" s="317">
        <f t="shared" ca="1" si="48"/>
        <v>2440859</v>
      </c>
      <c r="AM74" s="317">
        <f t="shared" ca="1" si="48"/>
        <v>359476733</v>
      </c>
      <c r="AN74" s="317">
        <f t="shared" ca="1" si="48"/>
        <v>0</v>
      </c>
      <c r="AO74" s="317">
        <f t="shared" ca="1" si="48"/>
        <v>0</v>
      </c>
      <c r="AP74" s="317">
        <f t="shared" ca="1" si="48"/>
        <v>0</v>
      </c>
      <c r="AQ74" s="317">
        <f t="shared" ca="1" si="48"/>
        <v>0</v>
      </c>
      <c r="AR74" s="317">
        <f t="shared" ca="1" si="48"/>
        <v>10490880</v>
      </c>
      <c r="AS74" s="317">
        <f t="shared" ca="1" si="48"/>
        <v>10490880</v>
      </c>
      <c r="AT74" s="317">
        <f t="shared" ca="1" si="48"/>
        <v>0</v>
      </c>
      <c r="AU74" s="317">
        <f t="shared" ca="1" si="48"/>
        <v>0</v>
      </c>
      <c r="AV74" s="317">
        <f t="shared" ca="1" si="48"/>
        <v>0</v>
      </c>
      <c r="AW74" s="317">
        <f t="shared" ca="1" si="48"/>
        <v>0</v>
      </c>
      <c r="AX74" s="317">
        <f t="shared" ca="1" si="48"/>
        <v>0</v>
      </c>
      <c r="AY74" s="317">
        <f t="shared" ca="1" si="48"/>
        <v>0</v>
      </c>
      <c r="AZ74" s="317">
        <f t="shared" ca="1" si="48"/>
        <v>10490880</v>
      </c>
      <c r="BA74" s="317">
        <f t="shared" ca="1" si="48"/>
        <v>2440859</v>
      </c>
    </row>
    <row r="75" spans="1:53" s="314" customFormat="1" ht="15" customHeight="1">
      <c r="A75" s="324"/>
      <c r="B75" s="324"/>
      <c r="C75" s="324"/>
      <c r="D75" s="324"/>
      <c r="E75" s="325" t="s">
        <v>307</v>
      </c>
      <c r="F75" s="324"/>
      <c r="G75" s="326"/>
      <c r="H75" s="326"/>
      <c r="I75" s="324"/>
      <c r="J75" s="327">
        <f ca="1">MAX(J10+J74-K10-K74,0)</f>
        <v>1342165410</v>
      </c>
      <c r="K75" s="327">
        <f ca="1">MAX(K10+K74-J10-J74,0)</f>
        <v>0</v>
      </c>
      <c r="L75" s="327">
        <f ca="1">MAX(L10+L74-M10-M74,0)</f>
        <v>1694774692</v>
      </c>
      <c r="M75" s="327">
        <f ca="1">MAX(M10+M74-L10-L74,0)</f>
        <v>0</v>
      </c>
      <c r="N75" s="327">
        <f ca="1">MAX(N10+N74-O10-O74,0)</f>
        <v>0</v>
      </c>
      <c r="O75" s="327">
        <f ca="1">MAX(O10+O74-N10-N74,0)</f>
        <v>0</v>
      </c>
      <c r="P75" s="327">
        <f ca="1">MAX(P10+P74-Q10-Q74,0)</f>
        <v>452614594</v>
      </c>
      <c r="Q75" s="327">
        <f ca="1">MAX(Q10+Q74-P10-P74,0)</f>
        <v>0</v>
      </c>
      <c r="R75" s="327">
        <f ca="1">MAX(R10+R74-S10-S74,0)</f>
        <v>0</v>
      </c>
      <c r="S75" s="327">
        <f ca="1">MAX(S10+S74-R10-R74,0)</f>
        <v>0</v>
      </c>
      <c r="T75" s="327">
        <f ca="1">MAX(T10+T74-U10-U74,0)</f>
        <v>22599987302</v>
      </c>
      <c r="U75" s="327">
        <f ca="1">MAX(U10+U74-T10-T74,0)</f>
        <v>0</v>
      </c>
      <c r="V75" s="327">
        <f ca="1">MAX(V10+V74-W10-W74,0)</f>
        <v>4299540884</v>
      </c>
      <c r="W75" s="327">
        <f ca="1">MAX(W10+W74-V10-V74,0)</f>
        <v>0</v>
      </c>
      <c r="X75" s="327">
        <f ca="1">MAX(X10+X74-Y10-Y74,0)</f>
        <v>0</v>
      </c>
      <c r="Y75" s="327">
        <f ca="1">MAX(Y10+Y74-X10-X74,0)</f>
        <v>0</v>
      </c>
      <c r="Z75" s="327">
        <f ca="1">MAX(Z10+Z74-AA10-AA74,0)</f>
        <v>0</v>
      </c>
      <c r="AA75" s="327">
        <f ca="1">MAX(AA10+AA74-Z10-Z74,0)</f>
        <v>0</v>
      </c>
      <c r="AB75" s="327">
        <f ca="1">MAX(AB10+AB74-AC10-AC74,0)</f>
        <v>0</v>
      </c>
      <c r="AC75" s="327">
        <f ca="1">MAX(AC10+AC74-AB10-AB74,0)</f>
        <v>5000000000</v>
      </c>
      <c r="AD75" s="327">
        <f ca="1">MAX(AD10+AD74-AE10-AE74,0)</f>
        <v>0</v>
      </c>
      <c r="AE75" s="327">
        <f ca="1">MAX(AE10+AE74-AD10-AD74,0)</f>
        <v>20000000000</v>
      </c>
      <c r="AF75" s="327">
        <f ca="1">MAX(AF10+AF74-AG10-AG74,0)</f>
        <v>0</v>
      </c>
      <c r="AG75" s="327">
        <f ca="1">MAX(AG10+AG74-AF10-AF74,0)</f>
        <v>1982640000</v>
      </c>
      <c r="AH75" s="327">
        <f ca="1">MAX(AH10+AH74-AI10-AI74,0)</f>
        <v>0</v>
      </c>
      <c r="AI75" s="327">
        <f ca="1">MAX(AI10+AI74-AH10-AH74,0)</f>
        <v>4000000000</v>
      </c>
      <c r="AJ75" s="327">
        <f ca="1">MAX(AJ10+AJ74-AK10-AK74,0)</f>
        <v>583066238</v>
      </c>
      <c r="AK75" s="327">
        <f ca="1">MAX(AK10+AK74-AJ10-AJ74,0)</f>
        <v>0</v>
      </c>
      <c r="AL75" s="327">
        <f ca="1">MAX(AL10+AL74-AM10-AM74,0)</f>
        <v>2440859</v>
      </c>
      <c r="AM75" s="327">
        <f ca="1">MAX(AM10+AM74-AL10-AL74,0)</f>
        <v>0</v>
      </c>
      <c r="AN75" s="327">
        <f ca="1">MAX(AN10+AN74-AO10-AO74,0)</f>
        <v>0</v>
      </c>
      <c r="AO75" s="327">
        <f ca="1">MAX(AO10+AO74-AN10-AN74,0)</f>
        <v>0</v>
      </c>
      <c r="AP75" s="327">
        <f ca="1">MAX(AP10+AP74-AQ10-AQ74,0)</f>
        <v>0</v>
      </c>
      <c r="AQ75" s="327">
        <f ca="1">MAX(AQ10+AQ74-AP10-AP74,0)</f>
        <v>0</v>
      </c>
      <c r="AR75" s="327">
        <f ca="1">MAX(AR10+AR74-AS10-AS74,0)</f>
        <v>0</v>
      </c>
      <c r="AS75" s="327">
        <f ca="1">MAX(AS10+AS74-AR10-AR74,0)</f>
        <v>0</v>
      </c>
      <c r="AT75" s="327">
        <f ca="1">MAX(AT10+AT74-AU10-AU74,0)</f>
        <v>0</v>
      </c>
      <c r="AU75" s="327">
        <f ca="1">MAX(AU10+AU74-AT10-AT74,0)</f>
        <v>0</v>
      </c>
      <c r="AV75" s="327">
        <f ca="1">MAX(AV10+AV74-AW10-AW74,0)</f>
        <v>0</v>
      </c>
      <c r="AW75" s="327">
        <f ca="1">MAX(AW10+AW74-AV10-AV74,0)</f>
        <v>0</v>
      </c>
      <c r="AX75" s="327">
        <f ca="1">MAX(AX10+AX74-AY10-AY74,0)</f>
        <v>0</v>
      </c>
      <c r="AY75" s="327">
        <f ca="1">MAX(AY10+AY74-AX10-AX74,0)</f>
        <v>0</v>
      </c>
      <c r="AZ75" s="327">
        <f ca="1">MAX(AZ10+AZ74-BA10-BA74,0)</f>
        <v>8050021</v>
      </c>
      <c r="BA75" s="327">
        <f ca="1">MAX(BA10+BA74-AZ10-AZ74,0)</f>
        <v>0</v>
      </c>
    </row>
    <row r="76" spans="1:53" s="314" customFormat="1" ht="15" customHeight="1">
      <c r="A76" s="328"/>
      <c r="B76" s="328"/>
      <c r="C76" s="329"/>
      <c r="D76" s="328"/>
      <c r="E76" s="330" t="s">
        <v>308</v>
      </c>
      <c r="F76" s="328"/>
      <c r="G76" s="331"/>
      <c r="H76" s="331"/>
      <c r="I76" s="328"/>
      <c r="J76" s="332">
        <f ca="1">J74</f>
        <v>0</v>
      </c>
      <c r="K76" s="332">
        <f ca="1">K74</f>
        <v>0</v>
      </c>
      <c r="L76" s="332">
        <f t="shared" ref="L76:BA76" ca="1" si="49">L74</f>
        <v>0</v>
      </c>
      <c r="M76" s="332">
        <f t="shared" ca="1" si="49"/>
        <v>0</v>
      </c>
      <c r="N76" s="332">
        <f ca="1">N74</f>
        <v>0</v>
      </c>
      <c r="O76" s="332">
        <f ca="1">O74</f>
        <v>0</v>
      </c>
      <c r="P76" s="332">
        <f t="shared" ca="1" si="49"/>
        <v>0</v>
      </c>
      <c r="Q76" s="332">
        <f t="shared" ca="1" si="49"/>
        <v>0</v>
      </c>
      <c r="R76" s="332">
        <f t="shared" ca="1" si="49"/>
        <v>0</v>
      </c>
      <c r="S76" s="332">
        <f t="shared" ca="1" si="49"/>
        <v>0</v>
      </c>
      <c r="T76" s="332">
        <f t="shared" ca="1" si="49"/>
        <v>0</v>
      </c>
      <c r="U76" s="332">
        <f t="shared" ca="1" si="49"/>
        <v>0</v>
      </c>
      <c r="V76" s="332">
        <f t="shared" ca="1" si="49"/>
        <v>0</v>
      </c>
      <c r="W76" s="332">
        <f t="shared" ca="1" si="49"/>
        <v>10490880</v>
      </c>
      <c r="X76" s="332">
        <f t="shared" ca="1" si="49"/>
        <v>0</v>
      </c>
      <c r="Y76" s="332">
        <f t="shared" ca="1" si="49"/>
        <v>0</v>
      </c>
      <c r="Z76" s="332">
        <f t="shared" ca="1" si="49"/>
        <v>0</v>
      </c>
      <c r="AA76" s="332">
        <f t="shared" ca="1" si="49"/>
        <v>0</v>
      </c>
      <c r="AB76" s="332">
        <f ca="1">AB74</f>
        <v>0</v>
      </c>
      <c r="AC76" s="332">
        <f t="shared" ca="1" si="49"/>
        <v>0</v>
      </c>
      <c r="AD76" s="332">
        <f t="shared" ca="1" si="49"/>
        <v>0</v>
      </c>
      <c r="AE76" s="332">
        <f t="shared" ca="1" si="49"/>
        <v>0</v>
      </c>
      <c r="AF76" s="332">
        <f ca="1">AF74</f>
        <v>0</v>
      </c>
      <c r="AG76" s="332">
        <f ca="1">AG74</f>
        <v>0</v>
      </c>
      <c r="AH76" s="332">
        <f t="shared" ca="1" si="49"/>
        <v>0</v>
      </c>
      <c r="AI76" s="332">
        <f t="shared" ca="1" si="49"/>
        <v>0</v>
      </c>
      <c r="AJ76" s="332">
        <f t="shared" ca="1" si="49"/>
        <v>359476733</v>
      </c>
      <c r="AK76" s="332">
        <f t="shared" ca="1" si="49"/>
        <v>0</v>
      </c>
      <c r="AL76" s="332">
        <f t="shared" ca="1" si="49"/>
        <v>2440859</v>
      </c>
      <c r="AM76" s="332">
        <f t="shared" ca="1" si="49"/>
        <v>359476733</v>
      </c>
      <c r="AN76" s="332">
        <f t="shared" ca="1" si="49"/>
        <v>0</v>
      </c>
      <c r="AO76" s="332">
        <f t="shared" ca="1" si="49"/>
        <v>0</v>
      </c>
      <c r="AP76" s="332">
        <f t="shared" ca="1" si="49"/>
        <v>0</v>
      </c>
      <c r="AQ76" s="332">
        <f t="shared" ca="1" si="49"/>
        <v>0</v>
      </c>
      <c r="AR76" s="332">
        <f t="shared" ca="1" si="49"/>
        <v>10490880</v>
      </c>
      <c r="AS76" s="332">
        <f t="shared" ca="1" si="49"/>
        <v>10490880</v>
      </c>
      <c r="AT76" s="332">
        <f t="shared" ca="1" si="49"/>
        <v>0</v>
      </c>
      <c r="AU76" s="332">
        <f t="shared" ca="1" si="49"/>
        <v>0</v>
      </c>
      <c r="AV76" s="332">
        <f t="shared" ca="1" si="49"/>
        <v>0</v>
      </c>
      <c r="AW76" s="332">
        <f t="shared" ca="1" si="49"/>
        <v>0</v>
      </c>
      <c r="AX76" s="332">
        <f ca="1">AX74</f>
        <v>0</v>
      </c>
      <c r="AY76" s="332">
        <f ca="1">AY74</f>
        <v>0</v>
      </c>
      <c r="AZ76" s="332">
        <f t="shared" ca="1" si="49"/>
        <v>10490880</v>
      </c>
      <c r="BA76" s="332">
        <f t="shared" ca="1" si="49"/>
        <v>2440859</v>
      </c>
    </row>
    <row r="77" spans="1:53" ht="12" customHeight="1">
      <c r="B77" s="333"/>
      <c r="C77" s="334"/>
      <c r="D77" s="334"/>
      <c r="E77" s="334"/>
      <c r="F77" s="334"/>
      <c r="G77" s="335"/>
      <c r="H77" s="335"/>
      <c r="I77" s="334"/>
      <c r="J77" s="334"/>
      <c r="K77" s="334"/>
    </row>
    <row r="78" spans="1:53">
      <c r="F78" s="336"/>
      <c r="M78" s="336"/>
      <c r="O78" s="336"/>
      <c r="Q78" s="336"/>
      <c r="R78" s="336"/>
      <c r="S78" s="336"/>
      <c r="T78" s="336"/>
      <c r="U78" s="336"/>
      <c r="V78" s="336"/>
      <c r="AN78" s="337" t="s">
        <v>309</v>
      </c>
      <c r="AO78" s="338"/>
      <c r="AP78" s="338"/>
      <c r="AQ78" s="338"/>
      <c r="AR78" s="339"/>
      <c r="AS78" s="339"/>
      <c r="AT78" s="338"/>
    </row>
    <row r="79" spans="1:53">
      <c r="F79" s="336"/>
      <c r="M79" s="336"/>
      <c r="O79" s="336"/>
      <c r="Q79" s="336"/>
      <c r="R79" s="336"/>
      <c r="S79" s="336"/>
      <c r="T79" s="336"/>
      <c r="U79" s="336"/>
      <c r="V79" s="336"/>
      <c r="AN79" s="340" t="s">
        <v>310</v>
      </c>
      <c r="AO79" s="338"/>
      <c r="AP79" s="338"/>
      <c r="AQ79" s="338"/>
      <c r="AR79" s="339"/>
      <c r="AS79" s="339"/>
      <c r="AT79" s="338"/>
    </row>
    <row r="80" spans="1:53">
      <c r="F80" s="336"/>
      <c r="M80" s="336"/>
      <c r="O80" s="336"/>
      <c r="Q80" s="336"/>
      <c r="R80" s="336"/>
      <c r="S80" s="336"/>
      <c r="T80" s="336"/>
      <c r="U80" s="336"/>
      <c r="V80" s="336"/>
      <c r="AN80" s="338"/>
      <c r="AO80" s="338"/>
      <c r="AP80" s="338"/>
      <c r="AQ80" s="338"/>
      <c r="AR80" s="338"/>
      <c r="AS80" s="338"/>
      <c r="AT80" s="339"/>
    </row>
    <row r="81" spans="6:52">
      <c r="F81" s="336"/>
      <c r="AN81" s="338"/>
      <c r="AO81" s="338"/>
      <c r="AP81" s="338"/>
      <c r="AQ81" s="338"/>
      <c r="AR81" s="338"/>
      <c r="AS81" s="338"/>
      <c r="AT81" s="339"/>
      <c r="AZ81" s="341" t="str">
        <f>"Ngày 31 tháng 03 năm 2015 "</f>
        <v xml:space="preserve">Ngày 31 tháng 03 năm 2015 </v>
      </c>
    </row>
    <row r="82" spans="6:52">
      <c r="F82" s="336"/>
      <c r="M82" s="336"/>
      <c r="O82" s="336"/>
      <c r="Q82" s="336"/>
      <c r="R82" s="336"/>
      <c r="S82" s="336"/>
      <c r="T82" s="336"/>
      <c r="U82" s="336"/>
      <c r="V82" s="336"/>
      <c r="AN82" s="338"/>
      <c r="AO82" s="342" t="s">
        <v>14</v>
      </c>
      <c r="AP82" s="338"/>
      <c r="AQ82" s="338"/>
      <c r="AR82" s="338"/>
      <c r="AS82" s="343" t="s">
        <v>15</v>
      </c>
      <c r="AT82" s="339"/>
      <c r="AZ82" s="342" t="s">
        <v>206</v>
      </c>
    </row>
    <row r="83" spans="6:52">
      <c r="F83" s="336"/>
      <c r="M83" s="336"/>
      <c r="O83" s="336"/>
      <c r="Q83" s="336"/>
      <c r="R83" s="336"/>
      <c r="S83" s="336"/>
      <c r="T83" s="336"/>
      <c r="U83" s="336"/>
      <c r="V83" s="336"/>
      <c r="AN83" s="338"/>
      <c r="AO83" s="344" t="s">
        <v>16</v>
      </c>
      <c r="AP83" s="338"/>
      <c r="AQ83" s="338"/>
      <c r="AR83" s="338"/>
      <c r="AS83" s="345" t="s">
        <v>16</v>
      </c>
      <c r="AT83" s="339"/>
      <c r="AZ83" s="344" t="s">
        <v>241</v>
      </c>
    </row>
    <row r="84" spans="6:52">
      <c r="F84" s="336"/>
      <c r="M84" s="336"/>
      <c r="O84" s="336"/>
      <c r="Q84" s="336"/>
      <c r="R84" s="336"/>
      <c r="S84" s="336"/>
      <c r="T84" s="336"/>
      <c r="U84" s="336"/>
      <c r="V84" s="336"/>
      <c r="AL84" s="338"/>
      <c r="AM84" s="338"/>
      <c r="AN84" s="338"/>
      <c r="AO84" s="338"/>
      <c r="AP84" s="338"/>
      <c r="AQ84" s="338"/>
      <c r="AR84" s="338"/>
      <c r="AS84" s="338"/>
      <c r="AT84" s="339"/>
      <c r="AZ84" s="338"/>
    </row>
    <row r="85" spans="6:52">
      <c r="F85" s="336"/>
      <c r="M85" s="336"/>
      <c r="O85" s="336"/>
      <c r="Q85" s="336"/>
      <c r="R85" s="336"/>
      <c r="S85" s="336"/>
      <c r="T85" s="336"/>
      <c r="U85" s="336"/>
      <c r="V85" s="336"/>
      <c r="AZ85" s="338"/>
    </row>
    <row r="86" spans="6:52">
      <c r="F86" s="336"/>
      <c r="M86" s="336"/>
      <c r="O86" s="336"/>
      <c r="Q86" s="336"/>
      <c r="R86" s="336"/>
      <c r="S86" s="336"/>
      <c r="T86" s="336"/>
      <c r="U86" s="336"/>
      <c r="V86" s="336"/>
    </row>
    <row r="87" spans="6:52">
      <c r="F87" s="336"/>
      <c r="M87" s="336"/>
      <c r="O87" s="336"/>
      <c r="Q87" s="336"/>
      <c r="R87" s="336"/>
      <c r="S87" s="336"/>
      <c r="T87" s="336"/>
      <c r="U87" s="336"/>
      <c r="V87" s="336"/>
    </row>
    <row r="88" spans="6:52">
      <c r="F88" s="336"/>
    </row>
    <row r="89" spans="6:52">
      <c r="F89" s="336"/>
      <c r="M89" s="336"/>
      <c r="O89" s="336"/>
      <c r="Q89" s="336"/>
      <c r="R89" s="336"/>
      <c r="S89" s="336"/>
      <c r="T89" s="336"/>
      <c r="U89" s="336"/>
      <c r="V89" s="336"/>
    </row>
    <row r="90" spans="6:52">
      <c r="F90" s="336"/>
      <c r="M90" s="336"/>
      <c r="O90" s="336"/>
      <c r="Q90" s="336"/>
      <c r="R90" s="336"/>
      <c r="S90" s="336"/>
      <c r="T90" s="336"/>
      <c r="U90" s="336"/>
      <c r="V90" s="336"/>
    </row>
    <row r="91" spans="6:52">
      <c r="F91" s="336"/>
      <c r="M91" s="336"/>
      <c r="O91" s="336"/>
      <c r="Q91" s="336"/>
      <c r="R91" s="336"/>
      <c r="S91" s="336"/>
      <c r="T91" s="336"/>
      <c r="U91" s="336"/>
      <c r="V91" s="336"/>
    </row>
    <row r="92" spans="6:52">
      <c r="F92" s="336"/>
      <c r="M92" s="336"/>
      <c r="O92" s="336"/>
      <c r="Q92" s="336"/>
      <c r="R92" s="336"/>
      <c r="S92" s="336"/>
      <c r="T92" s="336"/>
      <c r="U92" s="336"/>
      <c r="V92" s="336"/>
    </row>
    <row r="93" spans="6:52">
      <c r="F93" s="336"/>
      <c r="M93" s="336"/>
      <c r="O93" s="336"/>
      <c r="Q93" s="336"/>
      <c r="R93" s="336"/>
      <c r="S93" s="336"/>
      <c r="T93" s="336"/>
      <c r="U93" s="336"/>
      <c r="V93" s="336"/>
    </row>
    <row r="94" spans="6:52">
      <c r="F94" s="336"/>
      <c r="M94" s="336"/>
      <c r="O94" s="336"/>
      <c r="Q94" s="336"/>
      <c r="R94" s="336"/>
      <c r="S94" s="336"/>
      <c r="T94" s="336"/>
      <c r="U94" s="336"/>
      <c r="V94" s="336"/>
    </row>
    <row r="95" spans="6:52">
      <c r="F95" s="336"/>
      <c r="M95" s="336"/>
      <c r="O95" s="336"/>
      <c r="Q95" s="336"/>
      <c r="R95" s="336"/>
      <c r="S95" s="336"/>
      <c r="T95" s="336"/>
      <c r="U95" s="336"/>
      <c r="V95" s="336"/>
    </row>
    <row r="96" spans="6:52">
      <c r="F96" s="336"/>
      <c r="M96" s="336"/>
      <c r="O96" s="336"/>
      <c r="Q96" s="336"/>
      <c r="R96" s="336"/>
      <c r="S96" s="336"/>
      <c r="T96" s="336"/>
      <c r="U96" s="336"/>
      <c r="V96" s="336"/>
    </row>
    <row r="97" spans="6:22">
      <c r="F97" s="336"/>
      <c r="M97" s="336"/>
      <c r="O97" s="336"/>
      <c r="Q97" s="336"/>
      <c r="R97" s="336"/>
      <c r="S97" s="336"/>
      <c r="T97" s="336"/>
      <c r="U97" s="336"/>
      <c r="V97" s="336"/>
    </row>
    <row r="98" spans="6:22">
      <c r="F98" s="336"/>
      <c r="M98" s="336"/>
      <c r="O98" s="336"/>
      <c r="Q98" s="336"/>
      <c r="R98" s="336"/>
      <c r="S98" s="336"/>
      <c r="T98" s="336"/>
      <c r="U98" s="336"/>
      <c r="V98" s="336"/>
    </row>
    <row r="99" spans="6:22">
      <c r="F99" s="336"/>
      <c r="M99" s="336"/>
      <c r="O99" s="336"/>
      <c r="Q99" s="336"/>
      <c r="R99" s="336"/>
      <c r="S99" s="336"/>
      <c r="T99" s="336"/>
      <c r="U99" s="336"/>
      <c r="V99" s="336"/>
    </row>
    <row r="100" spans="6:22">
      <c r="F100" s="336"/>
      <c r="M100" s="336"/>
      <c r="O100" s="336"/>
      <c r="Q100" s="336"/>
      <c r="R100" s="336"/>
      <c r="S100" s="336"/>
      <c r="T100" s="336"/>
      <c r="U100" s="336"/>
      <c r="V100" s="336"/>
    </row>
    <row r="101" spans="6:22">
      <c r="F101" s="336"/>
      <c r="M101" s="336"/>
      <c r="O101" s="336"/>
      <c r="Q101" s="336"/>
      <c r="R101" s="336"/>
      <c r="S101" s="336"/>
      <c r="T101" s="336"/>
      <c r="U101" s="336"/>
      <c r="V101" s="336"/>
    </row>
    <row r="102" spans="6:22">
      <c r="F102" s="336"/>
      <c r="M102" s="336"/>
      <c r="O102" s="336"/>
      <c r="Q102" s="336"/>
      <c r="R102" s="336"/>
      <c r="S102" s="336"/>
      <c r="T102" s="336"/>
      <c r="U102" s="336"/>
      <c r="V102" s="336"/>
    </row>
    <row r="103" spans="6:22">
      <c r="F103" s="336"/>
      <c r="M103" s="336"/>
      <c r="O103" s="336"/>
      <c r="Q103" s="336"/>
      <c r="R103" s="336"/>
      <c r="S103" s="336"/>
      <c r="T103" s="336"/>
      <c r="U103" s="336"/>
      <c r="V103" s="336"/>
    </row>
    <row r="104" spans="6:22">
      <c r="F104" s="336"/>
      <c r="M104" s="336"/>
      <c r="O104" s="336"/>
      <c r="Q104" s="336"/>
      <c r="R104" s="336"/>
      <c r="S104" s="336"/>
      <c r="T104" s="336"/>
      <c r="U104" s="336"/>
      <c r="V104" s="336"/>
    </row>
    <row r="105" spans="6:22">
      <c r="F105" s="336"/>
      <c r="M105" s="336"/>
      <c r="O105" s="336"/>
      <c r="Q105" s="336"/>
      <c r="R105" s="336"/>
      <c r="S105" s="336"/>
      <c r="T105" s="336"/>
      <c r="U105" s="336"/>
      <c r="V105" s="336"/>
    </row>
    <row r="106" spans="6:22">
      <c r="F106" s="336"/>
      <c r="M106" s="336"/>
      <c r="O106" s="336"/>
      <c r="Q106" s="336"/>
      <c r="R106" s="336"/>
      <c r="S106" s="336"/>
      <c r="T106" s="336"/>
      <c r="U106" s="336"/>
      <c r="V106" s="336"/>
    </row>
    <row r="107" spans="6:22">
      <c r="F107" s="336"/>
      <c r="M107" s="336"/>
      <c r="O107" s="336"/>
      <c r="Q107" s="336"/>
      <c r="R107" s="336"/>
      <c r="S107" s="336"/>
      <c r="T107" s="336"/>
      <c r="U107" s="336"/>
      <c r="V107" s="336"/>
    </row>
    <row r="108" spans="6:22">
      <c r="F108" s="336"/>
      <c r="M108" s="336"/>
      <c r="O108" s="336"/>
      <c r="Q108" s="336"/>
      <c r="R108" s="336"/>
      <c r="S108" s="336"/>
      <c r="T108" s="336"/>
      <c r="U108" s="336"/>
      <c r="V108" s="336"/>
    </row>
    <row r="109" spans="6:22">
      <c r="F109" s="336"/>
      <c r="M109" s="336"/>
      <c r="O109" s="336"/>
      <c r="Q109" s="336"/>
      <c r="R109" s="336"/>
      <c r="S109" s="336"/>
      <c r="T109" s="336"/>
      <c r="U109" s="336"/>
      <c r="V109" s="336"/>
    </row>
    <row r="110" spans="6:22">
      <c r="F110" s="336"/>
      <c r="M110" s="336"/>
      <c r="O110" s="336"/>
      <c r="Q110" s="336"/>
      <c r="R110" s="336"/>
      <c r="S110" s="336"/>
      <c r="T110" s="336"/>
      <c r="U110" s="336"/>
      <c r="V110" s="336"/>
    </row>
    <row r="111" spans="6:22">
      <c r="F111" s="336"/>
      <c r="M111" s="336"/>
      <c r="O111" s="336"/>
      <c r="Q111" s="336"/>
      <c r="R111" s="336"/>
      <c r="S111" s="336"/>
      <c r="T111" s="336"/>
      <c r="U111" s="336"/>
      <c r="V111" s="336"/>
    </row>
    <row r="112" spans="6:22">
      <c r="F112" s="336"/>
      <c r="M112" s="336"/>
      <c r="O112" s="336"/>
      <c r="Q112" s="336"/>
      <c r="R112" s="336"/>
      <c r="S112" s="336"/>
      <c r="T112" s="336"/>
      <c r="U112" s="336"/>
      <c r="V112" s="336"/>
    </row>
    <row r="113" spans="6:22">
      <c r="F113" s="336"/>
      <c r="M113" s="336"/>
      <c r="O113" s="336"/>
      <c r="Q113" s="336"/>
      <c r="R113" s="336"/>
      <c r="S113" s="336"/>
      <c r="T113" s="336"/>
      <c r="U113" s="336"/>
      <c r="V113" s="336"/>
    </row>
    <row r="114" spans="6:22">
      <c r="F114" s="336"/>
      <c r="M114" s="336"/>
      <c r="O114" s="336"/>
      <c r="Q114" s="336"/>
      <c r="R114" s="336"/>
      <c r="S114" s="336"/>
      <c r="T114" s="336"/>
      <c r="U114" s="336"/>
      <c r="V114" s="336"/>
    </row>
    <row r="115" spans="6:22">
      <c r="F115" s="336"/>
      <c r="M115" s="336"/>
      <c r="O115" s="336"/>
      <c r="Q115" s="336"/>
      <c r="R115" s="336"/>
      <c r="S115" s="336"/>
      <c r="T115" s="336"/>
      <c r="U115" s="336"/>
      <c r="V115" s="336"/>
    </row>
    <row r="116" spans="6:22">
      <c r="F116" s="336"/>
      <c r="M116" s="336"/>
      <c r="O116" s="336"/>
      <c r="Q116" s="336"/>
      <c r="R116" s="336"/>
      <c r="S116" s="336"/>
      <c r="T116" s="336"/>
      <c r="U116" s="336"/>
      <c r="V116" s="336"/>
    </row>
    <row r="117" spans="6:22">
      <c r="F117" s="336"/>
      <c r="M117" s="336"/>
      <c r="O117" s="336"/>
      <c r="Q117" s="336"/>
      <c r="R117" s="336"/>
      <c r="S117" s="336"/>
      <c r="T117" s="336"/>
      <c r="U117" s="336"/>
      <c r="V117" s="336"/>
    </row>
    <row r="118" spans="6:22">
      <c r="F118" s="336"/>
      <c r="M118" s="336"/>
      <c r="O118" s="336"/>
      <c r="Q118" s="336"/>
      <c r="R118" s="336"/>
      <c r="S118" s="336"/>
      <c r="T118" s="336"/>
      <c r="U118" s="336"/>
      <c r="V118" s="336"/>
    </row>
    <row r="119" spans="6:22">
      <c r="F119" s="336"/>
      <c r="M119" s="336"/>
      <c r="O119" s="336"/>
      <c r="Q119" s="336"/>
      <c r="R119" s="336"/>
      <c r="S119" s="336"/>
      <c r="T119" s="336"/>
      <c r="U119" s="336"/>
      <c r="V119" s="336"/>
    </row>
    <row r="120" spans="6:22">
      <c r="F120" s="336"/>
      <c r="M120" s="336"/>
      <c r="O120" s="336"/>
      <c r="Q120" s="336"/>
      <c r="R120" s="336"/>
      <c r="S120" s="336"/>
      <c r="T120" s="336"/>
      <c r="U120" s="336"/>
      <c r="V120" s="336"/>
    </row>
    <row r="121" spans="6:22">
      <c r="F121" s="336"/>
      <c r="M121" s="336"/>
      <c r="O121" s="336"/>
      <c r="Q121" s="336"/>
      <c r="R121" s="336"/>
      <c r="S121" s="336"/>
      <c r="T121" s="336"/>
      <c r="U121" s="336"/>
      <c r="V121" s="336"/>
    </row>
    <row r="122" spans="6:22">
      <c r="F122" s="336"/>
      <c r="M122" s="336"/>
      <c r="O122" s="336"/>
      <c r="Q122" s="336"/>
      <c r="R122" s="336"/>
      <c r="S122" s="336"/>
      <c r="T122" s="336"/>
      <c r="U122" s="336"/>
      <c r="V122" s="336"/>
    </row>
    <row r="123" spans="6:22">
      <c r="F123" s="336"/>
      <c r="M123" s="336"/>
      <c r="O123" s="336"/>
      <c r="Q123" s="336"/>
      <c r="R123" s="336"/>
      <c r="S123" s="336"/>
      <c r="T123" s="336"/>
      <c r="U123" s="336"/>
      <c r="V123" s="336"/>
    </row>
    <row r="124" spans="6:22">
      <c r="F124" s="336"/>
      <c r="M124" s="336"/>
      <c r="O124" s="336"/>
      <c r="Q124" s="336"/>
      <c r="R124" s="336"/>
      <c r="S124" s="336"/>
      <c r="T124" s="336"/>
      <c r="U124" s="336"/>
      <c r="V124" s="336"/>
    </row>
    <row r="125" spans="6:22">
      <c r="F125" s="336"/>
      <c r="M125" s="336"/>
      <c r="O125" s="336"/>
      <c r="Q125" s="336"/>
      <c r="R125" s="336"/>
      <c r="S125" s="336"/>
      <c r="T125" s="336"/>
      <c r="U125" s="336"/>
      <c r="V125" s="336"/>
    </row>
    <row r="126" spans="6:22">
      <c r="F126" s="336"/>
      <c r="M126" s="336"/>
      <c r="O126" s="336"/>
      <c r="Q126" s="336"/>
      <c r="R126" s="336"/>
      <c r="S126" s="336"/>
      <c r="T126" s="336"/>
      <c r="U126" s="336"/>
      <c r="V126" s="336"/>
    </row>
    <row r="127" spans="6:22">
      <c r="F127" s="336"/>
      <c r="M127" s="336"/>
      <c r="O127" s="336"/>
      <c r="Q127" s="336"/>
      <c r="R127" s="336"/>
      <c r="S127" s="336"/>
      <c r="T127" s="336"/>
      <c r="U127" s="336"/>
      <c r="V127" s="336"/>
    </row>
    <row r="128" spans="6:22">
      <c r="F128" s="336"/>
      <c r="M128" s="336"/>
      <c r="O128" s="336"/>
      <c r="Q128" s="336"/>
      <c r="R128" s="336"/>
      <c r="S128" s="336"/>
      <c r="T128" s="336"/>
      <c r="U128" s="336"/>
      <c r="V128" s="336"/>
    </row>
    <row r="129" spans="6:22">
      <c r="F129" s="336"/>
      <c r="M129" s="336"/>
      <c r="O129" s="336"/>
      <c r="Q129" s="336"/>
      <c r="R129" s="336"/>
      <c r="S129" s="336"/>
      <c r="T129" s="336"/>
      <c r="U129" s="336"/>
      <c r="V129" s="336"/>
    </row>
    <row r="130" spans="6:22">
      <c r="F130" s="336"/>
      <c r="M130" s="336"/>
      <c r="O130" s="336"/>
      <c r="Q130" s="336"/>
      <c r="R130" s="336"/>
      <c r="S130" s="336"/>
      <c r="T130" s="336"/>
      <c r="U130" s="336"/>
      <c r="V130" s="336"/>
    </row>
    <row r="131" spans="6:22">
      <c r="F131" s="336"/>
      <c r="M131" s="336"/>
      <c r="O131" s="336"/>
      <c r="Q131" s="336"/>
      <c r="R131" s="336"/>
      <c r="S131" s="336"/>
      <c r="T131" s="336"/>
      <c r="U131" s="336"/>
      <c r="V131" s="336"/>
    </row>
    <row r="132" spans="6:22">
      <c r="F132" s="336"/>
      <c r="M132" s="336"/>
      <c r="O132" s="336"/>
      <c r="Q132" s="336"/>
      <c r="R132" s="336"/>
      <c r="S132" s="336"/>
      <c r="T132" s="336"/>
      <c r="U132" s="336"/>
      <c r="V132" s="336"/>
    </row>
    <row r="133" spans="6:22">
      <c r="M133" s="336"/>
      <c r="O133" s="336"/>
      <c r="Q133" s="336"/>
      <c r="R133" s="336"/>
      <c r="S133" s="336"/>
      <c r="T133" s="336"/>
      <c r="U133" s="336"/>
      <c r="V133" s="336"/>
    </row>
    <row r="134" spans="6:22">
      <c r="M134" s="336"/>
      <c r="O134" s="336"/>
      <c r="Q134" s="336"/>
      <c r="R134" s="336"/>
      <c r="S134" s="336"/>
      <c r="T134" s="336"/>
      <c r="U134" s="336"/>
      <c r="V134" s="336"/>
    </row>
  </sheetData>
  <autoFilter ref="A9:BA76"/>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42578125" style="292" customWidth="1"/>
    <col min="3" max="3" width="7.42578125" style="292" customWidth="1"/>
    <col min="4" max="4" width="8.42578125" style="292" customWidth="1"/>
    <col min="5" max="5" width="37.28515625" style="292" customWidth="1"/>
    <col min="6" max="6" width="12.7109375" style="292" customWidth="1"/>
    <col min="7" max="8" width="5.85546875" style="293" customWidth="1"/>
    <col min="9" max="9" width="4.85546875" style="292" customWidth="1"/>
    <col min="10" max="10" width="12.5703125" style="292" customWidth="1"/>
    <col min="11" max="11" width="12.28515625" style="292" customWidth="1"/>
    <col min="12" max="12" width="12.85546875" style="292" customWidth="1"/>
    <col min="13" max="13" width="12.7109375" style="292" customWidth="1"/>
    <col min="14" max="14" width="12.85546875" style="292" customWidth="1"/>
    <col min="15" max="15" width="12.7109375" style="292" customWidth="1"/>
    <col min="16" max="16" width="11.85546875" style="292" customWidth="1"/>
    <col min="17" max="17" width="5" style="292" customWidth="1"/>
    <col min="18" max="18" width="11.28515625" style="292" customWidth="1"/>
    <col min="19" max="19" width="11.42578125" style="292" customWidth="1"/>
    <col min="20" max="20" width="13.140625" style="292" customWidth="1"/>
    <col min="21" max="21" width="6" style="292" customWidth="1"/>
    <col min="22" max="22" width="13.5703125" style="292" customWidth="1"/>
    <col min="23" max="23" width="13.42578125" style="292" customWidth="1"/>
    <col min="24" max="24" width="6.5703125" style="292" customWidth="1"/>
    <col min="25" max="25" width="6.42578125" style="292" customWidth="1"/>
    <col min="26" max="26" width="9.5703125" style="292" customWidth="1"/>
    <col min="27" max="27" width="9.42578125" style="292" customWidth="1"/>
    <col min="28" max="29" width="11.28515625" style="292" customWidth="1"/>
    <col min="30" max="30" width="5.28515625" style="292" customWidth="1"/>
    <col min="31" max="31" width="15" style="292" customWidth="1"/>
    <col min="32" max="32" width="5.28515625" style="292" customWidth="1"/>
    <col min="33" max="33" width="15" style="292" customWidth="1"/>
    <col min="34" max="34" width="4.85546875" style="292" customWidth="1"/>
    <col min="35" max="35" width="13.85546875" style="292" customWidth="1"/>
    <col min="36" max="36" width="11.5703125" style="292" customWidth="1"/>
    <col min="37" max="37" width="5.7109375" style="292" customWidth="1"/>
    <col min="38" max="38" width="12.42578125" style="292" customWidth="1"/>
    <col min="39" max="39" width="10.85546875" style="292" customWidth="1"/>
    <col min="40" max="40" width="9.85546875" style="292" customWidth="1"/>
    <col min="41" max="41" width="9.7109375" style="292" customWidth="1"/>
    <col min="42" max="42" width="13.140625" style="292" customWidth="1"/>
    <col min="43" max="43" width="12.5703125" style="292" customWidth="1"/>
    <col min="44" max="45" width="14.28515625" style="292" customWidth="1"/>
    <col min="46" max="46" width="7" style="292" customWidth="1"/>
    <col min="47" max="47" width="7.5703125" style="292" customWidth="1"/>
    <col min="48" max="48" width="4.7109375" style="292" customWidth="1"/>
    <col min="49" max="49" width="9.5703125" style="292" customWidth="1"/>
    <col min="50" max="51" width="12.28515625" style="292" customWidth="1"/>
    <col min="52" max="52" width="15.7109375" style="292" customWidth="1"/>
    <col min="53" max="53" width="15.85546875" style="292" customWidth="1"/>
    <col min="54" max="16384" width="9.140625" style="292"/>
  </cols>
  <sheetData>
    <row r="1" spans="1:53" ht="12.75" customHeight="1">
      <c r="A1" s="288"/>
      <c r="B1" s="289" t="s">
        <v>157</v>
      </c>
      <c r="C1" s="290"/>
      <c r="D1" s="290"/>
      <c r="E1" s="291"/>
      <c r="I1" s="290"/>
      <c r="M1" s="1081" t="str">
        <f>'SC-I'!M1:S1</f>
        <v>Mẫu số S01-DN</v>
      </c>
      <c r="N1" s="1081"/>
      <c r="O1" s="1081"/>
      <c r="P1" s="1081"/>
      <c r="Q1" s="1081"/>
      <c r="R1" s="1081"/>
      <c r="S1" s="1081"/>
      <c r="X1" s="290"/>
      <c r="Y1" s="290"/>
      <c r="Z1" s="290"/>
      <c r="AA1" s="290"/>
      <c r="AB1" s="291"/>
      <c r="AC1" s="291"/>
      <c r="AD1" s="291"/>
      <c r="AE1" s="291"/>
      <c r="AF1" s="291"/>
      <c r="AG1" s="291"/>
      <c r="AH1" s="291"/>
      <c r="AI1" s="291"/>
      <c r="AJ1" s="291"/>
      <c r="AK1" s="291"/>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M2" s="1082" t="str">
        <f>'SC-I'!M2:S3</f>
        <v>(Ban hành theo Thông tư số 200/2014/TT-BTC 
 Ngày 22/12/2014 của Bộ Tài chính)</v>
      </c>
      <c r="N2" s="1082"/>
      <c r="O2" s="1082"/>
      <c r="P2" s="1082"/>
      <c r="Q2" s="1082"/>
      <c r="R2" s="1082"/>
      <c r="S2" s="1082"/>
      <c r="X2" s="294"/>
      <c r="Y2" s="294"/>
      <c r="Z2" s="294"/>
      <c r="AA2" s="294"/>
      <c r="AB2" s="295"/>
      <c r="AC2" s="295"/>
      <c r="AD2" s="295"/>
      <c r="AE2" s="295"/>
      <c r="AF2" s="295"/>
      <c r="AG2" s="295"/>
      <c r="AH2" s="295"/>
      <c r="AI2" s="295"/>
      <c r="AJ2" s="295"/>
      <c r="AK2" s="295"/>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M3" s="1082"/>
      <c r="N3" s="1082"/>
      <c r="O3" s="1082"/>
      <c r="P3" s="1082"/>
      <c r="Q3" s="1082"/>
      <c r="R3" s="1082"/>
      <c r="S3" s="1082"/>
      <c r="X3" s="294"/>
      <c r="Y3" s="294"/>
      <c r="Z3" s="294"/>
      <c r="AA3" s="294"/>
      <c r="AB3" s="295"/>
      <c r="AC3" s="295"/>
      <c r="AD3" s="295"/>
      <c r="AE3" s="295"/>
      <c r="AF3" s="295"/>
      <c r="AG3" s="295"/>
      <c r="AH3" s="295"/>
      <c r="AI3" s="295"/>
      <c r="AJ3" s="295"/>
      <c r="AK3" s="295"/>
      <c r="AL3" s="294"/>
      <c r="AM3" s="294"/>
      <c r="AN3" s="294"/>
      <c r="AO3" s="294"/>
      <c r="AP3" s="294"/>
      <c r="AQ3" s="294"/>
      <c r="AR3" s="294"/>
      <c r="AS3" s="294"/>
      <c r="AT3" s="294"/>
      <c r="AU3" s="294"/>
      <c r="AV3" s="294"/>
      <c r="AW3" s="294"/>
      <c r="AX3" s="294"/>
      <c r="AY3" s="294"/>
      <c r="AZ3" s="294"/>
      <c r="BA3" s="294"/>
    </row>
    <row r="4" spans="1:53" ht="19.5" customHeight="1">
      <c r="B4" s="1083" t="s">
        <v>147</v>
      </c>
      <c r="C4" s="1083"/>
      <c r="D4" s="1083"/>
      <c r="E4" s="1083"/>
      <c r="F4" s="1083"/>
      <c r="G4" s="1083"/>
      <c r="H4" s="1083"/>
      <c r="I4" s="1083"/>
      <c r="J4" s="1083"/>
      <c r="K4" s="1083"/>
      <c r="L4" s="1083"/>
      <c r="M4" s="1083"/>
      <c r="N4" s="1083"/>
      <c r="O4" s="1083"/>
      <c r="P4" s="1083"/>
      <c r="Q4" s="1083"/>
      <c r="R4" s="1083"/>
      <c r="S4" s="297"/>
      <c r="T4" s="297"/>
      <c r="U4" s="297"/>
      <c r="V4" s="297"/>
      <c r="W4" s="297"/>
      <c r="X4" s="298"/>
      <c r="Y4" s="298"/>
      <c r="Z4" s="299"/>
      <c r="AA4" s="299"/>
      <c r="AB4" s="297"/>
      <c r="AC4" s="297"/>
      <c r="AD4" s="297"/>
      <c r="AE4" s="297"/>
      <c r="AF4" s="297"/>
      <c r="AG4" s="297"/>
      <c r="AH4" s="297"/>
      <c r="AI4" s="297"/>
      <c r="AJ4" s="297"/>
      <c r="AK4" s="297"/>
      <c r="AL4" s="299"/>
      <c r="AM4" s="299"/>
      <c r="AN4" s="299"/>
      <c r="AO4" s="299"/>
      <c r="AP4" s="299"/>
      <c r="AQ4" s="299"/>
      <c r="AR4" s="299"/>
      <c r="AS4" s="299"/>
      <c r="AT4" s="299"/>
      <c r="AU4" s="299"/>
      <c r="AV4" s="299"/>
      <c r="AW4" s="299"/>
      <c r="AX4" s="299"/>
      <c r="AY4" s="299"/>
      <c r="AZ4" s="299"/>
      <c r="BA4" s="299"/>
    </row>
    <row r="5" spans="1:53" ht="15">
      <c r="B5" s="1084" t="s">
        <v>311</v>
      </c>
      <c r="C5" s="1084"/>
      <c r="D5" s="1084"/>
      <c r="E5" s="1084"/>
      <c r="F5" s="1084"/>
      <c r="G5" s="1084"/>
      <c r="H5" s="1084"/>
      <c r="I5" s="1084"/>
      <c r="J5" s="1084"/>
      <c r="K5" s="1084"/>
      <c r="L5" s="1084"/>
      <c r="M5" s="1084"/>
      <c r="N5" s="1084"/>
      <c r="O5" s="1084"/>
      <c r="P5" s="1084"/>
      <c r="Q5" s="1084"/>
      <c r="R5" s="1084"/>
      <c r="S5" s="300"/>
      <c r="T5" s="300"/>
      <c r="U5" s="300"/>
      <c r="V5" s="300"/>
      <c r="W5" s="300"/>
      <c r="X5" s="301"/>
      <c r="Y5" s="301"/>
      <c r="AB5" s="300"/>
      <c r="AC5" s="300"/>
      <c r="AD5" s="300"/>
      <c r="AE5" s="300"/>
      <c r="AF5" s="300"/>
      <c r="AG5" s="300"/>
      <c r="AH5" s="300"/>
      <c r="AI5" s="300"/>
      <c r="AJ5" s="300"/>
      <c r="AK5" s="300"/>
    </row>
    <row r="6" spans="1:53">
      <c r="P6" s="292" t="s">
        <v>228</v>
      </c>
    </row>
    <row r="7" spans="1:53" ht="13.5" customHeight="1">
      <c r="A7" s="1085" t="s">
        <v>46</v>
      </c>
      <c r="B7" s="1079" t="s">
        <v>27</v>
      </c>
      <c r="C7" s="1087" t="s">
        <v>1</v>
      </c>
      <c r="D7" s="1088"/>
      <c r="E7" s="1079" t="s">
        <v>0</v>
      </c>
      <c r="F7" s="1079" t="s">
        <v>148</v>
      </c>
      <c r="G7" s="1089" t="s">
        <v>149</v>
      </c>
      <c r="H7" s="1089"/>
      <c r="I7" s="1080" t="s">
        <v>46</v>
      </c>
      <c r="J7" s="1079" t="s">
        <v>284</v>
      </c>
      <c r="K7" s="1079"/>
      <c r="L7" s="1079" t="s">
        <v>285</v>
      </c>
      <c r="M7" s="1079"/>
      <c r="N7" s="1079" t="s">
        <v>466</v>
      </c>
      <c r="O7" s="1079"/>
      <c r="P7" s="1079" t="s">
        <v>286</v>
      </c>
      <c r="Q7" s="1079"/>
      <c r="R7" s="1079" t="s">
        <v>287</v>
      </c>
      <c r="S7" s="1079"/>
      <c r="T7" s="1079" t="s">
        <v>288</v>
      </c>
      <c r="U7" s="1079"/>
      <c r="V7" s="1079" t="s">
        <v>289</v>
      </c>
      <c r="W7" s="1079"/>
      <c r="X7" s="1079" t="s">
        <v>290</v>
      </c>
      <c r="Y7" s="1079"/>
      <c r="Z7" s="1079" t="s">
        <v>291</v>
      </c>
      <c r="AA7" s="1079"/>
      <c r="AB7" s="1079" t="s">
        <v>292</v>
      </c>
      <c r="AC7" s="1079"/>
      <c r="AD7" s="1079" t="s">
        <v>293</v>
      </c>
      <c r="AE7" s="1079"/>
      <c r="AF7" s="1079" t="s">
        <v>455</v>
      </c>
      <c r="AG7" s="1079"/>
      <c r="AH7" s="1079" t="s">
        <v>294</v>
      </c>
      <c r="AI7" s="1079"/>
      <c r="AJ7" s="1079" t="s">
        <v>295</v>
      </c>
      <c r="AK7" s="1079"/>
      <c r="AL7" s="1079" t="s">
        <v>296</v>
      </c>
      <c r="AM7" s="1079"/>
      <c r="AN7" s="1079" t="s">
        <v>297</v>
      </c>
      <c r="AO7" s="1079"/>
      <c r="AP7" s="1079" t="s">
        <v>298</v>
      </c>
      <c r="AQ7" s="1079"/>
      <c r="AR7" s="1079" t="s">
        <v>299</v>
      </c>
      <c r="AS7" s="1079"/>
      <c r="AT7" s="1079" t="s">
        <v>300</v>
      </c>
      <c r="AU7" s="1079"/>
      <c r="AV7" s="1079" t="s">
        <v>301</v>
      </c>
      <c r="AW7" s="1079"/>
      <c r="AX7" s="1079" t="s">
        <v>302</v>
      </c>
      <c r="AY7" s="1079"/>
      <c r="AZ7" s="1079" t="s">
        <v>303</v>
      </c>
      <c r="BA7" s="1079"/>
    </row>
    <row r="8" spans="1:53" ht="22.5" customHeight="1">
      <c r="A8" s="1086"/>
      <c r="B8" s="1079"/>
      <c r="C8" s="303" t="s">
        <v>20</v>
      </c>
      <c r="D8" s="302" t="s">
        <v>39</v>
      </c>
      <c r="E8" s="1079"/>
      <c r="F8" s="1079"/>
      <c r="G8" s="304" t="s">
        <v>29</v>
      </c>
      <c r="H8" s="304" t="s">
        <v>30</v>
      </c>
      <c r="I8" s="1080"/>
      <c r="J8" s="302" t="s">
        <v>29</v>
      </c>
      <c r="K8" s="302" t="s">
        <v>30</v>
      </c>
      <c r="L8" s="302" t="s">
        <v>29</v>
      </c>
      <c r="M8" s="302" t="s">
        <v>30</v>
      </c>
      <c r="N8" s="503" t="s">
        <v>29</v>
      </c>
      <c r="O8" s="503"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8" t="s">
        <v>29</v>
      </c>
      <c r="AG8" s="498"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IF(C10&lt;&gt;0,SUM(($C10:C$23&lt;&gt;0)*1),"")</f>
        <v/>
      </c>
      <c r="B10" s="307"/>
      <c r="C10" s="308"/>
      <c r="D10" s="307"/>
      <c r="E10" s="309" t="s">
        <v>262</v>
      </c>
      <c r="F10" s="310"/>
      <c r="G10" s="311"/>
      <c r="H10" s="311"/>
      <c r="I10" s="312"/>
      <c r="J10" s="313">
        <f ca="1">'SC-I'!J75</f>
        <v>1342165410</v>
      </c>
      <c r="K10" s="313">
        <f ca="1">'SC-I'!K75</f>
        <v>0</v>
      </c>
      <c r="L10" s="313">
        <f ca="1">'SC-I'!L75</f>
        <v>1694774692</v>
      </c>
      <c r="M10" s="313">
        <f ca="1">'SC-I'!M75</f>
        <v>0</v>
      </c>
      <c r="N10" s="313">
        <f ca="1">'SC-I'!N75</f>
        <v>0</v>
      </c>
      <c r="O10" s="313">
        <f ca="1">'SC-I'!O75</f>
        <v>0</v>
      </c>
      <c r="P10" s="313">
        <f ca="1">'SC-I'!P75</f>
        <v>452614594</v>
      </c>
      <c r="Q10" s="313">
        <f ca="1">'SC-I'!Q75</f>
        <v>0</v>
      </c>
      <c r="R10" s="313">
        <f ca="1">'SC-I'!R75</f>
        <v>0</v>
      </c>
      <c r="S10" s="313">
        <f ca="1">'SC-I'!S75</f>
        <v>0</v>
      </c>
      <c r="T10" s="313">
        <f ca="1">'SC-I'!T75</f>
        <v>22599987302</v>
      </c>
      <c r="U10" s="313">
        <f ca="1">'SC-I'!U75</f>
        <v>0</v>
      </c>
      <c r="V10" s="313">
        <f ca="1">'SC-I'!V75</f>
        <v>4299540884</v>
      </c>
      <c r="W10" s="313">
        <f ca="1">'SC-I'!W75</f>
        <v>0</v>
      </c>
      <c r="X10" s="313">
        <f ca="1">'SC-I'!X75</f>
        <v>0</v>
      </c>
      <c r="Y10" s="313">
        <f ca="1">'SC-I'!Y75</f>
        <v>0</v>
      </c>
      <c r="Z10" s="313">
        <f ca="1">'SC-I'!Z75</f>
        <v>0</v>
      </c>
      <c r="AA10" s="313">
        <f ca="1">'SC-I'!AA75</f>
        <v>0</v>
      </c>
      <c r="AB10" s="313">
        <f ca="1">'SC-I'!AB75</f>
        <v>0</v>
      </c>
      <c r="AC10" s="313">
        <f ca="1">'SC-I'!AC75</f>
        <v>5000000000</v>
      </c>
      <c r="AD10" s="313">
        <f ca="1">'SC-I'!AD75</f>
        <v>0</v>
      </c>
      <c r="AE10" s="313">
        <f ca="1">'SC-I'!AE75</f>
        <v>20000000000</v>
      </c>
      <c r="AF10" s="313">
        <f ca="1">'SC-I'!AF75</f>
        <v>0</v>
      </c>
      <c r="AG10" s="313">
        <f ca="1">'SC-I'!AG75</f>
        <v>1982640000</v>
      </c>
      <c r="AH10" s="313">
        <f ca="1">'SC-I'!AH75</f>
        <v>0</v>
      </c>
      <c r="AI10" s="313">
        <f ca="1">'SC-I'!AI75</f>
        <v>4000000000</v>
      </c>
      <c r="AJ10" s="313">
        <f ca="1">'SC-I'!AJ75</f>
        <v>583066238</v>
      </c>
      <c r="AK10" s="313">
        <f ca="1">'SC-I'!AK75</f>
        <v>0</v>
      </c>
      <c r="AL10" s="313">
        <f ca="1">'SC-I'!AL75</f>
        <v>2440859</v>
      </c>
      <c r="AM10" s="313">
        <f ca="1">'SC-I'!AM75</f>
        <v>0</v>
      </c>
      <c r="AN10" s="313">
        <f ca="1">'SC-I'!AN75</f>
        <v>0</v>
      </c>
      <c r="AO10" s="313">
        <f ca="1">'SC-I'!AO75</f>
        <v>0</v>
      </c>
      <c r="AP10" s="313">
        <f ca="1">'SC-I'!AP75</f>
        <v>0</v>
      </c>
      <c r="AQ10" s="313">
        <f ca="1">'SC-I'!AQ75</f>
        <v>0</v>
      </c>
      <c r="AR10" s="313">
        <f ca="1">'SC-I'!AR75</f>
        <v>0</v>
      </c>
      <c r="AS10" s="313">
        <f ca="1">'SC-I'!AS75</f>
        <v>0</v>
      </c>
      <c r="AT10" s="313">
        <f ca="1">'SC-I'!AT75</f>
        <v>0</v>
      </c>
      <c r="AU10" s="313">
        <f ca="1">'SC-I'!AU75</f>
        <v>0</v>
      </c>
      <c r="AV10" s="313">
        <f ca="1">'SC-I'!AV75</f>
        <v>0</v>
      </c>
      <c r="AW10" s="313">
        <f ca="1">'SC-I'!AW75</f>
        <v>0</v>
      </c>
      <c r="AX10" s="313">
        <f ca="1">'SC-I'!AX75</f>
        <v>0</v>
      </c>
      <c r="AY10" s="313">
        <f ca="1">'SC-I'!AY75</f>
        <v>0</v>
      </c>
      <c r="AZ10" s="313">
        <f ca="1">'SC-I'!AZ75</f>
        <v>8050021</v>
      </c>
      <c r="BA10" s="313">
        <f ca="1">'SC-I'!BA75</f>
        <v>0</v>
      </c>
    </row>
    <row r="11" spans="1:53" s="314" customFormat="1" ht="15" customHeight="1">
      <c r="A11" s="63">
        <f t="array" aca="1" ref="A11" ca="1">IF(C11&lt;&gt;0,SUM(($C$11:C11&lt;&gt;0)*1),"")</f>
        <v>1</v>
      </c>
      <c r="B11" s="315">
        <f ca="1">IF(ROWS($1:1)&gt;COUNT(Dong7),"",OFFSET(TH!C$1,SMALL(Dong7,ROWS($1:1)),))</f>
        <v>42462</v>
      </c>
      <c r="C11" s="315" t="str">
        <f ca="1">IF(ROWS($1:1)&gt;COUNT(Dong7),"",OFFSET(TH!D$1,SMALL(Dong7,ROWS($1:1)),))</f>
        <v>C01</v>
      </c>
      <c r="D11" s="315">
        <f ca="1">IF(ROWS($1:1)&gt;COUNT(Dong7),"",OFFSET(TH!E$1,SMALL(Dong7,ROWS($1:1)),))</f>
        <v>42358</v>
      </c>
      <c r="E11" s="433" t="str">
        <f ca="1">IF(ROWS($1:1)&gt;COUNT(Dong7),"",OFFSET(TH!F$1,SMALL(Dong7,ROWS($1:1)),))</f>
        <v>Sơn 79A &amp; A901</v>
      </c>
      <c r="F11" s="371">
        <f ca="1">IF(ROWS($1:1)&gt;COUNT(Dong7),"",OFFSET(TH!M$1,SMALL(Dong7,ROWS($1:1)),))</f>
        <v>10087000</v>
      </c>
      <c r="G11" s="373" t="str">
        <f ca="1">IF(ROWS($1:1)&gt;COUNT(Dong7),"",OFFSET(TH!N$1,SMALL(Dong7,ROWS($1:1)),))</f>
        <v>2412</v>
      </c>
      <c r="H11" s="373" t="str">
        <f ca="1">IF(ROWS($1:1)&gt;COUNT(Dong7),"",OFFSET(TH!O$1,SMALL(Dong7,ROWS($1:1)),))</f>
        <v>1111</v>
      </c>
      <c r="I11" s="63">
        <f t="shared" ref="I11:I21" ca="1" si="0">A11</f>
        <v>1</v>
      </c>
      <c r="J11" s="317">
        <f t="shared" ref="J11:J74" ca="1" si="1">IF($G11="1111",$F11,0)</f>
        <v>0</v>
      </c>
      <c r="K11" s="317">
        <f t="shared" ref="K11:K74" ca="1" si="2">IF($H11="1111",$F11,0)</f>
        <v>10087000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10087000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433"/>
      <c r="F22" s="371"/>
      <c r="G22" s="373"/>
      <c r="H22" s="373"/>
      <c r="I22" s="63" t="str">
        <f t="shared" ref="I22:I78" si="45">A22</f>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433"/>
      <c r="F23" s="371"/>
      <c r="G23" s="373"/>
      <c r="H23" s="373"/>
      <c r="I23" s="63" t="str">
        <f t="shared" si="45"/>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433"/>
      <c r="F24" s="371"/>
      <c r="G24" s="373"/>
      <c r="H24" s="373"/>
      <c r="I24" s="63" t="str">
        <f t="shared" si="45"/>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433"/>
      <c r="F25" s="371"/>
      <c r="G25" s="373"/>
      <c r="H25" s="373"/>
      <c r="I25" s="63" t="str">
        <f t="shared" si="45"/>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433"/>
      <c r="F26" s="371"/>
      <c r="G26" s="373"/>
      <c r="H26" s="373"/>
      <c r="I26" s="63" t="str">
        <f t="shared" si="45"/>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433"/>
      <c r="F27" s="371"/>
      <c r="G27" s="373"/>
      <c r="H27" s="373"/>
      <c r="I27" s="63" t="str">
        <f t="shared" si="45"/>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433"/>
      <c r="F28" s="371"/>
      <c r="G28" s="373"/>
      <c r="H28" s="373"/>
      <c r="I28" s="63" t="str">
        <f t="shared" si="45"/>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433"/>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433"/>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433"/>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433"/>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433"/>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433"/>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433"/>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433"/>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433"/>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433"/>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433"/>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433"/>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433"/>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433"/>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433"/>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433"/>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433"/>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433"/>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433"/>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433"/>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433"/>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433"/>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433"/>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433"/>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433"/>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433"/>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433"/>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433"/>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433"/>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433"/>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433"/>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433"/>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433"/>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433"/>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433"/>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433"/>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433"/>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t="str">
        <f t="array" ref="A66">IF(C66&lt;&gt;0,SUM(($C$11:C66&lt;&gt;0)*1),"")</f>
        <v/>
      </c>
      <c r="B66" s="315"/>
      <c r="C66" s="315"/>
      <c r="D66" s="315"/>
      <c r="E66" s="433"/>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t="str">
        <f t="array" ref="A67">IF(C67&lt;&gt;0,SUM(($C$11:C67&lt;&gt;0)*1),"")</f>
        <v/>
      </c>
      <c r="B67" s="315"/>
      <c r="C67" s="315"/>
      <c r="D67" s="315"/>
      <c r="E67" s="433"/>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t="str">
        <f t="array" ref="A68">IF(C68&lt;&gt;0,SUM(($C$11:C68&lt;&gt;0)*1),"")</f>
        <v/>
      </c>
      <c r="B68" s="315"/>
      <c r="C68" s="315"/>
      <c r="D68" s="315"/>
      <c r="E68" s="433"/>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 customHeight="1">
      <c r="A69" s="63" t="str">
        <f t="array" ref="A69">IF(C69&lt;&gt;0,SUM(($C$11:C69&lt;&gt;0)*1),"")</f>
        <v/>
      </c>
      <c r="B69" s="315"/>
      <c r="C69" s="315"/>
      <c r="D69" s="315"/>
      <c r="E69" s="433"/>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 customHeight="1">
      <c r="A70" s="63" t="str">
        <f t="array" ref="A70">IF(C70&lt;&gt;0,SUM(($C$11:C70&lt;&gt;0)*1),"")</f>
        <v/>
      </c>
      <c r="B70" s="315"/>
      <c r="C70" s="315"/>
      <c r="D70" s="315"/>
      <c r="E70" s="433"/>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 customHeight="1">
      <c r="A71" s="63" t="str">
        <f t="array" ref="A71">IF(C71&lt;&gt;0,SUM(($C$11:C71&lt;&gt;0)*1),"")</f>
        <v/>
      </c>
      <c r="B71" s="315"/>
      <c r="C71" s="315"/>
      <c r="D71" s="315"/>
      <c r="E71" s="433"/>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 customHeight="1">
      <c r="A72" s="63" t="str">
        <f t="array" ref="A72">IF(C72&lt;&gt;0,SUM(($C$11:C72&lt;&gt;0)*1),"")</f>
        <v/>
      </c>
      <c r="B72" s="315"/>
      <c r="C72" s="315"/>
      <c r="D72" s="315"/>
      <c r="E72" s="433"/>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 customHeight="1">
      <c r="A73" s="63" t="str">
        <f t="array" ref="A73">IF(C73&lt;&gt;0,SUM(($C$11:C73&lt;&gt;0)*1),"")</f>
        <v/>
      </c>
      <c r="B73" s="315"/>
      <c r="C73" s="315"/>
      <c r="D73" s="315"/>
      <c r="E73" s="433"/>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15"/>
      <c r="C74" s="315"/>
      <c r="D74" s="315"/>
      <c r="E74" s="433"/>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 customHeight="1">
      <c r="A75" s="63" t="str">
        <f t="array" ref="A75">IF(C75&lt;&gt;0,SUM(($C$11:C75&lt;&gt;0)*1),"")</f>
        <v/>
      </c>
      <c r="B75" s="315"/>
      <c r="C75" s="315"/>
      <c r="D75" s="315"/>
      <c r="E75" s="433"/>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 customHeight="1">
      <c r="A76" s="63" t="str">
        <f t="array" ref="A76">IF(C76&lt;&gt;0,SUM(($C$11:C76&lt;&gt;0)*1),"")</f>
        <v/>
      </c>
      <c r="B76" s="315"/>
      <c r="C76" s="315"/>
      <c r="D76" s="315"/>
      <c r="E76" s="433"/>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 customHeight="1">
      <c r="A77" s="63" t="str">
        <f t="array" ref="A77">IF(C77&lt;&gt;0,SUM(($C$11:C77&lt;&gt;0)*1),"")</f>
        <v/>
      </c>
      <c r="B77" s="315"/>
      <c r="C77" s="315"/>
      <c r="D77" s="315"/>
      <c r="E77" s="433"/>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 customHeight="1">
      <c r="A78" s="63" t="str">
        <f t="array" ref="A78">IF(C78&lt;&gt;0,SUM(($C$11:C78&lt;&gt;0)*1),"")</f>
        <v/>
      </c>
      <c r="B78" s="315"/>
      <c r="C78" s="315"/>
      <c r="D78" s="315"/>
      <c r="E78" s="433"/>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 customHeight="1">
      <c r="A79" s="63" t="str">
        <f t="array" ref="A79">IF(C79&lt;&gt;0,SUM(($C$11:C79&lt;&gt;0)*1),"")</f>
        <v/>
      </c>
      <c r="B79" s="315"/>
      <c r="C79" s="315"/>
      <c r="D79" s="315"/>
      <c r="E79" s="433"/>
      <c r="F79" s="371"/>
      <c r="G79" s="373"/>
      <c r="H79" s="373"/>
      <c r="I79" s="63" t="str">
        <f>A79</f>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 customHeight="1">
      <c r="A80" s="63" t="str">
        <f t="array" ref="A80">IF(C80&lt;&gt;0,SUM(($C$11:C80&lt;&gt;0)*1),"")</f>
        <v/>
      </c>
      <c r="B80" s="315"/>
      <c r="C80" s="315"/>
      <c r="D80" s="315"/>
      <c r="E80" s="433"/>
      <c r="F80" s="371"/>
      <c r="G80" s="373"/>
      <c r="H80" s="373"/>
      <c r="I80" s="63" t="str">
        <f>A80</f>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 customHeight="1">
      <c r="A81" s="63" t="str">
        <f t="array" ref="A81">IF(C81&lt;&gt;0,SUM(($C$11:C81&lt;&gt;0)*1),"")</f>
        <v/>
      </c>
      <c r="B81" s="315"/>
      <c r="C81" s="315"/>
      <c r="D81" s="315"/>
      <c r="E81" s="433"/>
      <c r="F81" s="371"/>
      <c r="G81" s="373"/>
      <c r="H81" s="373"/>
      <c r="I81" s="63" t="str">
        <f t="shared" ref="I81:I144" si="90">A81</f>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 customHeight="1">
      <c r="A82" s="63" t="str">
        <f t="array" ref="A82">IF(C82&lt;&gt;0,SUM(($C$11:C82&lt;&gt;0)*1),"")</f>
        <v/>
      </c>
      <c r="B82" s="315"/>
      <c r="C82" s="315"/>
      <c r="D82" s="315"/>
      <c r="E82" s="433"/>
      <c r="F82" s="371"/>
      <c r="G82" s="373"/>
      <c r="H82" s="373"/>
      <c r="I82" s="63" t="str">
        <f t="shared" si="90"/>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 customHeight="1">
      <c r="A83" s="63" t="str">
        <f t="array" ref="A83">IF(C83&lt;&gt;0,SUM(($C$11:C83&lt;&gt;0)*1),"")</f>
        <v/>
      </c>
      <c r="B83" s="315"/>
      <c r="C83" s="315"/>
      <c r="D83" s="315"/>
      <c r="E83" s="433"/>
      <c r="F83" s="371"/>
      <c r="G83" s="373"/>
      <c r="H83" s="373"/>
      <c r="I83" s="63" t="str">
        <f t="shared" si="90"/>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 customHeight="1">
      <c r="A84" s="63" t="str">
        <f t="array" ref="A84">IF(C84&lt;&gt;0,SUM(($C$11:C84&lt;&gt;0)*1),"")</f>
        <v/>
      </c>
      <c r="B84" s="315"/>
      <c r="C84" s="315"/>
      <c r="D84" s="315"/>
      <c r="E84" s="433"/>
      <c r="F84" s="371"/>
      <c r="G84" s="373"/>
      <c r="H84" s="373"/>
      <c r="I84" s="63" t="str">
        <f t="shared" si="90"/>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 customHeight="1">
      <c r="A85" s="63" t="str">
        <f t="array" ref="A85">IF(C85&lt;&gt;0,SUM(($C$11:C85&lt;&gt;0)*1),"")</f>
        <v/>
      </c>
      <c r="B85" s="315"/>
      <c r="C85" s="315"/>
      <c r="D85" s="315"/>
      <c r="E85" s="433"/>
      <c r="F85" s="371"/>
      <c r="G85" s="373"/>
      <c r="H85" s="373"/>
      <c r="I85" s="63" t="str">
        <f t="shared" si="90"/>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 customHeight="1">
      <c r="A86" s="63" t="str">
        <f t="array" ref="A86">IF(C86&lt;&gt;0,SUM(($C$11:C86&lt;&gt;0)*1),"")</f>
        <v/>
      </c>
      <c r="B86" s="315"/>
      <c r="C86" s="315"/>
      <c r="D86" s="315"/>
      <c r="E86" s="433"/>
      <c r="F86" s="371"/>
      <c r="G86" s="373"/>
      <c r="H86" s="373"/>
      <c r="I86" s="63" t="str">
        <f t="shared" si="90"/>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 customHeight="1">
      <c r="A87" s="63" t="str">
        <f t="array" ref="A87">IF(C87&lt;&gt;0,SUM(($C$11:C87&lt;&gt;0)*1),"")</f>
        <v/>
      </c>
      <c r="B87" s="315"/>
      <c r="C87" s="315"/>
      <c r="D87" s="315"/>
      <c r="E87" s="433"/>
      <c r="F87" s="371"/>
      <c r="G87" s="373"/>
      <c r="H87" s="373"/>
      <c r="I87" s="63" t="str">
        <f t="shared" si="90"/>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 customHeight="1">
      <c r="A88" s="63" t="str">
        <f t="array" ref="A88">IF(C88&lt;&gt;0,SUM(($C$11:C88&lt;&gt;0)*1),"")</f>
        <v/>
      </c>
      <c r="B88" s="315"/>
      <c r="C88" s="315"/>
      <c r="D88" s="315"/>
      <c r="E88" s="433"/>
      <c r="F88" s="371"/>
      <c r="G88" s="373"/>
      <c r="H88" s="373"/>
      <c r="I88" s="63" t="str">
        <f t="shared" si="90"/>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 customHeight="1">
      <c r="A89" s="63" t="str">
        <f t="array" ref="A89">IF(C89&lt;&gt;0,SUM(($C$11:C89&lt;&gt;0)*1),"")</f>
        <v/>
      </c>
      <c r="B89" s="315"/>
      <c r="C89" s="315"/>
      <c r="D89" s="315"/>
      <c r="E89" s="433"/>
      <c r="F89" s="371"/>
      <c r="G89" s="373"/>
      <c r="H89" s="373"/>
      <c r="I89" s="63" t="str">
        <f t="shared" si="90"/>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 customHeight="1">
      <c r="A90" s="63" t="str">
        <f t="array" ref="A90">IF(C90&lt;&gt;0,SUM(($C$11:C90&lt;&gt;0)*1),"")</f>
        <v/>
      </c>
      <c r="B90" s="315"/>
      <c r="C90" s="315"/>
      <c r="D90" s="315"/>
      <c r="E90" s="433"/>
      <c r="F90" s="371"/>
      <c r="G90" s="373"/>
      <c r="H90" s="373"/>
      <c r="I90" s="63" t="str">
        <f t="shared" si="90"/>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 customHeight="1">
      <c r="A91" s="63" t="str">
        <f t="array" ref="A91">IF(C91&lt;&gt;0,SUM(($C$11:C91&lt;&gt;0)*1),"")</f>
        <v/>
      </c>
      <c r="B91" s="315"/>
      <c r="C91" s="315"/>
      <c r="D91" s="315"/>
      <c r="E91" s="433"/>
      <c r="F91" s="371"/>
      <c r="G91" s="373"/>
      <c r="H91" s="373"/>
      <c r="I91" s="63" t="str">
        <f t="shared" si="90"/>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 customHeight="1">
      <c r="A92" s="63" t="str">
        <f t="array" ref="A92">IF(C92&lt;&gt;0,SUM(($C$11:C92&lt;&gt;0)*1),"")</f>
        <v/>
      </c>
      <c r="B92" s="315"/>
      <c r="C92" s="315"/>
      <c r="D92" s="315"/>
      <c r="E92" s="433"/>
      <c r="F92" s="371"/>
      <c r="G92" s="373"/>
      <c r="H92" s="373"/>
      <c r="I92" s="63" t="str">
        <f t="shared" si="90"/>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 customHeight="1">
      <c r="A93" s="63" t="str">
        <f t="array" ref="A93">IF(C93&lt;&gt;0,SUM(($C$11:C93&lt;&gt;0)*1),"")</f>
        <v/>
      </c>
      <c r="B93" s="315"/>
      <c r="C93" s="315"/>
      <c r="D93" s="315"/>
      <c r="E93" s="433"/>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 customHeight="1">
      <c r="A94" s="63" t="str">
        <f t="array" ref="A94">IF(C94&lt;&gt;0,SUM(($C$11:C94&lt;&gt;0)*1),"")</f>
        <v/>
      </c>
      <c r="B94" s="315"/>
      <c r="C94" s="315"/>
      <c r="D94" s="315"/>
      <c r="E94" s="433"/>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 customHeight="1">
      <c r="A95" s="63" t="str">
        <f t="array" ref="A95">IF(C95&lt;&gt;0,SUM(($C$11:C95&lt;&gt;0)*1),"")</f>
        <v/>
      </c>
      <c r="B95" s="315"/>
      <c r="C95" s="315"/>
      <c r="D95" s="315"/>
      <c r="E95" s="433"/>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 customHeight="1">
      <c r="A96" s="63" t="str">
        <f t="array" ref="A96">IF(C96&lt;&gt;0,SUM(($C$11:C96&lt;&gt;0)*1),"")</f>
        <v/>
      </c>
      <c r="B96" s="315"/>
      <c r="C96" s="315"/>
      <c r="D96" s="315"/>
      <c r="E96" s="433"/>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 customHeight="1">
      <c r="A97" s="63" t="str">
        <f t="array" ref="A97">IF(C97&lt;&gt;0,SUM(($C$11:C97&lt;&gt;0)*1),"")</f>
        <v/>
      </c>
      <c r="B97" s="315"/>
      <c r="C97" s="315"/>
      <c r="D97" s="315"/>
      <c r="E97" s="433"/>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 customHeight="1">
      <c r="A98" s="63" t="str">
        <f t="array" ref="A98">IF(C98&lt;&gt;0,SUM(($C$11:C98&lt;&gt;0)*1),"")</f>
        <v/>
      </c>
      <c r="B98" s="315"/>
      <c r="C98" s="315"/>
      <c r="D98" s="315"/>
      <c r="E98" s="433"/>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 customHeight="1">
      <c r="A99" s="63" t="str">
        <f t="array" ref="A99">IF(C99&lt;&gt;0,SUM(($C$11:C99&lt;&gt;0)*1),"")</f>
        <v/>
      </c>
      <c r="B99" s="315"/>
      <c r="C99" s="315"/>
      <c r="D99" s="315"/>
      <c r="E99" s="433"/>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 customHeight="1">
      <c r="A100" s="63" t="str">
        <f t="array" ref="A100">IF(C100&lt;&gt;0,SUM(($C$11:C100&lt;&gt;0)*1),"")</f>
        <v/>
      </c>
      <c r="B100" s="315"/>
      <c r="C100" s="315"/>
      <c r="D100" s="315"/>
      <c r="E100" s="433"/>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 customHeight="1">
      <c r="A101" s="63" t="str">
        <f t="array" ref="A101">IF(C101&lt;&gt;0,SUM(($C$11:C101&lt;&gt;0)*1),"")</f>
        <v/>
      </c>
      <c r="B101" s="315"/>
      <c r="C101" s="315"/>
      <c r="D101" s="315"/>
      <c r="E101" s="433"/>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 customHeight="1">
      <c r="A102" s="63" t="str">
        <f t="array" ref="A102">IF(C102&lt;&gt;0,SUM(($C$11:C102&lt;&gt;0)*1),"")</f>
        <v/>
      </c>
      <c r="B102" s="315"/>
      <c r="C102" s="315"/>
      <c r="D102" s="315"/>
      <c r="E102" s="433"/>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 customHeight="1">
      <c r="A103" s="63" t="str">
        <f t="array" ref="A103">IF(C103&lt;&gt;0,SUM(($C$11:C103&lt;&gt;0)*1),"")</f>
        <v/>
      </c>
      <c r="B103" s="315"/>
      <c r="C103" s="315"/>
      <c r="D103" s="315"/>
      <c r="E103" s="433"/>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 customHeight="1">
      <c r="A104" s="63" t="str">
        <f t="array" ref="A104">IF(C104&lt;&gt;0,SUM(($C$11:C104&lt;&gt;0)*1),"")</f>
        <v/>
      </c>
      <c r="B104" s="315"/>
      <c r="C104" s="315"/>
      <c r="D104" s="315"/>
      <c r="E104" s="433"/>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 customHeight="1">
      <c r="A105" s="63" t="str">
        <f t="array" ref="A105">IF(C105&lt;&gt;0,SUM(($C$11:C105&lt;&gt;0)*1),"")</f>
        <v/>
      </c>
      <c r="B105" s="315"/>
      <c r="C105" s="315"/>
      <c r="D105" s="315"/>
      <c r="E105" s="433"/>
      <c r="F105" s="371"/>
      <c r="G105" s="373"/>
      <c r="H105" s="373"/>
      <c r="I105" s="63" t="str">
        <f t="shared" si="90"/>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 customHeight="1">
      <c r="A106" s="63" t="str">
        <f t="array" ref="A106">IF(C106&lt;&gt;0,SUM(($C$11:C106&lt;&gt;0)*1),"")</f>
        <v/>
      </c>
      <c r="B106" s="315"/>
      <c r="C106" s="315"/>
      <c r="D106" s="315"/>
      <c r="E106" s="433"/>
      <c r="F106" s="371"/>
      <c r="G106" s="373"/>
      <c r="H106" s="373"/>
      <c r="I106" s="63" t="str">
        <f t="shared" si="90"/>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 customHeight="1">
      <c r="A107" s="63" t="str">
        <f t="array" ref="A107">IF(C107&lt;&gt;0,SUM(($C$11:C107&lt;&gt;0)*1),"")</f>
        <v/>
      </c>
      <c r="B107" s="315"/>
      <c r="C107" s="315"/>
      <c r="D107" s="315"/>
      <c r="E107" s="433"/>
      <c r="F107" s="371"/>
      <c r="G107" s="373"/>
      <c r="H107" s="373"/>
      <c r="I107" s="63" t="str">
        <f t="shared" si="90"/>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 customHeight="1">
      <c r="A108" s="63" t="str">
        <f t="array" ref="A108">IF(C108&lt;&gt;0,SUM(($C$11:C108&lt;&gt;0)*1),"")</f>
        <v/>
      </c>
      <c r="B108" s="315"/>
      <c r="C108" s="315"/>
      <c r="D108" s="315"/>
      <c r="E108" s="433"/>
      <c r="F108" s="371"/>
      <c r="G108" s="373"/>
      <c r="H108" s="373"/>
      <c r="I108" s="63" t="str">
        <f t="shared" si="90"/>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 customHeight="1">
      <c r="A109" s="63" t="str">
        <f t="array" ref="A109">IF(C109&lt;&gt;0,SUM(($C$11:C109&lt;&gt;0)*1),"")</f>
        <v/>
      </c>
      <c r="B109" s="315"/>
      <c r="C109" s="315"/>
      <c r="D109" s="315"/>
      <c r="E109" s="433"/>
      <c r="F109" s="371"/>
      <c r="G109" s="373"/>
      <c r="H109" s="373"/>
      <c r="I109" s="63" t="str">
        <f t="shared" si="90"/>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 customHeight="1">
      <c r="A110" s="63" t="str">
        <f t="array" ref="A110">IF(C110&lt;&gt;0,SUM(($C$11:C110&lt;&gt;0)*1),"")</f>
        <v/>
      </c>
      <c r="B110" s="315"/>
      <c r="C110" s="315"/>
      <c r="D110" s="315"/>
      <c r="E110" s="433"/>
      <c r="F110" s="371"/>
      <c r="G110" s="373"/>
      <c r="H110" s="373"/>
      <c r="I110" s="63" t="str">
        <f t="shared" si="90"/>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 customHeight="1">
      <c r="A111" s="63" t="str">
        <f t="array" ref="A111">IF(C111&lt;&gt;0,SUM(($C$11:C111&lt;&gt;0)*1),"")</f>
        <v/>
      </c>
      <c r="B111" s="315"/>
      <c r="C111" s="315"/>
      <c r="D111" s="315"/>
      <c r="E111" s="433"/>
      <c r="F111" s="371"/>
      <c r="G111" s="373"/>
      <c r="H111" s="373"/>
      <c r="I111" s="63" t="str">
        <f t="shared" si="90"/>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 customHeight="1">
      <c r="A112" s="63" t="str">
        <f t="array" ref="A112">IF(C112&lt;&gt;0,SUM(($C$11:C112&lt;&gt;0)*1),"")</f>
        <v/>
      </c>
      <c r="B112" s="315"/>
      <c r="C112" s="315"/>
      <c r="D112" s="315"/>
      <c r="E112" s="433"/>
      <c r="F112" s="371"/>
      <c r="G112" s="373"/>
      <c r="H112" s="373"/>
      <c r="I112" s="63" t="str">
        <f t="shared" si="90"/>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 customHeight="1">
      <c r="A113" s="63" t="str">
        <f t="array" ref="A113">IF(C113&lt;&gt;0,SUM(($C$11:C113&lt;&gt;0)*1),"")</f>
        <v/>
      </c>
      <c r="B113" s="315"/>
      <c r="C113" s="315"/>
      <c r="D113" s="315"/>
      <c r="E113" s="433"/>
      <c r="F113" s="371"/>
      <c r="G113" s="373"/>
      <c r="H113" s="373"/>
      <c r="I113" s="63" t="str">
        <f t="shared" si="90"/>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 customHeight="1">
      <c r="A114" s="63" t="str">
        <f t="array" ref="A114">IF(C114&lt;&gt;0,SUM(($C$11:C114&lt;&gt;0)*1),"")</f>
        <v/>
      </c>
      <c r="B114" s="315"/>
      <c r="C114" s="315"/>
      <c r="D114" s="315"/>
      <c r="E114" s="433"/>
      <c r="F114" s="371"/>
      <c r="G114" s="373"/>
      <c r="H114" s="373"/>
      <c r="I114" s="63" t="str">
        <f t="shared" si="90"/>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 customHeight="1">
      <c r="A115" s="63" t="str">
        <f t="array" ref="A115">IF(C115&lt;&gt;0,SUM(($C$11:C115&lt;&gt;0)*1),"")</f>
        <v/>
      </c>
      <c r="B115" s="315"/>
      <c r="C115" s="315"/>
      <c r="D115" s="315"/>
      <c r="E115" s="433"/>
      <c r="F115" s="371"/>
      <c r="G115" s="373"/>
      <c r="H115" s="373"/>
      <c r="I115" s="63" t="str">
        <f t="shared" si="90"/>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 customHeight="1">
      <c r="A116" s="63" t="str">
        <f t="array" ref="A116">IF(C116&lt;&gt;0,SUM(($C$11:C116&lt;&gt;0)*1),"")</f>
        <v/>
      </c>
      <c r="B116" s="315"/>
      <c r="C116" s="315"/>
      <c r="D116" s="315"/>
      <c r="E116" s="433"/>
      <c r="F116" s="371"/>
      <c r="G116" s="373"/>
      <c r="H116" s="373"/>
      <c r="I116" s="63" t="str">
        <f t="shared" si="90"/>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 customHeight="1">
      <c r="A117" s="63" t="str">
        <f t="array" ref="A117">IF(C117&lt;&gt;0,SUM(($C$11:C117&lt;&gt;0)*1),"")</f>
        <v/>
      </c>
      <c r="B117" s="315"/>
      <c r="C117" s="315"/>
      <c r="D117" s="315"/>
      <c r="E117" s="433"/>
      <c r="F117" s="371"/>
      <c r="G117" s="373"/>
      <c r="H117" s="373"/>
      <c r="I117" s="63" t="str">
        <f t="shared" si="90"/>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 customHeight="1">
      <c r="A118" s="63" t="str">
        <f t="array" ref="A118">IF(C118&lt;&gt;0,SUM(($C$11:C118&lt;&gt;0)*1),"")</f>
        <v/>
      </c>
      <c r="B118" s="315"/>
      <c r="C118" s="315"/>
      <c r="D118" s="315"/>
      <c r="E118" s="433"/>
      <c r="F118" s="371"/>
      <c r="G118" s="373"/>
      <c r="H118" s="373"/>
      <c r="I118" s="63" t="str">
        <f t="shared" si="90"/>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 customHeight="1">
      <c r="A119" s="63" t="str">
        <f t="array" ref="A119">IF(C119&lt;&gt;0,SUM(($C$11:C119&lt;&gt;0)*1),"")</f>
        <v/>
      </c>
      <c r="B119" s="315"/>
      <c r="C119" s="315"/>
      <c r="D119" s="315"/>
      <c r="E119" s="433"/>
      <c r="F119" s="371"/>
      <c r="G119" s="373"/>
      <c r="H119" s="373"/>
      <c r="I119" s="63" t="str">
        <f t="shared" si="90"/>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 customHeight="1">
      <c r="A120" s="63" t="str">
        <f t="array" ref="A120">IF(C120&lt;&gt;0,SUM(($C$11:C120&lt;&gt;0)*1),"")</f>
        <v/>
      </c>
      <c r="B120" s="315"/>
      <c r="C120" s="315"/>
      <c r="D120" s="315"/>
      <c r="E120" s="433"/>
      <c r="F120" s="371"/>
      <c r="G120" s="373"/>
      <c r="H120" s="373"/>
      <c r="I120" s="63" t="str">
        <f t="shared" si="90"/>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 customHeight="1">
      <c r="A121" s="63" t="str">
        <f t="array" ref="A121">IF(C121&lt;&gt;0,SUM(($C$11:C121&lt;&gt;0)*1),"")</f>
        <v/>
      </c>
      <c r="B121" s="315"/>
      <c r="C121" s="315"/>
      <c r="D121" s="315"/>
      <c r="E121" s="433"/>
      <c r="F121" s="371"/>
      <c r="G121" s="373"/>
      <c r="H121" s="373"/>
      <c r="I121" s="63" t="str">
        <f t="shared" si="90"/>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 customHeight="1">
      <c r="A122" s="63" t="str">
        <f t="array" ref="A122">IF(C122&lt;&gt;0,SUM(($C$11:C122&lt;&gt;0)*1),"")</f>
        <v/>
      </c>
      <c r="B122" s="315"/>
      <c r="C122" s="315"/>
      <c r="D122" s="315"/>
      <c r="E122" s="433"/>
      <c r="F122" s="371"/>
      <c r="G122" s="373"/>
      <c r="H122" s="373"/>
      <c r="I122" s="63" t="str">
        <f t="shared" si="90"/>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 customHeight="1">
      <c r="A123" s="63" t="str">
        <f t="array" ref="A123">IF(C123&lt;&gt;0,SUM(($C$11:C123&lt;&gt;0)*1),"")</f>
        <v/>
      </c>
      <c r="B123" s="315"/>
      <c r="C123" s="315"/>
      <c r="D123" s="315"/>
      <c r="E123" s="433"/>
      <c r="F123" s="371"/>
      <c r="G123" s="373"/>
      <c r="H123" s="373"/>
      <c r="I123" s="63" t="str">
        <f t="shared" si="90"/>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 customHeight="1">
      <c r="A124" s="63" t="str">
        <f t="array" ref="A124">IF(C124&lt;&gt;0,SUM(($C$11:C124&lt;&gt;0)*1),"")</f>
        <v/>
      </c>
      <c r="B124" s="315"/>
      <c r="C124" s="315"/>
      <c r="D124" s="315"/>
      <c r="E124" s="433"/>
      <c r="F124" s="371"/>
      <c r="G124" s="373"/>
      <c r="H124" s="373"/>
      <c r="I124" s="63" t="str">
        <f t="shared" si="90"/>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 customHeight="1">
      <c r="A125" s="63" t="str">
        <f t="array" ref="A125">IF(C125&lt;&gt;0,SUM(($C$11:C125&lt;&gt;0)*1),"")</f>
        <v/>
      </c>
      <c r="B125" s="315"/>
      <c r="C125" s="315"/>
      <c r="D125" s="315"/>
      <c r="E125" s="433"/>
      <c r="F125" s="371"/>
      <c r="G125" s="373"/>
      <c r="H125" s="373"/>
      <c r="I125" s="63" t="str">
        <f t="shared" si="90"/>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 customHeight="1">
      <c r="A126" s="63" t="str">
        <f t="array" ref="A126">IF(C126&lt;&gt;0,SUM(($C$11:C126&lt;&gt;0)*1),"")</f>
        <v/>
      </c>
      <c r="B126" s="315"/>
      <c r="C126" s="315"/>
      <c r="D126" s="315"/>
      <c r="E126" s="433"/>
      <c r="F126" s="371"/>
      <c r="G126" s="373"/>
      <c r="H126" s="373"/>
      <c r="I126" s="63" t="str">
        <f t="shared" si="90"/>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 customHeight="1">
      <c r="A127" s="63" t="str">
        <f t="array" ref="A127">IF(C127&lt;&gt;0,SUM(($C$11:C127&lt;&gt;0)*1),"")</f>
        <v/>
      </c>
      <c r="B127" s="315"/>
      <c r="C127" s="315"/>
      <c r="D127" s="315"/>
      <c r="E127" s="433"/>
      <c r="F127" s="371"/>
      <c r="G127" s="373"/>
      <c r="H127" s="373"/>
      <c r="I127" s="63" t="str">
        <f t="shared" si="90"/>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 customHeight="1">
      <c r="A128" s="63" t="str">
        <f t="array" ref="A128">IF(C128&lt;&gt;0,SUM(($C$11:C128&lt;&gt;0)*1),"")</f>
        <v/>
      </c>
      <c r="B128" s="315"/>
      <c r="C128" s="315"/>
      <c r="D128" s="315"/>
      <c r="E128" s="433"/>
      <c r="F128" s="371"/>
      <c r="G128" s="373"/>
      <c r="H128" s="373"/>
      <c r="I128" s="63" t="str">
        <f t="shared" si="90"/>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 customHeight="1">
      <c r="A129" s="63" t="str">
        <f t="array" ref="A129">IF(C129&lt;&gt;0,SUM(($C$11:C129&lt;&gt;0)*1),"")</f>
        <v/>
      </c>
      <c r="B129" s="315"/>
      <c r="C129" s="315"/>
      <c r="D129" s="315"/>
      <c r="E129" s="433"/>
      <c r="F129" s="371"/>
      <c r="G129" s="373"/>
      <c r="H129" s="373"/>
      <c r="I129" s="63" t="str">
        <f t="shared" si="90"/>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 customHeight="1">
      <c r="A130" s="63" t="str">
        <f t="array" ref="A130">IF(C130&lt;&gt;0,SUM(($C$11:C130&lt;&gt;0)*1),"")</f>
        <v/>
      </c>
      <c r="B130" s="315"/>
      <c r="C130" s="315"/>
      <c r="D130" s="315"/>
      <c r="E130" s="433"/>
      <c r="F130" s="371"/>
      <c r="G130" s="373"/>
      <c r="H130" s="373"/>
      <c r="I130" s="63" t="str">
        <f t="shared" si="90"/>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 customHeight="1">
      <c r="A131" s="63" t="str">
        <f t="array" ref="A131">IF(C131&lt;&gt;0,SUM(($C$11:C131&lt;&gt;0)*1),"")</f>
        <v/>
      </c>
      <c r="B131" s="315"/>
      <c r="C131" s="315"/>
      <c r="D131" s="315"/>
      <c r="E131" s="433"/>
      <c r="F131" s="371"/>
      <c r="G131" s="373"/>
      <c r="H131" s="373"/>
      <c r="I131" s="63" t="str">
        <f t="shared" si="90"/>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 customHeight="1">
      <c r="A132" s="63" t="str">
        <f t="array" ref="A132">IF(C132&lt;&gt;0,SUM(($C$11:C132&lt;&gt;0)*1),"")</f>
        <v/>
      </c>
      <c r="B132" s="315"/>
      <c r="C132" s="315"/>
      <c r="D132" s="315"/>
      <c r="E132" s="433"/>
      <c r="F132" s="371"/>
      <c r="G132" s="373"/>
      <c r="H132" s="373"/>
      <c r="I132" s="63" t="str">
        <f t="shared" si="90"/>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 customHeight="1">
      <c r="A133" s="63" t="str">
        <f t="array" ref="A133">IF(C133&lt;&gt;0,SUM(($C$11:C133&lt;&gt;0)*1),"")</f>
        <v/>
      </c>
      <c r="B133" s="315"/>
      <c r="C133" s="315"/>
      <c r="D133" s="315"/>
      <c r="E133" s="433"/>
      <c r="F133" s="371"/>
      <c r="G133" s="373"/>
      <c r="H133" s="373"/>
      <c r="I133" s="63" t="str">
        <f t="shared" si="90"/>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 customHeight="1">
      <c r="A134" s="63" t="str">
        <f t="array" ref="A134">IF(C134&lt;&gt;0,SUM(($C$11:C134&lt;&gt;0)*1),"")</f>
        <v/>
      </c>
      <c r="B134" s="315"/>
      <c r="C134" s="315"/>
      <c r="D134" s="315"/>
      <c r="E134" s="433"/>
      <c r="F134" s="371"/>
      <c r="G134" s="373"/>
      <c r="H134" s="373"/>
      <c r="I134" s="63" t="str">
        <f t="shared" si="90"/>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 customHeight="1">
      <c r="A135" s="63" t="str">
        <f t="array" ref="A135">IF(C135&lt;&gt;0,SUM(($C$11:C135&lt;&gt;0)*1),"")</f>
        <v/>
      </c>
      <c r="B135" s="315"/>
      <c r="C135" s="315"/>
      <c r="D135" s="315"/>
      <c r="E135" s="433"/>
      <c r="F135" s="371"/>
      <c r="G135" s="373"/>
      <c r="H135" s="373"/>
      <c r="I135" s="63" t="str">
        <f t="shared" si="90"/>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 customHeight="1">
      <c r="A136" s="63" t="str">
        <f t="array" ref="A136">IF(C136&lt;&gt;0,SUM(($C$11:C136&lt;&gt;0)*1),"")</f>
        <v/>
      </c>
      <c r="B136" s="315"/>
      <c r="C136" s="315"/>
      <c r="D136" s="315"/>
      <c r="E136" s="433"/>
      <c r="F136" s="371"/>
      <c r="G136" s="373"/>
      <c r="H136" s="373"/>
      <c r="I136" s="63" t="str">
        <f t="shared" si="90"/>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 customHeight="1">
      <c r="A137" s="63" t="str">
        <f t="array" ref="A137">IF(C137&lt;&gt;0,SUM(($C$11:C137&lt;&gt;0)*1),"")</f>
        <v/>
      </c>
      <c r="B137" s="315"/>
      <c r="C137" s="315"/>
      <c r="D137" s="315"/>
      <c r="E137" s="433"/>
      <c r="F137" s="371"/>
      <c r="G137" s="373"/>
      <c r="H137" s="373"/>
      <c r="I137" s="63" t="str">
        <f t="shared" si="90"/>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 customHeight="1">
      <c r="A138" s="63" t="str">
        <f t="array" ref="A138">IF(C138&lt;&gt;0,SUM(($C$11:C138&lt;&gt;0)*1),"")</f>
        <v/>
      </c>
      <c r="B138" s="315"/>
      <c r="C138" s="315"/>
      <c r="D138" s="315"/>
      <c r="E138" s="433"/>
      <c r="F138" s="371"/>
      <c r="G138" s="373"/>
      <c r="H138" s="373"/>
      <c r="I138" s="63" t="str">
        <f t="shared" si="90"/>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 customHeight="1">
      <c r="A139" s="63" t="str">
        <f t="array" ref="A139">IF(C139&lt;&gt;0,SUM(($C$11:C139&lt;&gt;0)*1),"")</f>
        <v/>
      </c>
      <c r="B139" s="315"/>
      <c r="C139" s="315"/>
      <c r="D139" s="315"/>
      <c r="E139" s="433"/>
      <c r="F139" s="371"/>
      <c r="G139" s="373"/>
      <c r="H139" s="373"/>
      <c r="I139" s="63" t="str">
        <f t="shared" si="90"/>
        <v/>
      </c>
      <c r="J139" s="317">
        <f t="shared" ref="J139:J154" si="91">IF($G139="1111",$F139,0)</f>
        <v>0</v>
      </c>
      <c r="K139" s="317">
        <f t="shared" ref="K139:K154" si="92">IF($H139="1111",$F139,0)</f>
        <v>0</v>
      </c>
      <c r="L139" s="317">
        <f t="shared" ref="L139:L154" si="93">IF($G139="1121",$F139,0)</f>
        <v>0</v>
      </c>
      <c r="M139" s="317">
        <f t="shared" ref="M139:M154" si="94">IF($H139="1121",$F139,0)</f>
        <v>0</v>
      </c>
      <c r="N139" s="317">
        <f t="shared" si="84"/>
        <v>0</v>
      </c>
      <c r="O139" s="317">
        <f t="shared" si="85"/>
        <v>0</v>
      </c>
      <c r="P139" s="317">
        <f t="shared" ref="P139:P154" si="95">IF($G139="1331",$F139,0)</f>
        <v>0</v>
      </c>
      <c r="Q139" s="317">
        <f t="shared" ref="Q139:Q154" si="96">IF($H139="1331",$F139,0)</f>
        <v>0</v>
      </c>
      <c r="R139" s="317">
        <f t="shared" ref="R139:R154" si="97">IF($G139="1388",$F139,0)</f>
        <v>0</v>
      </c>
      <c r="S139" s="317">
        <f t="shared" ref="S139:S154" si="98">IF($H139="1388",$F139,0)</f>
        <v>0</v>
      </c>
      <c r="T139" s="317">
        <f t="shared" si="86"/>
        <v>0</v>
      </c>
      <c r="U139" s="317">
        <f t="shared" si="87"/>
        <v>0</v>
      </c>
      <c r="V139" s="317">
        <f t="shared" ref="V139:V154" si="99">IF($G139="331",$F139,0)</f>
        <v>0</v>
      </c>
      <c r="W139" s="317">
        <f t="shared" ref="W139:W154" si="100">IF($H139="331",$F139,0)</f>
        <v>0</v>
      </c>
      <c r="X139" s="317">
        <f t="shared" ref="X139:X154" si="101">IF($G139="3334",$F139,0)</f>
        <v>0</v>
      </c>
      <c r="Y139" s="317">
        <f t="shared" ref="Y139:Y154" si="102">IF($H139="3334",$F139,0)</f>
        <v>0</v>
      </c>
      <c r="Z139" s="317">
        <f t="shared" ref="Z139:Z154" si="103">IF($G139="33382",$F139,0)</f>
        <v>0</v>
      </c>
      <c r="AA139" s="317">
        <f t="shared" ref="AA139:AA154" si="104">IF($H139="33382",$F139,0)</f>
        <v>0</v>
      </c>
      <c r="AB139" s="317">
        <f t="shared" ref="AB139:AB154" si="105">IF($G139="3388",$F139,0)</f>
        <v>0</v>
      </c>
      <c r="AC139" s="317">
        <f t="shared" ref="AC139:AC154" si="106">IF($H139="3388",$F139,0)</f>
        <v>0</v>
      </c>
      <c r="AD139" s="317">
        <f t="shared" ref="AD139:AD154" si="107">IF($G139="3411",$F139,0)</f>
        <v>0</v>
      </c>
      <c r="AE139" s="317">
        <f t="shared" ref="AE139:AE154" si="108">IF($H139="3411",$F139,0)</f>
        <v>0</v>
      </c>
      <c r="AF139" s="317">
        <f t="shared" si="88"/>
        <v>0</v>
      </c>
      <c r="AG139" s="317">
        <f t="shared" si="89"/>
        <v>0</v>
      </c>
      <c r="AH139" s="317">
        <f t="shared" ref="AH139:AH154" si="109">IF($G139="4111",$F139,0)</f>
        <v>0</v>
      </c>
      <c r="AI139" s="317">
        <f t="shared" ref="AI139:AI154" si="110">IF($H139="4111",$F139,0)</f>
        <v>0</v>
      </c>
      <c r="AJ139" s="317">
        <f t="shared" ref="AJ139:AJ154" si="111">IF($G139="4211",$F139,0)</f>
        <v>0</v>
      </c>
      <c r="AK139" s="317">
        <f t="shared" ref="AK139:AK154" si="112">IF($H139="4211",$F139,0)</f>
        <v>0</v>
      </c>
      <c r="AL139" s="317">
        <f t="shared" ref="AL139:AL154" si="113">IF($G139="4212",$F139,0)</f>
        <v>0</v>
      </c>
      <c r="AM139" s="317">
        <f t="shared" ref="AM139:AM154" si="114">IF($H139="4212",$F139,0)</f>
        <v>0</v>
      </c>
      <c r="AN139" s="317">
        <f t="shared" ref="AN139:AN154" si="115">IF($G139="515",$F139,0)</f>
        <v>0</v>
      </c>
      <c r="AO139" s="317">
        <f t="shared" ref="AO139:AO154" si="116">IF($H139="515",$F139,0)</f>
        <v>0</v>
      </c>
      <c r="AP139" s="317">
        <f t="shared" ref="AP139:AP154" si="117">IF($G139="635",$F139,0)</f>
        <v>0</v>
      </c>
      <c r="AQ139" s="317">
        <f t="shared" ref="AQ139:AQ154" si="118">IF($H139="635",$F139,0)</f>
        <v>0</v>
      </c>
      <c r="AR139" s="317">
        <f t="shared" ref="AR139:AR154" si="119">IF($G139="642",$F139,0)</f>
        <v>0</v>
      </c>
      <c r="AS139" s="317">
        <f t="shared" ref="AS139:AS154" si="120">IF($H139="642",$F139,0)</f>
        <v>0</v>
      </c>
      <c r="AT139" s="317">
        <f t="shared" ref="AT139:AT154" si="121">IF($G139="711",$F139,0)</f>
        <v>0</v>
      </c>
      <c r="AU139" s="317">
        <f t="shared" ref="AU139:AU154" si="122">IF($H139="711",$F139,0)</f>
        <v>0</v>
      </c>
      <c r="AV139" s="317">
        <f t="shared" ref="AV139:AV154" si="123">IF($G139="811",$F139,0)</f>
        <v>0</v>
      </c>
      <c r="AW139" s="317">
        <f t="shared" ref="AW139:AW154" si="124">IF($H139="811",$F139,0)</f>
        <v>0</v>
      </c>
      <c r="AX139" s="317">
        <f t="shared" ref="AX139:AX154" si="125">IF($G139="821",$F139,0)</f>
        <v>0</v>
      </c>
      <c r="AY139" s="317">
        <f t="shared" ref="AY139:AY154" si="126">IF($H139="821",$F139,0)</f>
        <v>0</v>
      </c>
      <c r="AZ139" s="317">
        <f t="shared" ref="AZ139:AZ154" si="127">IF($G139="911",$F139,0)</f>
        <v>0</v>
      </c>
      <c r="BA139" s="317">
        <f t="shared" ref="BA139:BA154" si="128">IF($H139="911",$F139,0)</f>
        <v>0</v>
      </c>
    </row>
    <row r="140" spans="1:53" s="314" customFormat="1" ht="15" customHeight="1">
      <c r="A140" s="63" t="str">
        <f t="array" ref="A140">IF(C140&lt;&gt;0,SUM(($C$11:C140&lt;&gt;0)*1),"")</f>
        <v/>
      </c>
      <c r="B140" s="315"/>
      <c r="C140" s="315"/>
      <c r="D140" s="315"/>
      <c r="E140" s="433"/>
      <c r="F140" s="371"/>
      <c r="G140" s="373"/>
      <c r="H140" s="373"/>
      <c r="I140" s="63" t="str">
        <f t="shared" si="90"/>
        <v/>
      </c>
      <c r="J140" s="317">
        <f t="shared" si="91"/>
        <v>0</v>
      </c>
      <c r="K140" s="317">
        <f t="shared" si="92"/>
        <v>0</v>
      </c>
      <c r="L140" s="317">
        <f t="shared" si="93"/>
        <v>0</v>
      </c>
      <c r="M140" s="317">
        <f t="shared" si="94"/>
        <v>0</v>
      </c>
      <c r="N140" s="317">
        <f t="shared" ref="N140:N154" si="129">IF($G140="1122",$F140,0)</f>
        <v>0</v>
      </c>
      <c r="O140" s="317">
        <f t="shared" ref="O140:O154" si="130">IF($H140="1122",$F140,0)</f>
        <v>0</v>
      </c>
      <c r="P140" s="317">
        <f t="shared" si="95"/>
        <v>0</v>
      </c>
      <c r="Q140" s="317">
        <f t="shared" si="96"/>
        <v>0</v>
      </c>
      <c r="R140" s="317">
        <f t="shared" si="97"/>
        <v>0</v>
      </c>
      <c r="S140" s="317">
        <f t="shared" si="98"/>
        <v>0</v>
      </c>
      <c r="T140" s="317">
        <f t="shared" ref="T140:T154" si="131">IF($G140="2412",$F140,0)</f>
        <v>0</v>
      </c>
      <c r="U140" s="317">
        <f t="shared" ref="U140:U154" si="132">IF($H140="2412",$F140,0)</f>
        <v>0</v>
      </c>
      <c r="V140" s="317">
        <f t="shared" si="99"/>
        <v>0</v>
      </c>
      <c r="W140" s="317">
        <f t="shared" si="100"/>
        <v>0</v>
      </c>
      <c r="X140" s="317">
        <f t="shared" si="101"/>
        <v>0</v>
      </c>
      <c r="Y140" s="317">
        <f t="shared" si="102"/>
        <v>0</v>
      </c>
      <c r="Z140" s="317">
        <f t="shared" si="103"/>
        <v>0</v>
      </c>
      <c r="AA140" s="317">
        <f t="shared" si="104"/>
        <v>0</v>
      </c>
      <c r="AB140" s="317">
        <f t="shared" si="105"/>
        <v>0</v>
      </c>
      <c r="AC140" s="317">
        <f t="shared" si="106"/>
        <v>0</v>
      </c>
      <c r="AD140" s="317">
        <f t="shared" si="107"/>
        <v>0</v>
      </c>
      <c r="AE140" s="317">
        <f t="shared" si="108"/>
        <v>0</v>
      </c>
      <c r="AF140" s="317">
        <f t="shared" ref="AF140:AF154" si="133">IF($G140="3412",$F140,0)</f>
        <v>0</v>
      </c>
      <c r="AG140" s="317">
        <f t="shared" ref="AG140:AG154" si="134">IF($H140="3412",$F140,0)</f>
        <v>0</v>
      </c>
      <c r="AH140" s="317">
        <f t="shared" si="109"/>
        <v>0</v>
      </c>
      <c r="AI140" s="317">
        <f t="shared" si="110"/>
        <v>0</v>
      </c>
      <c r="AJ140" s="317">
        <f t="shared" si="111"/>
        <v>0</v>
      </c>
      <c r="AK140" s="317">
        <f t="shared" si="112"/>
        <v>0</v>
      </c>
      <c r="AL140" s="317">
        <f t="shared" si="113"/>
        <v>0</v>
      </c>
      <c r="AM140" s="317">
        <f t="shared" si="114"/>
        <v>0</v>
      </c>
      <c r="AN140" s="317">
        <f t="shared" si="115"/>
        <v>0</v>
      </c>
      <c r="AO140" s="317">
        <f t="shared" si="116"/>
        <v>0</v>
      </c>
      <c r="AP140" s="317">
        <f t="shared" si="117"/>
        <v>0</v>
      </c>
      <c r="AQ140" s="317">
        <f t="shared" si="118"/>
        <v>0</v>
      </c>
      <c r="AR140" s="317">
        <f t="shared" si="119"/>
        <v>0</v>
      </c>
      <c r="AS140" s="317">
        <f t="shared" si="120"/>
        <v>0</v>
      </c>
      <c r="AT140" s="317">
        <f t="shared" si="121"/>
        <v>0</v>
      </c>
      <c r="AU140" s="317">
        <f t="shared" si="122"/>
        <v>0</v>
      </c>
      <c r="AV140" s="317">
        <f t="shared" si="123"/>
        <v>0</v>
      </c>
      <c r="AW140" s="317">
        <f t="shared" si="124"/>
        <v>0</v>
      </c>
      <c r="AX140" s="317">
        <f t="shared" si="125"/>
        <v>0</v>
      </c>
      <c r="AY140" s="317">
        <f t="shared" si="126"/>
        <v>0</v>
      </c>
      <c r="AZ140" s="317">
        <f t="shared" si="127"/>
        <v>0</v>
      </c>
      <c r="BA140" s="317">
        <f t="shared" si="128"/>
        <v>0</v>
      </c>
    </row>
    <row r="141" spans="1:53" s="314" customFormat="1" ht="15" customHeight="1">
      <c r="A141" s="63" t="str">
        <f t="array" ref="A141">IF(C141&lt;&gt;0,SUM(($C$11:C141&lt;&gt;0)*1),"")</f>
        <v/>
      </c>
      <c r="B141" s="315"/>
      <c r="C141" s="315"/>
      <c r="D141" s="315"/>
      <c r="E141" s="433"/>
      <c r="F141" s="371"/>
      <c r="G141" s="373"/>
      <c r="H141" s="373"/>
      <c r="I141" s="63" t="str">
        <f t="shared" si="90"/>
        <v/>
      </c>
      <c r="J141" s="317">
        <f t="shared" si="91"/>
        <v>0</v>
      </c>
      <c r="K141" s="317">
        <f t="shared" si="92"/>
        <v>0</v>
      </c>
      <c r="L141" s="317">
        <f t="shared" si="93"/>
        <v>0</v>
      </c>
      <c r="M141" s="317">
        <f t="shared" si="94"/>
        <v>0</v>
      </c>
      <c r="N141" s="317">
        <f t="shared" si="129"/>
        <v>0</v>
      </c>
      <c r="O141" s="317">
        <f t="shared" si="130"/>
        <v>0</v>
      </c>
      <c r="P141" s="317">
        <f t="shared" si="95"/>
        <v>0</v>
      </c>
      <c r="Q141" s="317">
        <f t="shared" si="96"/>
        <v>0</v>
      </c>
      <c r="R141" s="317">
        <f t="shared" si="97"/>
        <v>0</v>
      </c>
      <c r="S141" s="317">
        <f t="shared" si="98"/>
        <v>0</v>
      </c>
      <c r="T141" s="317">
        <f t="shared" si="131"/>
        <v>0</v>
      </c>
      <c r="U141" s="317">
        <f t="shared" si="132"/>
        <v>0</v>
      </c>
      <c r="V141" s="317">
        <f t="shared" si="99"/>
        <v>0</v>
      </c>
      <c r="W141" s="317">
        <f t="shared" si="100"/>
        <v>0</v>
      </c>
      <c r="X141" s="317">
        <f t="shared" si="101"/>
        <v>0</v>
      </c>
      <c r="Y141" s="317">
        <f t="shared" si="102"/>
        <v>0</v>
      </c>
      <c r="Z141" s="317">
        <f t="shared" si="103"/>
        <v>0</v>
      </c>
      <c r="AA141" s="317">
        <f t="shared" si="104"/>
        <v>0</v>
      </c>
      <c r="AB141" s="317">
        <f t="shared" si="105"/>
        <v>0</v>
      </c>
      <c r="AC141" s="317">
        <f t="shared" si="106"/>
        <v>0</v>
      </c>
      <c r="AD141" s="317">
        <f t="shared" si="107"/>
        <v>0</v>
      </c>
      <c r="AE141" s="317">
        <f t="shared" si="108"/>
        <v>0</v>
      </c>
      <c r="AF141" s="317">
        <f t="shared" si="133"/>
        <v>0</v>
      </c>
      <c r="AG141" s="317">
        <f t="shared" si="134"/>
        <v>0</v>
      </c>
      <c r="AH141" s="317">
        <f t="shared" si="109"/>
        <v>0</v>
      </c>
      <c r="AI141" s="317">
        <f t="shared" si="110"/>
        <v>0</v>
      </c>
      <c r="AJ141" s="317">
        <f t="shared" si="111"/>
        <v>0</v>
      </c>
      <c r="AK141" s="317">
        <f t="shared" si="112"/>
        <v>0</v>
      </c>
      <c r="AL141" s="317">
        <f t="shared" si="113"/>
        <v>0</v>
      </c>
      <c r="AM141" s="317">
        <f t="shared" si="114"/>
        <v>0</v>
      </c>
      <c r="AN141" s="317">
        <f t="shared" si="115"/>
        <v>0</v>
      </c>
      <c r="AO141" s="317">
        <f t="shared" si="116"/>
        <v>0</v>
      </c>
      <c r="AP141" s="317">
        <f t="shared" si="117"/>
        <v>0</v>
      </c>
      <c r="AQ141" s="317">
        <f t="shared" si="118"/>
        <v>0</v>
      </c>
      <c r="AR141" s="317">
        <f t="shared" si="119"/>
        <v>0</v>
      </c>
      <c r="AS141" s="317">
        <f t="shared" si="120"/>
        <v>0</v>
      </c>
      <c r="AT141" s="317">
        <f t="shared" si="121"/>
        <v>0</v>
      </c>
      <c r="AU141" s="317">
        <f t="shared" si="122"/>
        <v>0</v>
      </c>
      <c r="AV141" s="317">
        <f t="shared" si="123"/>
        <v>0</v>
      </c>
      <c r="AW141" s="317">
        <f t="shared" si="124"/>
        <v>0</v>
      </c>
      <c r="AX141" s="317">
        <f t="shared" si="125"/>
        <v>0</v>
      </c>
      <c r="AY141" s="317">
        <f t="shared" si="126"/>
        <v>0</v>
      </c>
      <c r="AZ141" s="317">
        <f t="shared" si="127"/>
        <v>0</v>
      </c>
      <c r="BA141" s="317">
        <f t="shared" si="128"/>
        <v>0</v>
      </c>
    </row>
    <row r="142" spans="1:53" s="314" customFormat="1" ht="15" customHeight="1">
      <c r="A142" s="63" t="str">
        <f t="array" ref="A142">IF(C142&lt;&gt;0,SUM(($C$11:C142&lt;&gt;0)*1),"")</f>
        <v/>
      </c>
      <c r="B142" s="315"/>
      <c r="C142" s="315"/>
      <c r="D142" s="315"/>
      <c r="E142" s="433"/>
      <c r="F142" s="371"/>
      <c r="G142" s="373"/>
      <c r="H142" s="373"/>
      <c r="I142" s="63" t="str">
        <f t="shared" si="90"/>
        <v/>
      </c>
      <c r="J142" s="317">
        <f t="shared" si="91"/>
        <v>0</v>
      </c>
      <c r="K142" s="317">
        <f t="shared" si="92"/>
        <v>0</v>
      </c>
      <c r="L142" s="317">
        <f t="shared" si="93"/>
        <v>0</v>
      </c>
      <c r="M142" s="317">
        <f t="shared" si="94"/>
        <v>0</v>
      </c>
      <c r="N142" s="317">
        <f t="shared" si="129"/>
        <v>0</v>
      </c>
      <c r="O142" s="317">
        <f t="shared" si="130"/>
        <v>0</v>
      </c>
      <c r="P142" s="317">
        <f t="shared" si="95"/>
        <v>0</v>
      </c>
      <c r="Q142" s="317">
        <f t="shared" si="96"/>
        <v>0</v>
      </c>
      <c r="R142" s="317">
        <f t="shared" si="97"/>
        <v>0</v>
      </c>
      <c r="S142" s="317">
        <f t="shared" si="98"/>
        <v>0</v>
      </c>
      <c r="T142" s="317">
        <f t="shared" si="131"/>
        <v>0</v>
      </c>
      <c r="U142" s="317">
        <f t="shared" si="132"/>
        <v>0</v>
      </c>
      <c r="V142" s="317">
        <f t="shared" si="99"/>
        <v>0</v>
      </c>
      <c r="W142" s="317">
        <f t="shared" si="100"/>
        <v>0</v>
      </c>
      <c r="X142" s="317">
        <f t="shared" si="101"/>
        <v>0</v>
      </c>
      <c r="Y142" s="317">
        <f t="shared" si="102"/>
        <v>0</v>
      </c>
      <c r="Z142" s="317">
        <f t="shared" si="103"/>
        <v>0</v>
      </c>
      <c r="AA142" s="317">
        <f t="shared" si="104"/>
        <v>0</v>
      </c>
      <c r="AB142" s="317">
        <f t="shared" si="105"/>
        <v>0</v>
      </c>
      <c r="AC142" s="317">
        <f t="shared" si="106"/>
        <v>0</v>
      </c>
      <c r="AD142" s="317">
        <f t="shared" si="107"/>
        <v>0</v>
      </c>
      <c r="AE142" s="317">
        <f t="shared" si="108"/>
        <v>0</v>
      </c>
      <c r="AF142" s="317">
        <f t="shared" si="133"/>
        <v>0</v>
      </c>
      <c r="AG142" s="317">
        <f t="shared" si="134"/>
        <v>0</v>
      </c>
      <c r="AH142" s="317">
        <f t="shared" si="109"/>
        <v>0</v>
      </c>
      <c r="AI142" s="317">
        <f t="shared" si="110"/>
        <v>0</v>
      </c>
      <c r="AJ142" s="317">
        <f t="shared" si="111"/>
        <v>0</v>
      </c>
      <c r="AK142" s="317">
        <f t="shared" si="112"/>
        <v>0</v>
      </c>
      <c r="AL142" s="317">
        <f t="shared" si="113"/>
        <v>0</v>
      </c>
      <c r="AM142" s="317">
        <f t="shared" si="114"/>
        <v>0</v>
      </c>
      <c r="AN142" s="317">
        <f t="shared" si="115"/>
        <v>0</v>
      </c>
      <c r="AO142" s="317">
        <f t="shared" si="116"/>
        <v>0</v>
      </c>
      <c r="AP142" s="317">
        <f t="shared" si="117"/>
        <v>0</v>
      </c>
      <c r="AQ142" s="317">
        <f t="shared" si="118"/>
        <v>0</v>
      </c>
      <c r="AR142" s="317">
        <f t="shared" si="119"/>
        <v>0</v>
      </c>
      <c r="AS142" s="317">
        <f t="shared" si="120"/>
        <v>0</v>
      </c>
      <c r="AT142" s="317">
        <f t="shared" si="121"/>
        <v>0</v>
      </c>
      <c r="AU142" s="317">
        <f t="shared" si="122"/>
        <v>0</v>
      </c>
      <c r="AV142" s="317">
        <f t="shared" si="123"/>
        <v>0</v>
      </c>
      <c r="AW142" s="317">
        <f t="shared" si="124"/>
        <v>0</v>
      </c>
      <c r="AX142" s="317">
        <f t="shared" si="125"/>
        <v>0</v>
      </c>
      <c r="AY142" s="317">
        <f t="shared" si="126"/>
        <v>0</v>
      </c>
      <c r="AZ142" s="317">
        <f t="shared" si="127"/>
        <v>0</v>
      </c>
      <c r="BA142" s="317">
        <f t="shared" si="128"/>
        <v>0</v>
      </c>
    </row>
    <row r="143" spans="1:53" s="314" customFormat="1" ht="15" customHeight="1">
      <c r="A143" s="63" t="str">
        <f t="array" ref="A143">IF(C143&lt;&gt;0,SUM(($C$11:C143&lt;&gt;0)*1),"")</f>
        <v/>
      </c>
      <c r="B143" s="315"/>
      <c r="C143" s="315"/>
      <c r="D143" s="315"/>
      <c r="E143" s="433"/>
      <c r="F143" s="371"/>
      <c r="G143" s="373"/>
      <c r="H143" s="373"/>
      <c r="I143" s="63" t="str">
        <f t="shared" si="90"/>
        <v/>
      </c>
      <c r="J143" s="317">
        <f t="shared" si="91"/>
        <v>0</v>
      </c>
      <c r="K143" s="317">
        <f t="shared" si="92"/>
        <v>0</v>
      </c>
      <c r="L143" s="317">
        <f t="shared" si="93"/>
        <v>0</v>
      </c>
      <c r="M143" s="317">
        <f t="shared" si="94"/>
        <v>0</v>
      </c>
      <c r="N143" s="317">
        <f t="shared" si="129"/>
        <v>0</v>
      </c>
      <c r="O143" s="317">
        <f t="shared" si="130"/>
        <v>0</v>
      </c>
      <c r="P143" s="317">
        <f t="shared" si="95"/>
        <v>0</v>
      </c>
      <c r="Q143" s="317">
        <f t="shared" si="96"/>
        <v>0</v>
      </c>
      <c r="R143" s="317">
        <f t="shared" si="97"/>
        <v>0</v>
      </c>
      <c r="S143" s="317">
        <f t="shared" si="98"/>
        <v>0</v>
      </c>
      <c r="T143" s="317">
        <f t="shared" si="131"/>
        <v>0</v>
      </c>
      <c r="U143" s="317">
        <f t="shared" si="132"/>
        <v>0</v>
      </c>
      <c r="V143" s="317">
        <f t="shared" si="99"/>
        <v>0</v>
      </c>
      <c r="W143" s="317">
        <f t="shared" si="100"/>
        <v>0</v>
      </c>
      <c r="X143" s="317">
        <f t="shared" si="101"/>
        <v>0</v>
      </c>
      <c r="Y143" s="317">
        <f t="shared" si="102"/>
        <v>0</v>
      </c>
      <c r="Z143" s="317">
        <f t="shared" si="103"/>
        <v>0</v>
      </c>
      <c r="AA143" s="317">
        <f t="shared" si="104"/>
        <v>0</v>
      </c>
      <c r="AB143" s="317">
        <f t="shared" si="105"/>
        <v>0</v>
      </c>
      <c r="AC143" s="317">
        <f t="shared" si="106"/>
        <v>0</v>
      </c>
      <c r="AD143" s="317">
        <f t="shared" si="107"/>
        <v>0</v>
      </c>
      <c r="AE143" s="317">
        <f t="shared" si="108"/>
        <v>0</v>
      </c>
      <c r="AF143" s="317">
        <f t="shared" si="133"/>
        <v>0</v>
      </c>
      <c r="AG143" s="317">
        <f t="shared" si="134"/>
        <v>0</v>
      </c>
      <c r="AH143" s="317">
        <f t="shared" si="109"/>
        <v>0</v>
      </c>
      <c r="AI143" s="317">
        <f t="shared" si="110"/>
        <v>0</v>
      </c>
      <c r="AJ143" s="317">
        <f t="shared" si="111"/>
        <v>0</v>
      </c>
      <c r="AK143" s="317">
        <f t="shared" si="112"/>
        <v>0</v>
      </c>
      <c r="AL143" s="317">
        <f t="shared" si="113"/>
        <v>0</v>
      </c>
      <c r="AM143" s="317">
        <f t="shared" si="114"/>
        <v>0</v>
      </c>
      <c r="AN143" s="317">
        <f t="shared" si="115"/>
        <v>0</v>
      </c>
      <c r="AO143" s="317">
        <f t="shared" si="116"/>
        <v>0</v>
      </c>
      <c r="AP143" s="317">
        <f t="shared" si="117"/>
        <v>0</v>
      </c>
      <c r="AQ143" s="317">
        <f t="shared" si="118"/>
        <v>0</v>
      </c>
      <c r="AR143" s="317">
        <f t="shared" si="119"/>
        <v>0</v>
      </c>
      <c r="AS143" s="317">
        <f t="shared" si="120"/>
        <v>0</v>
      </c>
      <c r="AT143" s="317">
        <f t="shared" si="121"/>
        <v>0</v>
      </c>
      <c r="AU143" s="317">
        <f t="shared" si="122"/>
        <v>0</v>
      </c>
      <c r="AV143" s="317">
        <f t="shared" si="123"/>
        <v>0</v>
      </c>
      <c r="AW143" s="317">
        <f t="shared" si="124"/>
        <v>0</v>
      </c>
      <c r="AX143" s="317">
        <f t="shared" si="125"/>
        <v>0</v>
      </c>
      <c r="AY143" s="317">
        <f t="shared" si="126"/>
        <v>0</v>
      </c>
      <c r="AZ143" s="317">
        <f t="shared" si="127"/>
        <v>0</v>
      </c>
      <c r="BA143" s="317">
        <f t="shared" si="128"/>
        <v>0</v>
      </c>
    </row>
    <row r="144" spans="1:53" s="314" customFormat="1" ht="15" customHeight="1">
      <c r="A144" s="63" t="str">
        <f t="array" ref="A144">IF(C144&lt;&gt;0,SUM(($C$11:C144&lt;&gt;0)*1),"")</f>
        <v/>
      </c>
      <c r="B144" s="315"/>
      <c r="C144" s="315"/>
      <c r="D144" s="315"/>
      <c r="E144" s="433"/>
      <c r="F144" s="371"/>
      <c r="G144" s="373"/>
      <c r="H144" s="373"/>
      <c r="I144" s="63" t="str">
        <f t="shared" si="90"/>
        <v/>
      </c>
      <c r="J144" s="317">
        <f t="shared" si="91"/>
        <v>0</v>
      </c>
      <c r="K144" s="317">
        <f t="shared" si="92"/>
        <v>0</v>
      </c>
      <c r="L144" s="317">
        <f t="shared" si="93"/>
        <v>0</v>
      </c>
      <c r="M144" s="317">
        <f t="shared" si="94"/>
        <v>0</v>
      </c>
      <c r="N144" s="317">
        <f t="shared" si="129"/>
        <v>0</v>
      </c>
      <c r="O144" s="317">
        <f t="shared" si="130"/>
        <v>0</v>
      </c>
      <c r="P144" s="317">
        <f t="shared" si="95"/>
        <v>0</v>
      </c>
      <c r="Q144" s="317">
        <f t="shared" si="96"/>
        <v>0</v>
      </c>
      <c r="R144" s="317">
        <f t="shared" si="97"/>
        <v>0</v>
      </c>
      <c r="S144" s="317">
        <f t="shared" si="98"/>
        <v>0</v>
      </c>
      <c r="T144" s="317">
        <f t="shared" si="131"/>
        <v>0</v>
      </c>
      <c r="U144" s="317">
        <f t="shared" si="132"/>
        <v>0</v>
      </c>
      <c r="V144" s="317">
        <f t="shared" si="99"/>
        <v>0</v>
      </c>
      <c r="W144" s="317">
        <f t="shared" si="100"/>
        <v>0</v>
      </c>
      <c r="X144" s="317">
        <f t="shared" si="101"/>
        <v>0</v>
      </c>
      <c r="Y144" s="317">
        <f t="shared" si="102"/>
        <v>0</v>
      </c>
      <c r="Z144" s="317">
        <f t="shared" si="103"/>
        <v>0</v>
      </c>
      <c r="AA144" s="317">
        <f t="shared" si="104"/>
        <v>0</v>
      </c>
      <c r="AB144" s="317">
        <f t="shared" si="105"/>
        <v>0</v>
      </c>
      <c r="AC144" s="317">
        <f t="shared" si="106"/>
        <v>0</v>
      </c>
      <c r="AD144" s="317">
        <f t="shared" si="107"/>
        <v>0</v>
      </c>
      <c r="AE144" s="317">
        <f t="shared" si="108"/>
        <v>0</v>
      </c>
      <c r="AF144" s="317">
        <f t="shared" si="133"/>
        <v>0</v>
      </c>
      <c r="AG144" s="317">
        <f t="shared" si="134"/>
        <v>0</v>
      </c>
      <c r="AH144" s="317">
        <f t="shared" si="109"/>
        <v>0</v>
      </c>
      <c r="AI144" s="317">
        <f t="shared" si="110"/>
        <v>0</v>
      </c>
      <c r="AJ144" s="317">
        <f t="shared" si="111"/>
        <v>0</v>
      </c>
      <c r="AK144" s="317">
        <f t="shared" si="112"/>
        <v>0</v>
      </c>
      <c r="AL144" s="317">
        <f t="shared" si="113"/>
        <v>0</v>
      </c>
      <c r="AM144" s="317">
        <f t="shared" si="114"/>
        <v>0</v>
      </c>
      <c r="AN144" s="317">
        <f t="shared" si="115"/>
        <v>0</v>
      </c>
      <c r="AO144" s="317">
        <f t="shared" si="116"/>
        <v>0</v>
      </c>
      <c r="AP144" s="317">
        <f t="shared" si="117"/>
        <v>0</v>
      </c>
      <c r="AQ144" s="317">
        <f t="shared" si="118"/>
        <v>0</v>
      </c>
      <c r="AR144" s="317">
        <f t="shared" si="119"/>
        <v>0</v>
      </c>
      <c r="AS144" s="317">
        <f t="shared" si="120"/>
        <v>0</v>
      </c>
      <c r="AT144" s="317">
        <f t="shared" si="121"/>
        <v>0</v>
      </c>
      <c r="AU144" s="317">
        <f t="shared" si="122"/>
        <v>0</v>
      </c>
      <c r="AV144" s="317">
        <f t="shared" si="123"/>
        <v>0</v>
      </c>
      <c r="AW144" s="317">
        <f t="shared" si="124"/>
        <v>0</v>
      </c>
      <c r="AX144" s="317">
        <f t="shared" si="125"/>
        <v>0</v>
      </c>
      <c r="AY144" s="317">
        <f t="shared" si="126"/>
        <v>0</v>
      </c>
      <c r="AZ144" s="317">
        <f t="shared" si="127"/>
        <v>0</v>
      </c>
      <c r="BA144" s="317">
        <f t="shared" si="128"/>
        <v>0</v>
      </c>
    </row>
    <row r="145" spans="1:53" s="314" customFormat="1" ht="15" customHeight="1">
      <c r="A145" s="63" t="str">
        <f t="array" ref="A145">IF(C145&lt;&gt;0,SUM(($C$11:C145&lt;&gt;0)*1),"")</f>
        <v/>
      </c>
      <c r="B145" s="315"/>
      <c r="C145" s="315"/>
      <c r="D145" s="315"/>
      <c r="E145" s="433"/>
      <c r="F145" s="371"/>
      <c r="G145" s="373"/>
      <c r="H145" s="373"/>
      <c r="I145" s="63" t="str">
        <f t="shared" ref="I145:I153" si="135">A145</f>
        <v/>
      </c>
      <c r="J145" s="317">
        <f t="shared" si="91"/>
        <v>0</v>
      </c>
      <c r="K145" s="317">
        <f t="shared" si="92"/>
        <v>0</v>
      </c>
      <c r="L145" s="317">
        <f t="shared" si="93"/>
        <v>0</v>
      </c>
      <c r="M145" s="317">
        <f t="shared" si="94"/>
        <v>0</v>
      </c>
      <c r="N145" s="317">
        <f t="shared" si="129"/>
        <v>0</v>
      </c>
      <c r="O145" s="317">
        <f t="shared" si="130"/>
        <v>0</v>
      </c>
      <c r="P145" s="317">
        <f t="shared" si="95"/>
        <v>0</v>
      </c>
      <c r="Q145" s="317">
        <f t="shared" si="96"/>
        <v>0</v>
      </c>
      <c r="R145" s="317">
        <f t="shared" si="97"/>
        <v>0</v>
      </c>
      <c r="S145" s="317">
        <f t="shared" si="98"/>
        <v>0</v>
      </c>
      <c r="T145" s="317">
        <f t="shared" si="131"/>
        <v>0</v>
      </c>
      <c r="U145" s="317">
        <f t="shared" si="132"/>
        <v>0</v>
      </c>
      <c r="V145" s="317">
        <f t="shared" si="99"/>
        <v>0</v>
      </c>
      <c r="W145" s="317">
        <f t="shared" si="100"/>
        <v>0</v>
      </c>
      <c r="X145" s="317">
        <f t="shared" si="101"/>
        <v>0</v>
      </c>
      <c r="Y145" s="317">
        <f t="shared" si="102"/>
        <v>0</v>
      </c>
      <c r="Z145" s="317">
        <f t="shared" si="103"/>
        <v>0</v>
      </c>
      <c r="AA145" s="317">
        <f t="shared" si="104"/>
        <v>0</v>
      </c>
      <c r="AB145" s="317">
        <f t="shared" si="105"/>
        <v>0</v>
      </c>
      <c r="AC145" s="317">
        <f t="shared" si="106"/>
        <v>0</v>
      </c>
      <c r="AD145" s="317">
        <f t="shared" si="107"/>
        <v>0</v>
      </c>
      <c r="AE145" s="317">
        <f t="shared" si="108"/>
        <v>0</v>
      </c>
      <c r="AF145" s="317">
        <f t="shared" si="133"/>
        <v>0</v>
      </c>
      <c r="AG145" s="317">
        <f t="shared" si="134"/>
        <v>0</v>
      </c>
      <c r="AH145" s="317">
        <f t="shared" si="109"/>
        <v>0</v>
      </c>
      <c r="AI145" s="317">
        <f t="shared" si="110"/>
        <v>0</v>
      </c>
      <c r="AJ145" s="317">
        <f t="shared" si="111"/>
        <v>0</v>
      </c>
      <c r="AK145" s="317">
        <f t="shared" si="112"/>
        <v>0</v>
      </c>
      <c r="AL145" s="317">
        <f t="shared" si="113"/>
        <v>0</v>
      </c>
      <c r="AM145" s="317">
        <f t="shared" si="114"/>
        <v>0</v>
      </c>
      <c r="AN145" s="317">
        <f t="shared" si="115"/>
        <v>0</v>
      </c>
      <c r="AO145" s="317">
        <f t="shared" si="116"/>
        <v>0</v>
      </c>
      <c r="AP145" s="317">
        <f t="shared" si="117"/>
        <v>0</v>
      </c>
      <c r="AQ145" s="317">
        <f t="shared" si="118"/>
        <v>0</v>
      </c>
      <c r="AR145" s="317">
        <f t="shared" si="119"/>
        <v>0</v>
      </c>
      <c r="AS145" s="317">
        <f t="shared" si="120"/>
        <v>0</v>
      </c>
      <c r="AT145" s="317">
        <f t="shared" si="121"/>
        <v>0</v>
      </c>
      <c r="AU145" s="317">
        <f t="shared" si="122"/>
        <v>0</v>
      </c>
      <c r="AV145" s="317">
        <f t="shared" si="123"/>
        <v>0</v>
      </c>
      <c r="AW145" s="317">
        <f t="shared" si="124"/>
        <v>0</v>
      </c>
      <c r="AX145" s="317">
        <f t="shared" si="125"/>
        <v>0</v>
      </c>
      <c r="AY145" s="317">
        <f t="shared" si="126"/>
        <v>0</v>
      </c>
      <c r="AZ145" s="317">
        <f t="shared" si="127"/>
        <v>0</v>
      </c>
      <c r="BA145" s="317">
        <f t="shared" si="128"/>
        <v>0</v>
      </c>
    </row>
    <row r="146" spans="1:53" s="314" customFormat="1" ht="15" customHeight="1">
      <c r="A146" s="63" t="str">
        <f t="array" ref="A146">IF(C146&lt;&gt;0,SUM(($C$11:C146&lt;&gt;0)*1),"")</f>
        <v/>
      </c>
      <c r="B146" s="315"/>
      <c r="C146" s="315"/>
      <c r="D146" s="315"/>
      <c r="E146" s="433"/>
      <c r="F146" s="371"/>
      <c r="G146" s="373"/>
      <c r="H146" s="373"/>
      <c r="I146" s="63" t="str">
        <f t="shared" si="135"/>
        <v/>
      </c>
      <c r="J146" s="317">
        <f t="shared" si="91"/>
        <v>0</v>
      </c>
      <c r="K146" s="317">
        <f t="shared" si="92"/>
        <v>0</v>
      </c>
      <c r="L146" s="317">
        <f t="shared" si="93"/>
        <v>0</v>
      </c>
      <c r="M146" s="317">
        <f t="shared" si="94"/>
        <v>0</v>
      </c>
      <c r="N146" s="317">
        <f t="shared" si="129"/>
        <v>0</v>
      </c>
      <c r="O146" s="317">
        <f t="shared" si="130"/>
        <v>0</v>
      </c>
      <c r="P146" s="317">
        <f t="shared" si="95"/>
        <v>0</v>
      </c>
      <c r="Q146" s="317">
        <f t="shared" si="96"/>
        <v>0</v>
      </c>
      <c r="R146" s="317">
        <f t="shared" si="97"/>
        <v>0</v>
      </c>
      <c r="S146" s="317">
        <f t="shared" si="98"/>
        <v>0</v>
      </c>
      <c r="T146" s="317">
        <f t="shared" si="131"/>
        <v>0</v>
      </c>
      <c r="U146" s="317">
        <f t="shared" si="132"/>
        <v>0</v>
      </c>
      <c r="V146" s="317">
        <f t="shared" si="99"/>
        <v>0</v>
      </c>
      <c r="W146" s="317">
        <f t="shared" si="100"/>
        <v>0</v>
      </c>
      <c r="X146" s="317">
        <f t="shared" si="101"/>
        <v>0</v>
      </c>
      <c r="Y146" s="317">
        <f t="shared" si="102"/>
        <v>0</v>
      </c>
      <c r="Z146" s="317">
        <f t="shared" si="103"/>
        <v>0</v>
      </c>
      <c r="AA146" s="317">
        <f t="shared" si="104"/>
        <v>0</v>
      </c>
      <c r="AB146" s="317">
        <f t="shared" si="105"/>
        <v>0</v>
      </c>
      <c r="AC146" s="317">
        <f t="shared" si="106"/>
        <v>0</v>
      </c>
      <c r="AD146" s="317">
        <f t="shared" si="107"/>
        <v>0</v>
      </c>
      <c r="AE146" s="317">
        <f t="shared" si="108"/>
        <v>0</v>
      </c>
      <c r="AF146" s="317">
        <f t="shared" si="133"/>
        <v>0</v>
      </c>
      <c r="AG146" s="317">
        <f t="shared" si="134"/>
        <v>0</v>
      </c>
      <c r="AH146" s="317">
        <f t="shared" si="109"/>
        <v>0</v>
      </c>
      <c r="AI146" s="317">
        <f t="shared" si="110"/>
        <v>0</v>
      </c>
      <c r="AJ146" s="317">
        <f t="shared" si="111"/>
        <v>0</v>
      </c>
      <c r="AK146" s="317">
        <f t="shared" si="112"/>
        <v>0</v>
      </c>
      <c r="AL146" s="317">
        <f t="shared" si="113"/>
        <v>0</v>
      </c>
      <c r="AM146" s="317">
        <f t="shared" si="114"/>
        <v>0</v>
      </c>
      <c r="AN146" s="317">
        <f t="shared" si="115"/>
        <v>0</v>
      </c>
      <c r="AO146" s="317">
        <f t="shared" si="116"/>
        <v>0</v>
      </c>
      <c r="AP146" s="317">
        <f t="shared" si="117"/>
        <v>0</v>
      </c>
      <c r="AQ146" s="317">
        <f t="shared" si="118"/>
        <v>0</v>
      </c>
      <c r="AR146" s="317">
        <f t="shared" si="119"/>
        <v>0</v>
      </c>
      <c r="AS146" s="317">
        <f t="shared" si="120"/>
        <v>0</v>
      </c>
      <c r="AT146" s="317">
        <f t="shared" si="121"/>
        <v>0</v>
      </c>
      <c r="AU146" s="317">
        <f t="shared" si="122"/>
        <v>0</v>
      </c>
      <c r="AV146" s="317">
        <f t="shared" si="123"/>
        <v>0</v>
      </c>
      <c r="AW146" s="317">
        <f t="shared" si="124"/>
        <v>0</v>
      </c>
      <c r="AX146" s="317">
        <f t="shared" si="125"/>
        <v>0</v>
      </c>
      <c r="AY146" s="317">
        <f t="shared" si="126"/>
        <v>0</v>
      </c>
      <c r="AZ146" s="317">
        <f t="shared" si="127"/>
        <v>0</v>
      </c>
      <c r="BA146" s="317">
        <f t="shared" si="128"/>
        <v>0</v>
      </c>
    </row>
    <row r="147" spans="1:53" s="314" customFormat="1" ht="15" customHeight="1">
      <c r="A147" s="63" t="str">
        <f t="array" ref="A147">IF(C147&lt;&gt;0,SUM(($C$11:C147&lt;&gt;0)*1),"")</f>
        <v/>
      </c>
      <c r="B147" s="315"/>
      <c r="C147" s="315"/>
      <c r="D147" s="315"/>
      <c r="E147" s="433"/>
      <c r="F147" s="371"/>
      <c r="G147" s="373"/>
      <c r="H147" s="373"/>
      <c r="I147" s="63" t="str">
        <f t="shared" si="135"/>
        <v/>
      </c>
      <c r="J147" s="317">
        <f t="shared" si="91"/>
        <v>0</v>
      </c>
      <c r="K147" s="317">
        <f t="shared" si="92"/>
        <v>0</v>
      </c>
      <c r="L147" s="317">
        <f t="shared" si="93"/>
        <v>0</v>
      </c>
      <c r="M147" s="317">
        <f t="shared" si="94"/>
        <v>0</v>
      </c>
      <c r="N147" s="317">
        <f t="shared" si="129"/>
        <v>0</v>
      </c>
      <c r="O147" s="317">
        <f t="shared" si="130"/>
        <v>0</v>
      </c>
      <c r="P147" s="317">
        <f t="shared" si="95"/>
        <v>0</v>
      </c>
      <c r="Q147" s="317">
        <f t="shared" si="96"/>
        <v>0</v>
      </c>
      <c r="R147" s="317">
        <f t="shared" si="97"/>
        <v>0</v>
      </c>
      <c r="S147" s="317">
        <f t="shared" si="98"/>
        <v>0</v>
      </c>
      <c r="T147" s="317">
        <f t="shared" si="131"/>
        <v>0</v>
      </c>
      <c r="U147" s="317">
        <f t="shared" si="132"/>
        <v>0</v>
      </c>
      <c r="V147" s="317">
        <f t="shared" si="99"/>
        <v>0</v>
      </c>
      <c r="W147" s="317">
        <f t="shared" si="100"/>
        <v>0</v>
      </c>
      <c r="X147" s="317">
        <f t="shared" si="101"/>
        <v>0</v>
      </c>
      <c r="Y147" s="317">
        <f t="shared" si="102"/>
        <v>0</v>
      </c>
      <c r="Z147" s="317">
        <f t="shared" si="103"/>
        <v>0</v>
      </c>
      <c r="AA147" s="317">
        <f t="shared" si="104"/>
        <v>0</v>
      </c>
      <c r="AB147" s="317">
        <f t="shared" si="105"/>
        <v>0</v>
      </c>
      <c r="AC147" s="317">
        <f t="shared" si="106"/>
        <v>0</v>
      </c>
      <c r="AD147" s="317">
        <f t="shared" si="107"/>
        <v>0</v>
      </c>
      <c r="AE147" s="317">
        <f t="shared" si="108"/>
        <v>0</v>
      </c>
      <c r="AF147" s="317">
        <f t="shared" si="133"/>
        <v>0</v>
      </c>
      <c r="AG147" s="317">
        <f t="shared" si="134"/>
        <v>0</v>
      </c>
      <c r="AH147" s="317">
        <f t="shared" si="109"/>
        <v>0</v>
      </c>
      <c r="AI147" s="317">
        <f t="shared" si="110"/>
        <v>0</v>
      </c>
      <c r="AJ147" s="317">
        <f t="shared" si="111"/>
        <v>0</v>
      </c>
      <c r="AK147" s="317">
        <f t="shared" si="112"/>
        <v>0</v>
      </c>
      <c r="AL147" s="317">
        <f t="shared" si="113"/>
        <v>0</v>
      </c>
      <c r="AM147" s="317">
        <f t="shared" si="114"/>
        <v>0</v>
      </c>
      <c r="AN147" s="317">
        <f t="shared" si="115"/>
        <v>0</v>
      </c>
      <c r="AO147" s="317">
        <f t="shared" si="116"/>
        <v>0</v>
      </c>
      <c r="AP147" s="317">
        <f t="shared" si="117"/>
        <v>0</v>
      </c>
      <c r="AQ147" s="317">
        <f t="shared" si="118"/>
        <v>0</v>
      </c>
      <c r="AR147" s="317">
        <f t="shared" si="119"/>
        <v>0</v>
      </c>
      <c r="AS147" s="317">
        <f t="shared" si="120"/>
        <v>0</v>
      </c>
      <c r="AT147" s="317">
        <f t="shared" si="121"/>
        <v>0</v>
      </c>
      <c r="AU147" s="317">
        <f t="shared" si="122"/>
        <v>0</v>
      </c>
      <c r="AV147" s="317">
        <f t="shared" si="123"/>
        <v>0</v>
      </c>
      <c r="AW147" s="317">
        <f t="shared" si="124"/>
        <v>0</v>
      </c>
      <c r="AX147" s="317">
        <f t="shared" si="125"/>
        <v>0</v>
      </c>
      <c r="AY147" s="317">
        <f t="shared" si="126"/>
        <v>0</v>
      </c>
      <c r="AZ147" s="317">
        <f t="shared" si="127"/>
        <v>0</v>
      </c>
      <c r="BA147" s="317">
        <f t="shared" si="128"/>
        <v>0</v>
      </c>
    </row>
    <row r="148" spans="1:53" s="314" customFormat="1" ht="15" customHeight="1">
      <c r="A148" s="63">
        <f t="array" aca="1" ref="A148" ca="1">IF(C148&lt;&gt;0,SUM(($C$11:C148&lt;&gt;0)*1),"")</f>
        <v>2</v>
      </c>
      <c r="B148" s="278">
        <v>42185</v>
      </c>
      <c r="C148" s="318" t="s">
        <v>150</v>
      </c>
      <c r="D148" s="318">
        <f t="shared" ref="D148:D153" si="136">B148</f>
        <v>42185</v>
      </c>
      <c r="E148" s="319" t="s">
        <v>151</v>
      </c>
      <c r="F148" s="85">
        <f ca="1">AP155</f>
        <v>0</v>
      </c>
      <c r="G148" s="320" t="s">
        <v>243</v>
      </c>
      <c r="H148" s="320" t="s">
        <v>134</v>
      </c>
      <c r="I148" s="63">
        <f t="shared" ca="1" si="135"/>
        <v>2</v>
      </c>
      <c r="J148" s="317">
        <f t="shared" si="91"/>
        <v>0</v>
      </c>
      <c r="K148" s="317">
        <f t="shared" si="92"/>
        <v>0</v>
      </c>
      <c r="L148" s="317">
        <f t="shared" si="93"/>
        <v>0</v>
      </c>
      <c r="M148" s="317">
        <f t="shared" si="94"/>
        <v>0</v>
      </c>
      <c r="N148" s="317">
        <f t="shared" si="129"/>
        <v>0</v>
      </c>
      <c r="O148" s="317">
        <f t="shared" si="130"/>
        <v>0</v>
      </c>
      <c r="P148" s="317">
        <f t="shared" si="95"/>
        <v>0</v>
      </c>
      <c r="Q148" s="317">
        <f t="shared" si="96"/>
        <v>0</v>
      </c>
      <c r="R148" s="317">
        <f t="shared" si="97"/>
        <v>0</v>
      </c>
      <c r="S148" s="317">
        <f t="shared" si="98"/>
        <v>0</v>
      </c>
      <c r="T148" s="317">
        <f t="shared" ca="1" si="131"/>
        <v>0</v>
      </c>
      <c r="U148" s="317">
        <f t="shared" si="132"/>
        <v>0</v>
      </c>
      <c r="V148" s="317">
        <f t="shared" si="99"/>
        <v>0</v>
      </c>
      <c r="W148" s="317">
        <f t="shared" si="100"/>
        <v>0</v>
      </c>
      <c r="X148" s="317">
        <f t="shared" si="101"/>
        <v>0</v>
      </c>
      <c r="Y148" s="317">
        <f t="shared" si="102"/>
        <v>0</v>
      </c>
      <c r="Z148" s="317">
        <f t="shared" si="103"/>
        <v>0</v>
      </c>
      <c r="AA148" s="317">
        <f t="shared" si="104"/>
        <v>0</v>
      </c>
      <c r="AB148" s="317">
        <f t="shared" si="105"/>
        <v>0</v>
      </c>
      <c r="AC148" s="317">
        <f t="shared" si="106"/>
        <v>0</v>
      </c>
      <c r="AD148" s="317">
        <f t="shared" si="107"/>
        <v>0</v>
      </c>
      <c r="AE148" s="317">
        <f t="shared" si="108"/>
        <v>0</v>
      </c>
      <c r="AF148" s="317">
        <f t="shared" si="133"/>
        <v>0</v>
      </c>
      <c r="AG148" s="317">
        <f t="shared" si="134"/>
        <v>0</v>
      </c>
      <c r="AH148" s="317">
        <f t="shared" si="109"/>
        <v>0</v>
      </c>
      <c r="AI148" s="317">
        <f t="shared" si="110"/>
        <v>0</v>
      </c>
      <c r="AJ148" s="317">
        <f t="shared" si="111"/>
        <v>0</v>
      </c>
      <c r="AK148" s="317">
        <f t="shared" si="112"/>
        <v>0</v>
      </c>
      <c r="AL148" s="317">
        <f t="shared" si="113"/>
        <v>0</v>
      </c>
      <c r="AM148" s="317">
        <f t="shared" si="114"/>
        <v>0</v>
      </c>
      <c r="AN148" s="317">
        <f t="shared" si="115"/>
        <v>0</v>
      </c>
      <c r="AO148" s="317">
        <f t="shared" si="116"/>
        <v>0</v>
      </c>
      <c r="AP148" s="317">
        <f t="shared" si="117"/>
        <v>0</v>
      </c>
      <c r="AQ148" s="317">
        <f t="shared" ca="1" si="118"/>
        <v>0</v>
      </c>
      <c r="AR148" s="317">
        <f t="shared" si="119"/>
        <v>0</v>
      </c>
      <c r="AS148" s="317">
        <f t="shared" si="120"/>
        <v>0</v>
      </c>
      <c r="AT148" s="317">
        <f t="shared" si="121"/>
        <v>0</v>
      </c>
      <c r="AU148" s="317">
        <f t="shared" si="122"/>
        <v>0</v>
      </c>
      <c r="AV148" s="317">
        <f t="shared" si="123"/>
        <v>0</v>
      </c>
      <c r="AW148" s="317">
        <f t="shared" si="124"/>
        <v>0</v>
      </c>
      <c r="AX148" s="317">
        <f t="shared" si="125"/>
        <v>0</v>
      </c>
      <c r="AY148" s="317">
        <f t="shared" si="126"/>
        <v>0</v>
      </c>
      <c r="AZ148" s="317">
        <f t="shared" si="127"/>
        <v>0</v>
      </c>
      <c r="BA148" s="317">
        <f t="shared" si="128"/>
        <v>0</v>
      </c>
    </row>
    <row r="149" spans="1:53" s="314" customFormat="1" ht="15" customHeight="1">
      <c r="A149" s="63">
        <f t="array" aca="1" ref="A149" ca="1">IF(C149&lt;&gt;0,SUM(($C$11:C149&lt;&gt;0)*1),"")</f>
        <v>3</v>
      </c>
      <c r="B149" s="278">
        <v>42185</v>
      </c>
      <c r="C149" s="318" t="s">
        <v>150</v>
      </c>
      <c r="D149" s="318">
        <f t="shared" si="136"/>
        <v>42185</v>
      </c>
      <c r="E149" s="319" t="s">
        <v>152</v>
      </c>
      <c r="F149" s="85">
        <f ca="1">AR155</f>
        <v>0</v>
      </c>
      <c r="G149" s="320" t="s">
        <v>144</v>
      </c>
      <c r="H149" s="320" t="s">
        <v>136</v>
      </c>
      <c r="I149" s="63">
        <f t="shared" ca="1" si="135"/>
        <v>3</v>
      </c>
      <c r="J149" s="317">
        <f t="shared" si="91"/>
        <v>0</v>
      </c>
      <c r="K149" s="317">
        <f t="shared" si="92"/>
        <v>0</v>
      </c>
      <c r="L149" s="317">
        <f t="shared" si="93"/>
        <v>0</v>
      </c>
      <c r="M149" s="317">
        <f t="shared" si="94"/>
        <v>0</v>
      </c>
      <c r="N149" s="317">
        <f t="shared" si="129"/>
        <v>0</v>
      </c>
      <c r="O149" s="317">
        <f t="shared" si="130"/>
        <v>0</v>
      </c>
      <c r="P149" s="317">
        <f t="shared" si="95"/>
        <v>0</v>
      </c>
      <c r="Q149" s="317">
        <f t="shared" si="96"/>
        <v>0</v>
      </c>
      <c r="R149" s="317">
        <f t="shared" si="97"/>
        <v>0</v>
      </c>
      <c r="S149" s="317">
        <f t="shared" si="98"/>
        <v>0</v>
      </c>
      <c r="T149" s="317">
        <f t="shared" si="131"/>
        <v>0</v>
      </c>
      <c r="U149" s="317">
        <f t="shared" si="132"/>
        <v>0</v>
      </c>
      <c r="V149" s="317">
        <f t="shared" si="99"/>
        <v>0</v>
      </c>
      <c r="W149" s="317">
        <f t="shared" si="100"/>
        <v>0</v>
      </c>
      <c r="X149" s="317">
        <f t="shared" si="101"/>
        <v>0</v>
      </c>
      <c r="Y149" s="317">
        <f t="shared" si="102"/>
        <v>0</v>
      </c>
      <c r="Z149" s="317">
        <f t="shared" si="103"/>
        <v>0</v>
      </c>
      <c r="AA149" s="317">
        <f t="shared" si="104"/>
        <v>0</v>
      </c>
      <c r="AB149" s="317">
        <f t="shared" si="105"/>
        <v>0</v>
      </c>
      <c r="AC149" s="317">
        <f t="shared" si="106"/>
        <v>0</v>
      </c>
      <c r="AD149" s="317">
        <f t="shared" si="107"/>
        <v>0</v>
      </c>
      <c r="AE149" s="317">
        <f t="shared" si="108"/>
        <v>0</v>
      </c>
      <c r="AF149" s="317">
        <f t="shared" si="133"/>
        <v>0</v>
      </c>
      <c r="AG149" s="317">
        <f t="shared" si="134"/>
        <v>0</v>
      </c>
      <c r="AH149" s="317">
        <f t="shared" si="109"/>
        <v>0</v>
      </c>
      <c r="AI149" s="317">
        <f t="shared" si="110"/>
        <v>0</v>
      </c>
      <c r="AJ149" s="317">
        <f t="shared" si="111"/>
        <v>0</v>
      </c>
      <c r="AK149" s="317">
        <f t="shared" si="112"/>
        <v>0</v>
      </c>
      <c r="AL149" s="317">
        <f t="shared" si="113"/>
        <v>0</v>
      </c>
      <c r="AM149" s="317">
        <f t="shared" si="114"/>
        <v>0</v>
      </c>
      <c r="AN149" s="317">
        <f t="shared" si="115"/>
        <v>0</v>
      </c>
      <c r="AO149" s="317">
        <f t="shared" si="116"/>
        <v>0</v>
      </c>
      <c r="AP149" s="317">
        <f t="shared" si="117"/>
        <v>0</v>
      </c>
      <c r="AQ149" s="317">
        <f t="shared" si="118"/>
        <v>0</v>
      </c>
      <c r="AR149" s="317">
        <f t="shared" si="119"/>
        <v>0</v>
      </c>
      <c r="AS149" s="317">
        <f t="shared" ca="1" si="120"/>
        <v>0</v>
      </c>
      <c r="AT149" s="317">
        <f t="shared" si="121"/>
        <v>0</v>
      </c>
      <c r="AU149" s="317">
        <f t="shared" si="122"/>
        <v>0</v>
      </c>
      <c r="AV149" s="317">
        <f t="shared" si="123"/>
        <v>0</v>
      </c>
      <c r="AW149" s="317">
        <f t="shared" si="124"/>
        <v>0</v>
      </c>
      <c r="AX149" s="317">
        <f t="shared" si="125"/>
        <v>0</v>
      </c>
      <c r="AY149" s="317">
        <f t="shared" si="126"/>
        <v>0</v>
      </c>
      <c r="AZ149" s="317">
        <f t="shared" ca="1" si="127"/>
        <v>0</v>
      </c>
      <c r="BA149" s="317">
        <f t="shared" si="128"/>
        <v>0</v>
      </c>
    </row>
    <row r="150" spans="1:53" s="314" customFormat="1" ht="15" customHeight="1">
      <c r="A150" s="63">
        <f t="array" aca="1" ref="A150" ca="1">IF(C150&lt;&gt;0,SUM(($C$11:C150&lt;&gt;0)*1),"")</f>
        <v>4</v>
      </c>
      <c r="B150" s="278">
        <v>42185</v>
      </c>
      <c r="C150" s="318" t="s">
        <v>150</v>
      </c>
      <c r="D150" s="318">
        <f t="shared" si="136"/>
        <v>42185</v>
      </c>
      <c r="E150" s="319" t="s">
        <v>306</v>
      </c>
      <c r="F150" s="85">
        <v>41705364</v>
      </c>
      <c r="G150" s="320" t="s">
        <v>129</v>
      </c>
      <c r="H150" s="320" t="s">
        <v>144</v>
      </c>
      <c r="I150" s="63">
        <f t="shared" ca="1" si="135"/>
        <v>4</v>
      </c>
      <c r="J150" s="317">
        <f t="shared" si="91"/>
        <v>0</v>
      </c>
      <c r="K150" s="317">
        <f t="shared" si="92"/>
        <v>0</v>
      </c>
      <c r="L150" s="317">
        <f t="shared" si="93"/>
        <v>0</v>
      </c>
      <c r="M150" s="317">
        <f t="shared" si="94"/>
        <v>0</v>
      </c>
      <c r="N150" s="317">
        <f t="shared" si="129"/>
        <v>0</v>
      </c>
      <c r="O150" s="317">
        <f t="shared" si="130"/>
        <v>0</v>
      </c>
      <c r="P150" s="317">
        <f t="shared" si="95"/>
        <v>0</v>
      </c>
      <c r="Q150" s="317">
        <f t="shared" si="96"/>
        <v>0</v>
      </c>
      <c r="R150" s="317">
        <f t="shared" si="97"/>
        <v>0</v>
      </c>
      <c r="S150" s="317">
        <f t="shared" si="98"/>
        <v>0</v>
      </c>
      <c r="T150" s="317">
        <f t="shared" si="131"/>
        <v>0</v>
      </c>
      <c r="U150" s="317">
        <f t="shared" si="132"/>
        <v>0</v>
      </c>
      <c r="V150" s="317">
        <f t="shared" si="99"/>
        <v>0</v>
      </c>
      <c r="W150" s="317">
        <f t="shared" si="100"/>
        <v>0</v>
      </c>
      <c r="X150" s="317">
        <f t="shared" si="101"/>
        <v>0</v>
      </c>
      <c r="Y150" s="317">
        <f t="shared" si="102"/>
        <v>0</v>
      </c>
      <c r="Z150" s="317">
        <f t="shared" si="103"/>
        <v>0</v>
      </c>
      <c r="AA150" s="317">
        <f t="shared" si="104"/>
        <v>0</v>
      </c>
      <c r="AB150" s="317">
        <f t="shared" si="105"/>
        <v>0</v>
      </c>
      <c r="AC150" s="317">
        <f t="shared" si="106"/>
        <v>0</v>
      </c>
      <c r="AD150" s="317">
        <f t="shared" si="107"/>
        <v>0</v>
      </c>
      <c r="AE150" s="317">
        <f t="shared" si="108"/>
        <v>0</v>
      </c>
      <c r="AF150" s="317">
        <f t="shared" si="133"/>
        <v>0</v>
      </c>
      <c r="AG150" s="317">
        <f t="shared" si="134"/>
        <v>0</v>
      </c>
      <c r="AH150" s="317">
        <f t="shared" si="109"/>
        <v>0</v>
      </c>
      <c r="AI150" s="317">
        <f t="shared" si="110"/>
        <v>0</v>
      </c>
      <c r="AJ150" s="317">
        <f t="shared" si="111"/>
        <v>0</v>
      </c>
      <c r="AK150" s="317">
        <f t="shared" si="112"/>
        <v>0</v>
      </c>
      <c r="AL150" s="317">
        <f t="shared" si="113"/>
        <v>41705364</v>
      </c>
      <c r="AM150" s="317">
        <f t="shared" si="114"/>
        <v>0</v>
      </c>
      <c r="AN150" s="317">
        <f t="shared" si="115"/>
        <v>0</v>
      </c>
      <c r="AO150" s="317">
        <f t="shared" si="116"/>
        <v>0</v>
      </c>
      <c r="AP150" s="317">
        <f t="shared" si="117"/>
        <v>0</v>
      </c>
      <c r="AQ150" s="317">
        <f t="shared" si="118"/>
        <v>0</v>
      </c>
      <c r="AR150" s="317">
        <f t="shared" si="119"/>
        <v>0</v>
      </c>
      <c r="AS150" s="317">
        <f t="shared" si="120"/>
        <v>0</v>
      </c>
      <c r="AT150" s="317">
        <f t="shared" si="121"/>
        <v>0</v>
      </c>
      <c r="AU150" s="317">
        <f t="shared" si="122"/>
        <v>0</v>
      </c>
      <c r="AV150" s="317">
        <f t="shared" si="123"/>
        <v>0</v>
      </c>
      <c r="AW150" s="317">
        <f t="shared" si="124"/>
        <v>0</v>
      </c>
      <c r="AX150" s="317">
        <f t="shared" si="125"/>
        <v>0</v>
      </c>
      <c r="AY150" s="317">
        <f t="shared" si="126"/>
        <v>0</v>
      </c>
      <c r="AZ150" s="317">
        <f t="shared" si="127"/>
        <v>0</v>
      </c>
      <c r="BA150" s="317">
        <f t="shared" si="128"/>
        <v>41705364</v>
      </c>
    </row>
    <row r="151" spans="1:53" s="314" customFormat="1" ht="15" customHeight="1">
      <c r="A151" s="63">
        <f t="array" aca="1" ref="A151" ca="1">IF(C151&lt;&gt;0,SUM(($C$11:C151&lt;&gt;0)*1),"")</f>
        <v>5</v>
      </c>
      <c r="B151" s="278">
        <v>42185</v>
      </c>
      <c r="C151" s="318" t="s">
        <v>150</v>
      </c>
      <c r="D151" s="318">
        <f t="shared" si="136"/>
        <v>42185</v>
      </c>
      <c r="E151" s="319" t="s">
        <v>154</v>
      </c>
      <c r="F151" s="85">
        <f ca="1">AO155</f>
        <v>0</v>
      </c>
      <c r="G151" s="320" t="s">
        <v>59</v>
      </c>
      <c r="H151" s="320" t="s">
        <v>144</v>
      </c>
      <c r="I151" s="63">
        <f t="shared" ca="1" si="135"/>
        <v>5</v>
      </c>
      <c r="J151" s="317">
        <f t="shared" si="91"/>
        <v>0</v>
      </c>
      <c r="K151" s="317">
        <f t="shared" si="92"/>
        <v>0</v>
      </c>
      <c r="L151" s="317">
        <f t="shared" si="93"/>
        <v>0</v>
      </c>
      <c r="M151" s="317">
        <f t="shared" si="94"/>
        <v>0</v>
      </c>
      <c r="N151" s="317">
        <f t="shared" si="129"/>
        <v>0</v>
      </c>
      <c r="O151" s="317">
        <f t="shared" si="130"/>
        <v>0</v>
      </c>
      <c r="P151" s="317">
        <f t="shared" si="95"/>
        <v>0</v>
      </c>
      <c r="Q151" s="317">
        <f t="shared" si="96"/>
        <v>0</v>
      </c>
      <c r="R151" s="317">
        <f t="shared" si="97"/>
        <v>0</v>
      </c>
      <c r="S151" s="317">
        <f t="shared" si="98"/>
        <v>0</v>
      </c>
      <c r="T151" s="317">
        <f t="shared" si="131"/>
        <v>0</v>
      </c>
      <c r="U151" s="317">
        <f t="shared" si="132"/>
        <v>0</v>
      </c>
      <c r="V151" s="317">
        <f t="shared" si="99"/>
        <v>0</v>
      </c>
      <c r="W151" s="317">
        <f t="shared" si="100"/>
        <v>0</v>
      </c>
      <c r="X151" s="317">
        <f t="shared" si="101"/>
        <v>0</v>
      </c>
      <c r="Y151" s="317">
        <f t="shared" si="102"/>
        <v>0</v>
      </c>
      <c r="Z151" s="317">
        <f t="shared" si="103"/>
        <v>0</v>
      </c>
      <c r="AA151" s="317">
        <f t="shared" si="104"/>
        <v>0</v>
      </c>
      <c r="AB151" s="317">
        <f t="shared" si="105"/>
        <v>0</v>
      </c>
      <c r="AC151" s="317">
        <f t="shared" si="106"/>
        <v>0</v>
      </c>
      <c r="AD151" s="317">
        <f t="shared" si="107"/>
        <v>0</v>
      </c>
      <c r="AE151" s="317">
        <f t="shared" si="108"/>
        <v>0</v>
      </c>
      <c r="AF151" s="317">
        <f t="shared" si="133"/>
        <v>0</v>
      </c>
      <c r="AG151" s="317">
        <f t="shared" si="134"/>
        <v>0</v>
      </c>
      <c r="AH151" s="317">
        <f t="shared" si="109"/>
        <v>0</v>
      </c>
      <c r="AI151" s="317">
        <f t="shared" si="110"/>
        <v>0</v>
      </c>
      <c r="AJ151" s="317">
        <f t="shared" si="111"/>
        <v>0</v>
      </c>
      <c r="AK151" s="317">
        <f t="shared" si="112"/>
        <v>0</v>
      </c>
      <c r="AL151" s="317">
        <f t="shared" si="113"/>
        <v>0</v>
      </c>
      <c r="AM151" s="317">
        <f t="shared" si="114"/>
        <v>0</v>
      </c>
      <c r="AN151" s="317">
        <f t="shared" ca="1" si="115"/>
        <v>0</v>
      </c>
      <c r="AO151" s="317">
        <f t="shared" si="116"/>
        <v>0</v>
      </c>
      <c r="AP151" s="317">
        <f t="shared" si="117"/>
        <v>0</v>
      </c>
      <c r="AQ151" s="317">
        <f t="shared" si="118"/>
        <v>0</v>
      </c>
      <c r="AR151" s="317">
        <f t="shared" si="119"/>
        <v>0</v>
      </c>
      <c r="AS151" s="317">
        <f t="shared" si="120"/>
        <v>0</v>
      </c>
      <c r="AT151" s="317">
        <f t="shared" si="121"/>
        <v>0</v>
      </c>
      <c r="AU151" s="317">
        <f t="shared" si="122"/>
        <v>0</v>
      </c>
      <c r="AV151" s="317">
        <f t="shared" si="123"/>
        <v>0</v>
      </c>
      <c r="AW151" s="317">
        <f t="shared" si="124"/>
        <v>0</v>
      </c>
      <c r="AX151" s="317">
        <f t="shared" si="125"/>
        <v>0</v>
      </c>
      <c r="AY151" s="317">
        <f t="shared" si="126"/>
        <v>0</v>
      </c>
      <c r="AZ151" s="317">
        <f t="shared" si="127"/>
        <v>0</v>
      </c>
      <c r="BA151" s="317">
        <f t="shared" ca="1" si="128"/>
        <v>0</v>
      </c>
    </row>
    <row r="152" spans="1:53" s="314" customFormat="1" ht="15" customHeight="1">
      <c r="A152" s="63">
        <f t="array" aca="1" ref="A152" ca="1">IF(C152&lt;&gt;0,SUM(($C$11:C152&lt;&gt;0)*1),"")</f>
        <v>6</v>
      </c>
      <c r="B152" s="278">
        <v>42185</v>
      </c>
      <c r="C152" s="318" t="s">
        <v>150</v>
      </c>
      <c r="D152" s="318">
        <f t="shared" si="136"/>
        <v>42185</v>
      </c>
      <c r="E152" s="319" t="s">
        <v>155</v>
      </c>
      <c r="F152" s="85">
        <f ca="1">AU155</f>
        <v>0</v>
      </c>
      <c r="G152" s="320" t="s">
        <v>138</v>
      </c>
      <c r="H152" s="320" t="s">
        <v>144</v>
      </c>
      <c r="I152" s="63">
        <f t="shared" ca="1" si="135"/>
        <v>6</v>
      </c>
      <c r="J152" s="317">
        <f t="shared" si="91"/>
        <v>0</v>
      </c>
      <c r="K152" s="317">
        <f t="shared" si="92"/>
        <v>0</v>
      </c>
      <c r="L152" s="317">
        <f t="shared" si="93"/>
        <v>0</v>
      </c>
      <c r="M152" s="317">
        <f t="shared" si="94"/>
        <v>0</v>
      </c>
      <c r="N152" s="317">
        <f t="shared" si="129"/>
        <v>0</v>
      </c>
      <c r="O152" s="317">
        <f t="shared" si="130"/>
        <v>0</v>
      </c>
      <c r="P152" s="317">
        <f t="shared" si="95"/>
        <v>0</v>
      </c>
      <c r="Q152" s="317">
        <f t="shared" si="96"/>
        <v>0</v>
      </c>
      <c r="R152" s="317">
        <f t="shared" si="97"/>
        <v>0</v>
      </c>
      <c r="S152" s="317">
        <f t="shared" si="98"/>
        <v>0</v>
      </c>
      <c r="T152" s="317">
        <f t="shared" si="131"/>
        <v>0</v>
      </c>
      <c r="U152" s="317">
        <f t="shared" si="132"/>
        <v>0</v>
      </c>
      <c r="V152" s="317">
        <f t="shared" si="99"/>
        <v>0</v>
      </c>
      <c r="W152" s="317">
        <f t="shared" si="100"/>
        <v>0</v>
      </c>
      <c r="X152" s="317">
        <f t="shared" si="101"/>
        <v>0</v>
      </c>
      <c r="Y152" s="317">
        <f t="shared" si="102"/>
        <v>0</v>
      </c>
      <c r="Z152" s="317">
        <f t="shared" si="103"/>
        <v>0</v>
      </c>
      <c r="AA152" s="317">
        <f t="shared" si="104"/>
        <v>0</v>
      </c>
      <c r="AB152" s="317">
        <f t="shared" si="105"/>
        <v>0</v>
      </c>
      <c r="AC152" s="317">
        <f t="shared" si="106"/>
        <v>0</v>
      </c>
      <c r="AD152" s="317">
        <f t="shared" si="107"/>
        <v>0</v>
      </c>
      <c r="AE152" s="317">
        <f t="shared" si="108"/>
        <v>0</v>
      </c>
      <c r="AF152" s="317">
        <f t="shared" si="133"/>
        <v>0</v>
      </c>
      <c r="AG152" s="317">
        <f t="shared" si="134"/>
        <v>0</v>
      </c>
      <c r="AH152" s="317">
        <f t="shared" si="109"/>
        <v>0</v>
      </c>
      <c r="AI152" s="317">
        <f t="shared" si="110"/>
        <v>0</v>
      </c>
      <c r="AJ152" s="317">
        <f t="shared" si="111"/>
        <v>0</v>
      </c>
      <c r="AK152" s="317">
        <f t="shared" si="112"/>
        <v>0</v>
      </c>
      <c r="AL152" s="317">
        <f t="shared" si="113"/>
        <v>0</v>
      </c>
      <c r="AM152" s="317">
        <f t="shared" si="114"/>
        <v>0</v>
      </c>
      <c r="AN152" s="317">
        <f t="shared" si="115"/>
        <v>0</v>
      </c>
      <c r="AO152" s="317">
        <f t="shared" si="116"/>
        <v>0</v>
      </c>
      <c r="AP152" s="317">
        <f t="shared" si="117"/>
        <v>0</v>
      </c>
      <c r="AQ152" s="317">
        <f t="shared" si="118"/>
        <v>0</v>
      </c>
      <c r="AR152" s="317">
        <f t="shared" si="119"/>
        <v>0</v>
      </c>
      <c r="AS152" s="317">
        <f t="shared" si="120"/>
        <v>0</v>
      </c>
      <c r="AT152" s="317">
        <f t="shared" ca="1" si="121"/>
        <v>0</v>
      </c>
      <c r="AU152" s="317">
        <f t="shared" si="122"/>
        <v>0</v>
      </c>
      <c r="AV152" s="317">
        <f t="shared" si="123"/>
        <v>0</v>
      </c>
      <c r="AW152" s="317">
        <f t="shared" si="124"/>
        <v>0</v>
      </c>
      <c r="AX152" s="317">
        <f t="shared" si="125"/>
        <v>0</v>
      </c>
      <c r="AY152" s="317">
        <f t="shared" si="126"/>
        <v>0</v>
      </c>
      <c r="AZ152" s="317">
        <f t="shared" si="127"/>
        <v>0</v>
      </c>
      <c r="BA152" s="317">
        <f t="shared" ca="1" si="128"/>
        <v>0</v>
      </c>
    </row>
    <row r="153" spans="1:53" s="314" customFormat="1" ht="15" customHeight="1">
      <c r="A153" s="63">
        <f t="array" aca="1" ref="A153" ca="1">IF(C153&lt;&gt;0,SUM(($C$11:C153&lt;&gt;0)*1),"")</f>
        <v>7</v>
      </c>
      <c r="B153" s="278">
        <v>42185</v>
      </c>
      <c r="C153" s="318" t="s">
        <v>150</v>
      </c>
      <c r="D153" s="318">
        <f t="shared" si="136"/>
        <v>42185</v>
      </c>
      <c r="E153" s="319" t="s">
        <v>156</v>
      </c>
      <c r="F153" s="85">
        <f ca="1">AV155</f>
        <v>0</v>
      </c>
      <c r="G153" s="320" t="s">
        <v>144</v>
      </c>
      <c r="H153" s="320" t="s">
        <v>140</v>
      </c>
      <c r="I153" s="63">
        <f t="shared" ca="1" si="135"/>
        <v>7</v>
      </c>
      <c r="J153" s="317">
        <f t="shared" si="91"/>
        <v>0</v>
      </c>
      <c r="K153" s="317">
        <f t="shared" si="92"/>
        <v>0</v>
      </c>
      <c r="L153" s="317">
        <f t="shared" si="93"/>
        <v>0</v>
      </c>
      <c r="M153" s="317">
        <f t="shared" si="94"/>
        <v>0</v>
      </c>
      <c r="N153" s="317">
        <f t="shared" si="129"/>
        <v>0</v>
      </c>
      <c r="O153" s="317">
        <f t="shared" si="130"/>
        <v>0</v>
      </c>
      <c r="P153" s="317">
        <f t="shared" si="95"/>
        <v>0</v>
      </c>
      <c r="Q153" s="317">
        <f t="shared" si="96"/>
        <v>0</v>
      </c>
      <c r="R153" s="317">
        <f t="shared" si="97"/>
        <v>0</v>
      </c>
      <c r="S153" s="317">
        <f t="shared" si="98"/>
        <v>0</v>
      </c>
      <c r="T153" s="317">
        <f t="shared" si="131"/>
        <v>0</v>
      </c>
      <c r="U153" s="317">
        <f t="shared" si="132"/>
        <v>0</v>
      </c>
      <c r="V153" s="317">
        <f t="shared" si="99"/>
        <v>0</v>
      </c>
      <c r="W153" s="317">
        <f t="shared" si="100"/>
        <v>0</v>
      </c>
      <c r="X153" s="317">
        <f t="shared" si="101"/>
        <v>0</v>
      </c>
      <c r="Y153" s="317">
        <f t="shared" si="102"/>
        <v>0</v>
      </c>
      <c r="Z153" s="317">
        <f t="shared" si="103"/>
        <v>0</v>
      </c>
      <c r="AA153" s="317">
        <f t="shared" si="104"/>
        <v>0</v>
      </c>
      <c r="AB153" s="317">
        <f t="shared" si="105"/>
        <v>0</v>
      </c>
      <c r="AC153" s="317">
        <f t="shared" si="106"/>
        <v>0</v>
      </c>
      <c r="AD153" s="317">
        <f t="shared" si="107"/>
        <v>0</v>
      </c>
      <c r="AE153" s="317">
        <f t="shared" si="108"/>
        <v>0</v>
      </c>
      <c r="AF153" s="317">
        <f t="shared" si="133"/>
        <v>0</v>
      </c>
      <c r="AG153" s="317">
        <f t="shared" si="134"/>
        <v>0</v>
      </c>
      <c r="AH153" s="317">
        <f t="shared" si="109"/>
        <v>0</v>
      </c>
      <c r="AI153" s="317">
        <f t="shared" si="110"/>
        <v>0</v>
      </c>
      <c r="AJ153" s="317">
        <f t="shared" si="111"/>
        <v>0</v>
      </c>
      <c r="AK153" s="317">
        <f t="shared" si="112"/>
        <v>0</v>
      </c>
      <c r="AL153" s="317">
        <f t="shared" si="113"/>
        <v>0</v>
      </c>
      <c r="AM153" s="317">
        <f t="shared" si="114"/>
        <v>0</v>
      </c>
      <c r="AN153" s="317">
        <f t="shared" si="115"/>
        <v>0</v>
      </c>
      <c r="AO153" s="317">
        <f t="shared" si="116"/>
        <v>0</v>
      </c>
      <c r="AP153" s="317">
        <f t="shared" si="117"/>
        <v>0</v>
      </c>
      <c r="AQ153" s="317">
        <f t="shared" si="118"/>
        <v>0</v>
      </c>
      <c r="AR153" s="317">
        <f t="shared" si="119"/>
        <v>0</v>
      </c>
      <c r="AS153" s="317">
        <f t="shared" si="120"/>
        <v>0</v>
      </c>
      <c r="AT153" s="317">
        <f t="shared" si="121"/>
        <v>0</v>
      </c>
      <c r="AU153" s="317">
        <f t="shared" si="122"/>
        <v>0</v>
      </c>
      <c r="AV153" s="317">
        <f t="shared" si="123"/>
        <v>0</v>
      </c>
      <c r="AW153" s="317">
        <f t="shared" ca="1" si="124"/>
        <v>0</v>
      </c>
      <c r="AX153" s="317">
        <f t="shared" si="125"/>
        <v>0</v>
      </c>
      <c r="AY153" s="317">
        <f t="shared" si="126"/>
        <v>0</v>
      </c>
      <c r="AZ153" s="317">
        <f t="shared" ca="1" si="127"/>
        <v>0</v>
      </c>
      <c r="BA153" s="317">
        <f t="shared" si="128"/>
        <v>0</v>
      </c>
    </row>
    <row r="154" spans="1:53" s="314" customFormat="1" ht="15" customHeight="1">
      <c r="A154" s="63" t="str">
        <f t="array" ref="A154">IF(C154&lt;&gt;0,SUM(($C$11:C154&lt;&gt;0)*1),"")</f>
        <v/>
      </c>
      <c r="B154" s="278"/>
      <c r="C154" s="321"/>
      <c r="D154" s="278"/>
      <c r="E154" s="316"/>
      <c r="F154" s="65"/>
      <c r="G154" s="322"/>
      <c r="H154" s="322"/>
      <c r="I154" s="63" t="str">
        <f>A154</f>
        <v/>
      </c>
      <c r="J154" s="317">
        <f t="shared" si="91"/>
        <v>0</v>
      </c>
      <c r="K154" s="317">
        <f t="shared" si="92"/>
        <v>0</v>
      </c>
      <c r="L154" s="317">
        <f t="shared" si="93"/>
        <v>0</v>
      </c>
      <c r="M154" s="317">
        <f t="shared" si="94"/>
        <v>0</v>
      </c>
      <c r="N154" s="317">
        <f t="shared" si="129"/>
        <v>0</v>
      </c>
      <c r="O154" s="317">
        <f t="shared" si="130"/>
        <v>0</v>
      </c>
      <c r="P154" s="317">
        <f t="shared" si="95"/>
        <v>0</v>
      </c>
      <c r="Q154" s="317">
        <f t="shared" si="96"/>
        <v>0</v>
      </c>
      <c r="R154" s="317">
        <f t="shared" si="97"/>
        <v>0</v>
      </c>
      <c r="S154" s="317">
        <f t="shared" si="98"/>
        <v>0</v>
      </c>
      <c r="T154" s="317">
        <f t="shared" si="131"/>
        <v>0</v>
      </c>
      <c r="U154" s="317">
        <f t="shared" si="132"/>
        <v>0</v>
      </c>
      <c r="V154" s="317">
        <f t="shared" si="99"/>
        <v>0</v>
      </c>
      <c r="W154" s="317">
        <f t="shared" si="100"/>
        <v>0</v>
      </c>
      <c r="X154" s="317">
        <f t="shared" si="101"/>
        <v>0</v>
      </c>
      <c r="Y154" s="317">
        <f t="shared" si="102"/>
        <v>0</v>
      </c>
      <c r="Z154" s="317">
        <f t="shared" si="103"/>
        <v>0</v>
      </c>
      <c r="AA154" s="317">
        <f t="shared" si="104"/>
        <v>0</v>
      </c>
      <c r="AB154" s="317">
        <f t="shared" si="105"/>
        <v>0</v>
      </c>
      <c r="AC154" s="317">
        <f t="shared" si="106"/>
        <v>0</v>
      </c>
      <c r="AD154" s="317">
        <f t="shared" si="107"/>
        <v>0</v>
      </c>
      <c r="AE154" s="317">
        <f t="shared" si="108"/>
        <v>0</v>
      </c>
      <c r="AF154" s="317">
        <f t="shared" si="133"/>
        <v>0</v>
      </c>
      <c r="AG154" s="317">
        <f t="shared" si="134"/>
        <v>0</v>
      </c>
      <c r="AH154" s="317">
        <f t="shared" si="109"/>
        <v>0</v>
      </c>
      <c r="AI154" s="317">
        <f t="shared" si="110"/>
        <v>0</v>
      </c>
      <c r="AJ154" s="317">
        <f t="shared" si="111"/>
        <v>0</v>
      </c>
      <c r="AK154" s="317">
        <f t="shared" si="112"/>
        <v>0</v>
      </c>
      <c r="AL154" s="317">
        <f t="shared" si="113"/>
        <v>0</v>
      </c>
      <c r="AM154" s="317">
        <f t="shared" si="114"/>
        <v>0</v>
      </c>
      <c r="AN154" s="317">
        <f t="shared" si="115"/>
        <v>0</v>
      </c>
      <c r="AO154" s="317">
        <f t="shared" si="116"/>
        <v>0</v>
      </c>
      <c r="AP154" s="317">
        <f t="shared" si="117"/>
        <v>0</v>
      </c>
      <c r="AQ154" s="317">
        <f t="shared" si="118"/>
        <v>0</v>
      </c>
      <c r="AR154" s="317">
        <f t="shared" si="119"/>
        <v>0</v>
      </c>
      <c r="AS154" s="317">
        <f t="shared" si="120"/>
        <v>0</v>
      </c>
      <c r="AT154" s="317">
        <f t="shared" si="121"/>
        <v>0</v>
      </c>
      <c r="AU154" s="317">
        <f t="shared" si="122"/>
        <v>0</v>
      </c>
      <c r="AV154" s="317">
        <f t="shared" si="123"/>
        <v>0</v>
      </c>
      <c r="AW154" s="317">
        <f t="shared" si="124"/>
        <v>0</v>
      </c>
      <c r="AX154" s="317">
        <f t="shared" si="125"/>
        <v>0</v>
      </c>
      <c r="AY154" s="317">
        <f t="shared" si="126"/>
        <v>0</v>
      </c>
      <c r="AZ154" s="317">
        <f t="shared" si="127"/>
        <v>0</v>
      </c>
      <c r="BA154" s="317">
        <f t="shared" si="128"/>
        <v>0</v>
      </c>
    </row>
    <row r="155" spans="1:53" s="314" customFormat="1" ht="15" customHeight="1">
      <c r="A155" s="323"/>
      <c r="B155" s="323"/>
      <c r="C155" s="323"/>
      <c r="D155" s="323"/>
      <c r="E155" s="316" t="s">
        <v>264</v>
      </c>
      <c r="F155" s="323"/>
      <c r="G155" s="322"/>
      <c r="H155" s="322"/>
      <c r="I155" s="323"/>
      <c r="J155" s="323">
        <f t="shared" ref="J155:BA155" ca="1" si="137">SUM(J11:J154)</f>
        <v>0</v>
      </c>
      <c r="K155" s="323">
        <f t="shared" ca="1" si="137"/>
        <v>10087000</v>
      </c>
      <c r="L155" s="323">
        <f t="shared" ca="1" si="137"/>
        <v>0</v>
      </c>
      <c r="M155" s="323">
        <f t="shared" ca="1" si="137"/>
        <v>0</v>
      </c>
      <c r="N155" s="323">
        <f ca="1">SUM(N11:N154)</f>
        <v>0</v>
      </c>
      <c r="O155" s="323">
        <f ca="1">SUM(O11:O154)</f>
        <v>0</v>
      </c>
      <c r="P155" s="323">
        <f t="shared" ca="1" si="137"/>
        <v>0</v>
      </c>
      <c r="Q155" s="323">
        <f t="shared" ca="1" si="137"/>
        <v>0</v>
      </c>
      <c r="R155" s="323">
        <f t="shared" ca="1" si="137"/>
        <v>0</v>
      </c>
      <c r="S155" s="323">
        <f t="shared" ca="1" si="137"/>
        <v>0</v>
      </c>
      <c r="T155" s="323">
        <f t="shared" ca="1" si="137"/>
        <v>10087000</v>
      </c>
      <c r="U155" s="323">
        <f t="shared" ca="1" si="137"/>
        <v>0</v>
      </c>
      <c r="V155" s="323">
        <f t="shared" ca="1" si="137"/>
        <v>0</v>
      </c>
      <c r="W155" s="323">
        <f t="shared" ca="1" si="137"/>
        <v>0</v>
      </c>
      <c r="X155" s="323">
        <f t="shared" ca="1" si="137"/>
        <v>0</v>
      </c>
      <c r="Y155" s="323">
        <f t="shared" ca="1" si="137"/>
        <v>0</v>
      </c>
      <c r="Z155" s="323">
        <f t="shared" ca="1" si="137"/>
        <v>0</v>
      </c>
      <c r="AA155" s="323">
        <f t="shared" ca="1" si="137"/>
        <v>0</v>
      </c>
      <c r="AB155" s="323">
        <f t="shared" ca="1" si="137"/>
        <v>0</v>
      </c>
      <c r="AC155" s="323">
        <f t="shared" ca="1" si="137"/>
        <v>0</v>
      </c>
      <c r="AD155" s="323">
        <f t="shared" ca="1" si="137"/>
        <v>0</v>
      </c>
      <c r="AE155" s="323">
        <f t="shared" ca="1" si="137"/>
        <v>0</v>
      </c>
      <c r="AF155" s="323">
        <f ca="1">SUM(AF11:AF154)</f>
        <v>0</v>
      </c>
      <c r="AG155" s="323">
        <f ca="1">SUM(AG11:AG154)</f>
        <v>0</v>
      </c>
      <c r="AH155" s="323">
        <f t="shared" ca="1" si="137"/>
        <v>0</v>
      </c>
      <c r="AI155" s="323">
        <f t="shared" ca="1" si="137"/>
        <v>0</v>
      </c>
      <c r="AJ155" s="323">
        <f t="shared" ca="1" si="137"/>
        <v>0</v>
      </c>
      <c r="AK155" s="323">
        <f t="shared" ca="1" si="137"/>
        <v>0</v>
      </c>
      <c r="AL155" s="323">
        <f t="shared" ca="1" si="137"/>
        <v>41705364</v>
      </c>
      <c r="AM155" s="323">
        <f t="shared" ca="1" si="137"/>
        <v>0</v>
      </c>
      <c r="AN155" s="323">
        <f t="shared" ca="1" si="137"/>
        <v>0</v>
      </c>
      <c r="AO155" s="323">
        <f t="shared" ca="1" si="137"/>
        <v>0</v>
      </c>
      <c r="AP155" s="323">
        <f t="shared" ca="1" si="137"/>
        <v>0</v>
      </c>
      <c r="AQ155" s="323">
        <f t="shared" ca="1" si="137"/>
        <v>0</v>
      </c>
      <c r="AR155" s="323">
        <f t="shared" ca="1" si="137"/>
        <v>0</v>
      </c>
      <c r="AS155" s="323">
        <f t="shared" ca="1" si="137"/>
        <v>0</v>
      </c>
      <c r="AT155" s="323">
        <f t="shared" ca="1" si="137"/>
        <v>0</v>
      </c>
      <c r="AU155" s="323">
        <f t="shared" ca="1" si="137"/>
        <v>0</v>
      </c>
      <c r="AV155" s="323">
        <f t="shared" ca="1" si="137"/>
        <v>0</v>
      </c>
      <c r="AW155" s="323">
        <f t="shared" ca="1" si="137"/>
        <v>0</v>
      </c>
      <c r="AX155" s="323">
        <f t="shared" ca="1" si="137"/>
        <v>0</v>
      </c>
      <c r="AY155" s="323">
        <f t="shared" ca="1" si="137"/>
        <v>0</v>
      </c>
      <c r="AZ155" s="323">
        <f t="shared" ca="1" si="137"/>
        <v>0</v>
      </c>
      <c r="BA155" s="323">
        <f t="shared" ca="1" si="137"/>
        <v>41705364</v>
      </c>
    </row>
    <row r="156" spans="1:53" s="314" customFormat="1" ht="15" customHeight="1">
      <c r="A156" s="324"/>
      <c r="B156" s="324"/>
      <c r="C156" s="324"/>
      <c r="D156" s="324"/>
      <c r="E156" s="325" t="s">
        <v>307</v>
      </c>
      <c r="F156" s="324"/>
      <c r="G156" s="326"/>
      <c r="H156" s="326"/>
      <c r="I156" s="324"/>
      <c r="J156" s="346">
        <f ca="1">MAX(J10+J155-K10-K155,0)</f>
        <v>1332078410</v>
      </c>
      <c r="K156" s="346">
        <f ca="1">MAX(K10+K155-J10-J155,0)</f>
        <v>0</v>
      </c>
      <c r="L156" s="346">
        <f ca="1">MAX(L10+L155-M10-M155,0)</f>
        <v>1694774692</v>
      </c>
      <c r="M156" s="346">
        <f ca="1">MAX(M10+M155-L10-L155,0)</f>
        <v>0</v>
      </c>
      <c r="N156" s="346">
        <f ca="1">MAX(N10+N155-O10-O155,0)</f>
        <v>0</v>
      </c>
      <c r="O156" s="346">
        <f ca="1">MAX(O10+O155-N10-N155,0)</f>
        <v>0</v>
      </c>
      <c r="P156" s="346">
        <f ca="1">MAX(P10+P155-Q10-Q155,0)</f>
        <v>452614594</v>
      </c>
      <c r="Q156" s="346">
        <f ca="1">MAX(Q10+Q155-P10-P155,0)</f>
        <v>0</v>
      </c>
      <c r="R156" s="346">
        <f ca="1">MAX(R10+R155-S10-S155,0)</f>
        <v>0</v>
      </c>
      <c r="S156" s="346">
        <f ca="1">MAX(S10+S155-R10-R155,0)</f>
        <v>0</v>
      </c>
      <c r="T156" s="346">
        <f ca="1">MAX(T10+T155-U10-U155,0)</f>
        <v>22610074302</v>
      </c>
      <c r="U156" s="346">
        <f ca="1">MAX(U10+U155-T10-T155,0)</f>
        <v>0</v>
      </c>
      <c r="V156" s="346">
        <f ca="1">MAX(V10+V155-W10-W155,0)</f>
        <v>4299540884</v>
      </c>
      <c r="W156" s="346">
        <f ca="1">MAX(W10+W155-V10-V155,0)</f>
        <v>0</v>
      </c>
      <c r="X156" s="346">
        <f ca="1">MAX(X10+X155-Y10-Y155,0)</f>
        <v>0</v>
      </c>
      <c r="Y156" s="346">
        <f ca="1">MAX(Y10+Y155-X10-X155,0)</f>
        <v>0</v>
      </c>
      <c r="Z156" s="346">
        <f ca="1">MAX(Z10+Z155-AA10-AA155,0)</f>
        <v>0</v>
      </c>
      <c r="AA156" s="346">
        <f ca="1">MAX(AA10+AA155-Z10-Z155,0)</f>
        <v>0</v>
      </c>
      <c r="AB156" s="346">
        <f ca="1">MAX(AB10+AB155-AC10-AC155,0)</f>
        <v>0</v>
      </c>
      <c r="AC156" s="346">
        <f ca="1">MAX(AC10+AC155-AB10-AB155,0)</f>
        <v>5000000000</v>
      </c>
      <c r="AD156" s="346">
        <f ca="1">MAX(AD10+AD155-AE10-AE155,0)</f>
        <v>0</v>
      </c>
      <c r="AE156" s="346">
        <f ca="1">MAX(AE10+AE155-AD10-AD155,0)</f>
        <v>20000000000</v>
      </c>
      <c r="AF156" s="346">
        <f ca="1">MAX(AF10+AF155-AG10-AG155,0)</f>
        <v>0</v>
      </c>
      <c r="AG156" s="346">
        <f ca="1">MAX(AG10+AG155-AF10-AF155,0)</f>
        <v>1982640000</v>
      </c>
      <c r="AH156" s="346">
        <f ca="1">MAX(AH10+AH155-AI10-AI155,0)</f>
        <v>0</v>
      </c>
      <c r="AI156" s="346">
        <f ca="1">MAX(AI10+AI155-AH10-AH155,0)</f>
        <v>4000000000</v>
      </c>
      <c r="AJ156" s="346">
        <f ca="1">MAX(AJ10+AJ155-AK10-AK155,0)</f>
        <v>583066238</v>
      </c>
      <c r="AK156" s="346">
        <f ca="1">MAX(AK10+AK155-AJ10-AJ155,0)</f>
        <v>0</v>
      </c>
      <c r="AL156" s="346">
        <f ca="1">MAX(AL10+AL155-AM10-AM155,0)</f>
        <v>44146223</v>
      </c>
      <c r="AM156" s="346">
        <f ca="1">MAX(AM10+AM155-AL10-AL155,0)</f>
        <v>0</v>
      </c>
      <c r="AN156" s="346">
        <f ca="1">MAX(AN10+AN155-AO10-AO155,0)</f>
        <v>0</v>
      </c>
      <c r="AO156" s="346">
        <f ca="1">MAX(AO10+AO155-AN10-AN155,0)</f>
        <v>0</v>
      </c>
      <c r="AP156" s="346">
        <f ca="1">MAX(AP10+AP155-AQ10-AQ155,0)</f>
        <v>0</v>
      </c>
      <c r="AQ156" s="346">
        <f ca="1">MAX(AQ10+AQ155-AP10-AP155,0)</f>
        <v>0</v>
      </c>
      <c r="AR156" s="346">
        <f ca="1">MAX(AR10+AR155-AS10-AS155,0)</f>
        <v>0</v>
      </c>
      <c r="AS156" s="346">
        <f ca="1">MAX(AS10+AS155-AR10-AR155,0)</f>
        <v>0</v>
      </c>
      <c r="AT156" s="346">
        <f ca="1">MAX(AT10+AT155-AU10-AU155,0)</f>
        <v>0</v>
      </c>
      <c r="AU156" s="346">
        <f ca="1">MAX(AU10+AU155-AT10-AT155,0)</f>
        <v>0</v>
      </c>
      <c r="AV156" s="346">
        <f ca="1">MAX(AV10+AV155-AW10-AW155,0)</f>
        <v>0</v>
      </c>
      <c r="AW156" s="346">
        <f ca="1">MAX(AW10+AW155-AV10-AV155,0)</f>
        <v>0</v>
      </c>
      <c r="AX156" s="346">
        <f ca="1">MAX(AX10+AX155-AY10-AY155,0)</f>
        <v>0</v>
      </c>
      <c r="AY156" s="346">
        <f ca="1">MAX(AY10+AY155-AX10-AX155,0)</f>
        <v>0</v>
      </c>
      <c r="AZ156" s="346">
        <f ca="1">MAX(AZ10+AZ155-BA10-BA155,0)</f>
        <v>0</v>
      </c>
      <c r="BA156" s="346">
        <f ca="1">MAX(BA10+BA155-AZ10-AZ155,0)</f>
        <v>33655343</v>
      </c>
    </row>
    <row r="157" spans="1:53" s="314" customFormat="1" ht="15" customHeight="1">
      <c r="A157" s="328"/>
      <c r="B157" s="328"/>
      <c r="C157" s="329"/>
      <c r="D157" s="328"/>
      <c r="E157" s="330" t="s">
        <v>308</v>
      </c>
      <c r="F157" s="328"/>
      <c r="G157" s="331"/>
      <c r="H157" s="331"/>
      <c r="I157" s="328"/>
      <c r="J157" s="328">
        <f ca="1">J155+'SC-I'!J76</f>
        <v>0</v>
      </c>
      <c r="K157" s="328">
        <f ca="1">K155+'SC-I'!K76</f>
        <v>10087000</v>
      </c>
      <c r="L157" s="328">
        <f ca="1">L155+'SC-I'!L76</f>
        <v>0</v>
      </c>
      <c r="M157" s="328">
        <f ca="1">M155+'SC-I'!M76</f>
        <v>0</v>
      </c>
      <c r="N157" s="328">
        <f ca="1">N155+'SC-I'!N76</f>
        <v>0</v>
      </c>
      <c r="O157" s="328">
        <f ca="1">O155+'SC-I'!O76</f>
        <v>0</v>
      </c>
      <c r="P157" s="328">
        <f ca="1">P155+'SC-I'!P76</f>
        <v>0</v>
      </c>
      <c r="Q157" s="328">
        <f ca="1">Q155+'SC-I'!Q76</f>
        <v>0</v>
      </c>
      <c r="R157" s="328">
        <f ca="1">R155+'SC-I'!R76</f>
        <v>0</v>
      </c>
      <c r="S157" s="328">
        <f ca="1">S155+'SC-I'!S76</f>
        <v>0</v>
      </c>
      <c r="T157" s="328">
        <f ca="1">T155+'SC-I'!T76</f>
        <v>10087000</v>
      </c>
      <c r="U157" s="328">
        <f ca="1">U155+'SC-I'!U76</f>
        <v>0</v>
      </c>
      <c r="V157" s="328">
        <f ca="1">V155+'SC-I'!V76</f>
        <v>0</v>
      </c>
      <c r="W157" s="328">
        <f ca="1">W155+'SC-I'!W76</f>
        <v>10490880</v>
      </c>
      <c r="X157" s="328">
        <f ca="1">X155+'SC-I'!X76</f>
        <v>0</v>
      </c>
      <c r="Y157" s="328">
        <f ca="1">Y155+'SC-I'!Y76</f>
        <v>0</v>
      </c>
      <c r="Z157" s="328">
        <f ca="1">Z155+'SC-I'!Z76</f>
        <v>0</v>
      </c>
      <c r="AA157" s="328">
        <f ca="1">AA155+'SC-I'!AA76</f>
        <v>0</v>
      </c>
      <c r="AB157" s="328">
        <f ca="1">AB155+'SC-I'!AB76</f>
        <v>0</v>
      </c>
      <c r="AC157" s="328">
        <f ca="1">AC155+'SC-I'!AC76</f>
        <v>0</v>
      </c>
      <c r="AD157" s="328">
        <f ca="1">AD155+'SC-I'!AD76</f>
        <v>0</v>
      </c>
      <c r="AE157" s="328">
        <f ca="1">AE155+'SC-I'!AE76</f>
        <v>0</v>
      </c>
      <c r="AF157" s="328">
        <f ca="1">AF155+'SC-I'!AF76</f>
        <v>0</v>
      </c>
      <c r="AG157" s="328">
        <f ca="1">AG155+'SC-I'!AG76</f>
        <v>0</v>
      </c>
      <c r="AH157" s="328">
        <f ca="1">AH155+'SC-I'!AH76</f>
        <v>0</v>
      </c>
      <c r="AI157" s="328">
        <f ca="1">AI155+'SC-I'!AI76</f>
        <v>0</v>
      </c>
      <c r="AJ157" s="328">
        <f ca="1">AJ155+'SC-I'!AJ76</f>
        <v>359476733</v>
      </c>
      <c r="AK157" s="328">
        <f ca="1">AK155+'SC-I'!AK76</f>
        <v>0</v>
      </c>
      <c r="AL157" s="328">
        <f ca="1">AL155+'SC-I'!AL76</f>
        <v>44146223</v>
      </c>
      <c r="AM157" s="328">
        <f ca="1">AM155+'SC-I'!AM76</f>
        <v>359476733</v>
      </c>
      <c r="AN157" s="328">
        <f ca="1">AN155+'SC-I'!AN76</f>
        <v>0</v>
      </c>
      <c r="AO157" s="328">
        <f ca="1">AO155+'SC-I'!AO76</f>
        <v>0</v>
      </c>
      <c r="AP157" s="328">
        <f ca="1">AP155+'SC-I'!AP76</f>
        <v>0</v>
      </c>
      <c r="AQ157" s="328">
        <f ca="1">AQ155+'SC-I'!AQ76</f>
        <v>0</v>
      </c>
      <c r="AR157" s="328">
        <f ca="1">AR155+'SC-I'!AR76</f>
        <v>10490880</v>
      </c>
      <c r="AS157" s="328">
        <f ca="1">AS155+'SC-I'!AS76</f>
        <v>10490880</v>
      </c>
      <c r="AT157" s="328">
        <f ca="1">AT155+'SC-I'!AT76</f>
        <v>0</v>
      </c>
      <c r="AU157" s="328">
        <f ca="1">AU155+'SC-I'!AU76</f>
        <v>0</v>
      </c>
      <c r="AV157" s="328">
        <f ca="1">AV155+'SC-I'!AV76</f>
        <v>0</v>
      </c>
      <c r="AW157" s="328">
        <f ca="1">AW155+'SC-I'!AW76</f>
        <v>0</v>
      </c>
      <c r="AX157" s="328">
        <f ca="1">AX155+'SC-I'!AX76</f>
        <v>0</v>
      </c>
      <c r="AY157" s="328">
        <f ca="1">AY155+'SC-I'!AY76</f>
        <v>0</v>
      </c>
      <c r="AZ157" s="328">
        <f ca="1">AZ155+'SC-I'!AZ76</f>
        <v>10490880</v>
      </c>
      <c r="BA157" s="328">
        <f ca="1">BA155+'SC-I'!BA76</f>
        <v>44146223</v>
      </c>
    </row>
    <row r="158" spans="1:53" ht="12" customHeight="1">
      <c r="B158" s="333"/>
      <c r="C158" s="334"/>
      <c r="D158" s="334"/>
      <c r="E158" s="334"/>
      <c r="F158" s="334"/>
      <c r="G158" s="335"/>
      <c r="H158" s="335"/>
      <c r="I158" s="334"/>
      <c r="J158" s="334"/>
      <c r="K158" s="334"/>
    </row>
    <row r="159" spans="1:53">
      <c r="M159" s="336"/>
      <c r="O159" s="336"/>
      <c r="Q159" s="336"/>
      <c r="R159" s="336"/>
      <c r="S159" s="336"/>
      <c r="T159" s="336"/>
      <c r="U159" s="336"/>
      <c r="V159" s="336"/>
      <c r="AM159" s="338"/>
      <c r="AN159" s="337" t="s">
        <v>338</v>
      </c>
      <c r="AO159" s="338"/>
      <c r="AP159" s="338"/>
      <c r="AQ159" s="338"/>
      <c r="AR159" s="339"/>
      <c r="AS159" s="339"/>
      <c r="AT159" s="338"/>
    </row>
    <row r="160" spans="1:53">
      <c r="M160" s="336"/>
      <c r="O160" s="336"/>
      <c r="Q160" s="336"/>
      <c r="R160" s="336"/>
      <c r="S160" s="336"/>
      <c r="T160" s="336"/>
      <c r="U160" s="336"/>
      <c r="V160" s="336"/>
      <c r="AM160" s="338"/>
      <c r="AN160" s="340" t="s">
        <v>312</v>
      </c>
      <c r="AO160" s="338"/>
      <c r="AP160" s="338"/>
      <c r="AQ160" s="338"/>
      <c r="AR160" s="339"/>
      <c r="AS160" s="339"/>
      <c r="AT160" s="338"/>
    </row>
    <row r="161" spans="13:52">
      <c r="M161" s="336"/>
      <c r="O161" s="336"/>
      <c r="Q161" s="336"/>
      <c r="R161" s="336"/>
      <c r="S161" s="336"/>
      <c r="T161" s="336"/>
      <c r="U161" s="336"/>
      <c r="V161" s="336"/>
      <c r="AL161" s="338"/>
      <c r="AM161" s="338"/>
      <c r="AN161" s="338"/>
      <c r="AO161" s="338"/>
      <c r="AP161" s="338"/>
      <c r="AQ161" s="338"/>
      <c r="AR161" s="338"/>
      <c r="AS161" s="338"/>
      <c r="AT161" s="339"/>
    </row>
    <row r="162" spans="13:52">
      <c r="M162" s="336"/>
      <c r="O162" s="336"/>
      <c r="Q162" s="336"/>
      <c r="R162" s="336"/>
      <c r="S162" s="336"/>
      <c r="T162" s="336"/>
      <c r="U162" s="336"/>
      <c r="V162" s="336"/>
      <c r="AL162" s="338"/>
      <c r="AM162" s="338"/>
      <c r="AN162" s="338"/>
      <c r="AO162" s="342" t="s">
        <v>14</v>
      </c>
      <c r="AQ162" s="338"/>
      <c r="AR162" s="338"/>
      <c r="AS162" s="338"/>
      <c r="AT162" s="339"/>
      <c r="AZ162" s="341" t="str">
        <f>"Ngày 30 tháng 06 năm 2015 "</f>
        <v xml:space="preserve">Ngày 30 tháng 06 năm 2015 </v>
      </c>
    </row>
    <row r="163" spans="13:52">
      <c r="M163" s="336"/>
      <c r="O163" s="336"/>
      <c r="Q163" s="336"/>
      <c r="R163" s="336"/>
      <c r="S163" s="336"/>
      <c r="T163" s="336"/>
      <c r="U163" s="336"/>
      <c r="V163" s="336"/>
      <c r="AL163" s="338"/>
      <c r="AN163" s="338"/>
      <c r="AO163" s="344" t="s">
        <v>16</v>
      </c>
      <c r="AQ163" s="338"/>
      <c r="AR163" s="338"/>
      <c r="AS163" s="343" t="s">
        <v>15</v>
      </c>
      <c r="AT163" s="339"/>
      <c r="AZ163" s="342" t="s">
        <v>206</v>
      </c>
    </row>
    <row r="164" spans="13:52">
      <c r="M164" s="336"/>
      <c r="O164" s="336"/>
      <c r="Q164" s="336"/>
      <c r="R164" s="336"/>
      <c r="S164" s="336"/>
      <c r="T164" s="336"/>
      <c r="U164" s="336"/>
      <c r="V164" s="336"/>
      <c r="AL164" s="338"/>
      <c r="AN164" s="338"/>
      <c r="AO164" s="338"/>
      <c r="AQ164" s="338"/>
      <c r="AR164" s="338"/>
      <c r="AS164" s="345" t="s">
        <v>16</v>
      </c>
      <c r="AT164" s="339"/>
      <c r="AZ164" s="344" t="s">
        <v>241</v>
      </c>
    </row>
    <row r="165" spans="13:52">
      <c r="M165" s="336"/>
      <c r="O165" s="336"/>
      <c r="Q165" s="336"/>
      <c r="R165" s="336"/>
      <c r="S165" s="336"/>
      <c r="T165" s="336"/>
      <c r="U165" s="336"/>
      <c r="V165" s="336"/>
      <c r="AL165" s="338"/>
      <c r="AN165" s="338"/>
      <c r="AO165" s="338"/>
      <c r="AP165" s="338"/>
      <c r="AQ165" s="338"/>
      <c r="AR165" s="338"/>
      <c r="AS165" s="338"/>
      <c r="AT165" s="339"/>
      <c r="AZ165" s="338"/>
    </row>
    <row r="166" spans="13:52">
      <c r="M166" s="336"/>
      <c r="O166" s="336"/>
      <c r="Q166" s="336"/>
      <c r="R166" s="336"/>
      <c r="S166" s="336"/>
      <c r="T166" s="336"/>
      <c r="U166" s="336"/>
      <c r="V166" s="336"/>
      <c r="AZ166" s="338"/>
    </row>
    <row r="167" spans="13:52">
      <c r="M167" s="336"/>
      <c r="O167" s="336"/>
      <c r="Q167" s="336"/>
      <c r="R167" s="336"/>
      <c r="S167" s="336"/>
      <c r="T167" s="336"/>
      <c r="U167" s="336"/>
      <c r="V167" s="336"/>
    </row>
    <row r="168" spans="13:52">
      <c r="M168" s="336"/>
      <c r="O168" s="336"/>
      <c r="Q168" s="336"/>
      <c r="R168" s="336"/>
      <c r="S168" s="336"/>
      <c r="T168" s="336"/>
      <c r="U168" s="336"/>
      <c r="V168" s="336"/>
    </row>
    <row r="169" spans="13:52">
      <c r="M169" s="336"/>
      <c r="O169" s="336"/>
      <c r="Q169" s="336"/>
      <c r="R169" s="336"/>
      <c r="S169" s="336"/>
      <c r="T169" s="336"/>
      <c r="U169" s="336"/>
      <c r="V169" s="336"/>
    </row>
    <row r="170" spans="13:52">
      <c r="M170" s="336"/>
      <c r="O170" s="336"/>
      <c r="Q170" s="336"/>
      <c r="R170" s="336"/>
      <c r="S170" s="336"/>
      <c r="T170" s="336"/>
      <c r="U170" s="336"/>
      <c r="V170" s="336"/>
    </row>
    <row r="171" spans="13:52">
      <c r="M171" s="336"/>
      <c r="O171" s="336"/>
      <c r="Q171" s="336"/>
      <c r="R171" s="336"/>
      <c r="S171" s="336"/>
      <c r="T171" s="336"/>
      <c r="U171" s="336"/>
      <c r="V171" s="336"/>
    </row>
    <row r="172" spans="13:52">
      <c r="M172" s="336"/>
      <c r="O172" s="336"/>
      <c r="Q172" s="336"/>
      <c r="R172" s="336"/>
      <c r="S172" s="336"/>
      <c r="T172" s="336"/>
      <c r="U172" s="336"/>
      <c r="V172" s="336"/>
    </row>
    <row r="173" spans="13:52">
      <c r="M173" s="336"/>
      <c r="O173" s="336"/>
      <c r="Q173" s="336"/>
      <c r="R173" s="336"/>
      <c r="S173" s="336"/>
      <c r="T173" s="336"/>
      <c r="U173" s="336"/>
      <c r="V173" s="336"/>
    </row>
    <row r="174" spans="13:52">
      <c r="M174" s="336"/>
      <c r="O174" s="336"/>
      <c r="Q174" s="336"/>
      <c r="R174" s="336"/>
      <c r="S174" s="336"/>
      <c r="T174" s="336"/>
      <c r="U174" s="336"/>
      <c r="V174" s="336"/>
    </row>
    <row r="175" spans="13:52">
      <c r="M175" s="336"/>
      <c r="O175" s="336"/>
      <c r="Q175" s="336"/>
      <c r="R175" s="336"/>
      <c r="S175" s="336"/>
      <c r="T175" s="336"/>
      <c r="U175" s="336"/>
      <c r="V175" s="336"/>
    </row>
    <row r="176" spans="13:52">
      <c r="M176" s="336"/>
      <c r="O176" s="336"/>
      <c r="Q176" s="336"/>
      <c r="R176" s="336"/>
      <c r="S176" s="336"/>
      <c r="T176" s="336"/>
      <c r="U176" s="336"/>
      <c r="V176" s="336"/>
    </row>
    <row r="177" spans="13:22">
      <c r="M177" s="336"/>
      <c r="O177" s="336"/>
      <c r="Q177" s="336"/>
      <c r="R177" s="336"/>
      <c r="S177" s="336"/>
      <c r="T177" s="336"/>
      <c r="U177" s="336"/>
      <c r="V177" s="336"/>
    </row>
    <row r="178" spans="13:22">
      <c r="M178" s="336"/>
      <c r="O178" s="336"/>
      <c r="Q178" s="336"/>
      <c r="R178" s="336"/>
      <c r="S178" s="336"/>
      <c r="T178" s="336"/>
      <c r="U178" s="336"/>
      <c r="V178" s="336"/>
    </row>
    <row r="179" spans="13:22">
      <c r="M179" s="336"/>
      <c r="O179" s="336"/>
      <c r="Q179" s="336"/>
      <c r="R179" s="336"/>
      <c r="S179" s="336"/>
      <c r="T179" s="336"/>
      <c r="U179" s="336"/>
      <c r="V179" s="336"/>
    </row>
    <row r="180" spans="13:22">
      <c r="M180" s="336"/>
      <c r="O180" s="336"/>
      <c r="Q180" s="336"/>
      <c r="R180" s="336"/>
      <c r="S180" s="336"/>
      <c r="T180" s="336"/>
      <c r="U180" s="336"/>
      <c r="V180" s="336"/>
    </row>
    <row r="181" spans="13:22">
      <c r="M181" s="336"/>
      <c r="O181" s="336"/>
      <c r="Q181" s="336"/>
      <c r="R181" s="336"/>
      <c r="S181" s="336"/>
      <c r="T181" s="336"/>
      <c r="U181" s="336"/>
      <c r="V181" s="336"/>
    </row>
    <row r="182" spans="13:22">
      <c r="M182" s="336"/>
      <c r="O182" s="336"/>
      <c r="Q182" s="336"/>
      <c r="R182" s="336"/>
      <c r="S182" s="336"/>
      <c r="T182" s="336"/>
      <c r="U182" s="336"/>
      <c r="V182" s="336"/>
    </row>
    <row r="183" spans="13:22">
      <c r="M183" s="336"/>
      <c r="O183" s="336"/>
      <c r="Q183" s="336"/>
      <c r="R183" s="336"/>
      <c r="S183" s="336"/>
      <c r="T183" s="336"/>
      <c r="U183" s="336"/>
      <c r="V183" s="336"/>
    </row>
    <row r="184" spans="13:22">
      <c r="M184" s="336"/>
      <c r="O184" s="336"/>
      <c r="Q184" s="336"/>
      <c r="R184" s="336"/>
      <c r="S184" s="336"/>
      <c r="T184" s="336"/>
      <c r="U184" s="336"/>
      <c r="V184" s="336"/>
    </row>
    <row r="185" spans="13:22">
      <c r="M185" s="336"/>
      <c r="O185" s="336"/>
      <c r="Q185" s="336"/>
      <c r="R185" s="336"/>
      <c r="S185" s="336"/>
      <c r="T185" s="336"/>
      <c r="U185" s="336"/>
      <c r="V185" s="336"/>
    </row>
    <row r="186" spans="13:22">
      <c r="M186" s="336"/>
      <c r="O186" s="336"/>
      <c r="Q186" s="336"/>
      <c r="R186" s="336"/>
      <c r="S186" s="336"/>
      <c r="T186" s="336"/>
      <c r="U186" s="336"/>
      <c r="V186" s="336"/>
    </row>
    <row r="187" spans="13:22">
      <c r="M187" s="336"/>
      <c r="O187" s="336"/>
      <c r="Q187" s="336"/>
      <c r="R187" s="336"/>
      <c r="S187" s="336"/>
      <c r="T187" s="336"/>
      <c r="U187" s="336"/>
      <c r="V187" s="336"/>
    </row>
    <row r="188" spans="13:22">
      <c r="M188" s="336"/>
      <c r="O188" s="336"/>
      <c r="Q188" s="336"/>
      <c r="R188" s="336"/>
      <c r="S188" s="336"/>
      <c r="T188" s="336"/>
      <c r="U188" s="336"/>
      <c r="V188" s="336"/>
    </row>
    <row r="189" spans="13:22">
      <c r="M189" s="336"/>
      <c r="O189" s="336"/>
      <c r="Q189" s="336"/>
      <c r="R189" s="336"/>
      <c r="S189" s="336"/>
      <c r="T189" s="336"/>
      <c r="U189" s="336"/>
      <c r="V189" s="336"/>
    </row>
    <row r="190" spans="13:22">
      <c r="M190" s="336"/>
      <c r="O190" s="336"/>
      <c r="Q190" s="336"/>
      <c r="R190" s="336"/>
      <c r="S190" s="336"/>
      <c r="T190" s="336"/>
      <c r="U190" s="336"/>
      <c r="V190" s="336"/>
    </row>
    <row r="191" spans="13:22">
      <c r="M191" s="336"/>
      <c r="O191" s="336"/>
      <c r="Q191" s="336"/>
      <c r="R191" s="336"/>
      <c r="S191" s="336"/>
      <c r="T191" s="336"/>
      <c r="U191" s="336"/>
      <c r="V191" s="336"/>
    </row>
    <row r="192" spans="13:22">
      <c r="M192" s="336"/>
      <c r="O192" s="336"/>
      <c r="Q192" s="336"/>
      <c r="R192" s="336"/>
      <c r="S192" s="336"/>
      <c r="T192" s="336"/>
      <c r="U192" s="336"/>
      <c r="V192" s="336"/>
    </row>
    <row r="193" spans="13:22">
      <c r="M193" s="336"/>
      <c r="O193" s="336"/>
      <c r="Q193" s="336"/>
      <c r="R193" s="336"/>
      <c r="S193" s="336"/>
      <c r="T193" s="336"/>
      <c r="U193" s="336"/>
      <c r="V193" s="336"/>
    </row>
    <row r="194" spans="13:22">
      <c r="M194" s="336"/>
      <c r="O194" s="336"/>
      <c r="Q194" s="336"/>
      <c r="R194" s="336"/>
      <c r="S194" s="336"/>
      <c r="T194" s="336"/>
      <c r="U194" s="336"/>
      <c r="V194" s="336"/>
    </row>
    <row r="195" spans="13:22">
      <c r="M195" s="336"/>
      <c r="O195" s="336"/>
      <c r="Q195" s="336"/>
      <c r="R195" s="336"/>
      <c r="S195" s="336"/>
      <c r="T195" s="336"/>
      <c r="U195" s="336"/>
      <c r="V195" s="336"/>
    </row>
    <row r="196" spans="13:22">
      <c r="M196" s="336"/>
      <c r="O196" s="336"/>
      <c r="Q196" s="336"/>
      <c r="R196" s="336"/>
      <c r="S196" s="336"/>
      <c r="T196" s="336"/>
      <c r="U196" s="336"/>
      <c r="V196" s="336"/>
    </row>
    <row r="197" spans="13:22">
      <c r="M197" s="336"/>
      <c r="O197" s="336"/>
      <c r="Q197" s="336"/>
      <c r="R197" s="336"/>
      <c r="S197" s="336"/>
      <c r="T197" s="336"/>
      <c r="U197" s="336"/>
      <c r="V197" s="336"/>
    </row>
    <row r="198" spans="13:22">
      <c r="M198" s="336"/>
      <c r="O198" s="336"/>
      <c r="Q198" s="336"/>
      <c r="R198" s="336"/>
      <c r="S198" s="336"/>
      <c r="T198" s="336"/>
      <c r="U198" s="336"/>
      <c r="V198" s="336"/>
    </row>
    <row r="199" spans="13:22">
      <c r="M199" s="336"/>
      <c r="O199" s="336"/>
      <c r="Q199" s="336"/>
      <c r="R199" s="336"/>
      <c r="S199" s="336"/>
      <c r="T199" s="336"/>
      <c r="U199" s="336"/>
      <c r="V199" s="336"/>
    </row>
    <row r="200" spans="13:22">
      <c r="M200" s="336"/>
      <c r="O200" s="336"/>
      <c r="Q200" s="336"/>
      <c r="R200" s="336"/>
      <c r="S200" s="336"/>
      <c r="T200" s="336"/>
      <c r="U200" s="336"/>
      <c r="V200" s="336"/>
    </row>
    <row r="201" spans="13:22">
      <c r="M201" s="336"/>
      <c r="O201" s="336"/>
      <c r="Q201" s="336"/>
      <c r="R201" s="336"/>
      <c r="S201" s="336"/>
      <c r="T201" s="336"/>
      <c r="U201" s="336"/>
      <c r="V201" s="336"/>
    </row>
    <row r="202" spans="13:22">
      <c r="M202" s="336"/>
      <c r="O202" s="336"/>
      <c r="Q202" s="336"/>
      <c r="R202" s="336"/>
      <c r="S202" s="336"/>
      <c r="T202" s="336"/>
      <c r="U202" s="336"/>
      <c r="V202" s="336"/>
    </row>
    <row r="203" spans="13:22">
      <c r="M203" s="336"/>
      <c r="O203" s="336"/>
      <c r="Q203" s="336"/>
      <c r="R203" s="336"/>
      <c r="S203" s="336"/>
      <c r="T203" s="336"/>
      <c r="U203" s="336"/>
      <c r="V203" s="336"/>
    </row>
    <row r="204" spans="13:22">
      <c r="M204" s="336"/>
      <c r="O204" s="336"/>
      <c r="Q204" s="336"/>
      <c r="R204" s="336"/>
      <c r="S204" s="336"/>
      <c r="T204" s="336"/>
      <c r="U204" s="336"/>
      <c r="V204" s="336"/>
    </row>
    <row r="205" spans="13:22">
      <c r="M205" s="336"/>
      <c r="O205" s="336"/>
      <c r="Q205" s="336"/>
      <c r="R205" s="336"/>
      <c r="S205" s="336"/>
      <c r="T205" s="336"/>
      <c r="U205" s="336"/>
      <c r="V205" s="336"/>
    </row>
    <row r="206" spans="13:22">
      <c r="M206" s="336"/>
      <c r="O206" s="336"/>
      <c r="Q206" s="336"/>
      <c r="R206" s="336"/>
      <c r="S206" s="336"/>
      <c r="T206" s="336"/>
      <c r="U206" s="336"/>
      <c r="V206" s="336"/>
    </row>
    <row r="207" spans="13:22">
      <c r="M207" s="336"/>
      <c r="O207" s="336"/>
      <c r="Q207" s="336"/>
      <c r="R207" s="336"/>
      <c r="S207" s="336"/>
      <c r="T207" s="336"/>
      <c r="U207" s="336"/>
      <c r="V207" s="336"/>
    </row>
    <row r="208" spans="13:22">
      <c r="M208" s="336"/>
      <c r="O208" s="336"/>
      <c r="Q208" s="336"/>
      <c r="R208" s="336"/>
      <c r="S208" s="336"/>
      <c r="T208" s="336"/>
      <c r="U208" s="336"/>
      <c r="V208" s="336"/>
    </row>
    <row r="209" spans="13:22">
      <c r="M209" s="336"/>
      <c r="O209" s="336"/>
      <c r="Q209" s="336"/>
      <c r="R209" s="336"/>
      <c r="S209" s="336"/>
      <c r="T209" s="336"/>
      <c r="U209" s="336"/>
      <c r="V209" s="336"/>
    </row>
    <row r="210" spans="13:22">
      <c r="M210" s="336"/>
      <c r="O210" s="336"/>
      <c r="Q210" s="336"/>
      <c r="R210" s="336"/>
      <c r="S210" s="336"/>
      <c r="T210" s="336"/>
      <c r="U210" s="336"/>
      <c r="V210" s="336"/>
    </row>
    <row r="211" spans="13:22">
      <c r="M211" s="336"/>
      <c r="O211" s="336"/>
      <c r="Q211" s="336"/>
      <c r="R211" s="336"/>
      <c r="S211" s="336"/>
      <c r="T211" s="336"/>
      <c r="U211" s="336"/>
      <c r="V211" s="336"/>
    </row>
    <row r="212" spans="13:22">
      <c r="M212" s="336"/>
      <c r="O212" s="336"/>
      <c r="Q212" s="336"/>
      <c r="R212" s="336"/>
      <c r="S212" s="336"/>
      <c r="T212" s="336"/>
      <c r="U212" s="336"/>
      <c r="V212" s="336"/>
    </row>
    <row r="213" spans="13:22">
      <c r="M213" s="336"/>
      <c r="O213" s="336"/>
      <c r="Q213" s="336"/>
      <c r="R213" s="336"/>
      <c r="S213" s="336"/>
      <c r="T213" s="336"/>
      <c r="U213" s="336"/>
      <c r="V213" s="336"/>
    </row>
    <row r="214" spans="13:22">
      <c r="M214" s="336"/>
      <c r="O214" s="336"/>
      <c r="Q214" s="336"/>
      <c r="R214" s="336"/>
      <c r="S214" s="336"/>
      <c r="T214" s="336"/>
      <c r="U214" s="336"/>
      <c r="V214" s="336"/>
    </row>
    <row r="215" spans="13:22">
      <c r="M215" s="336"/>
      <c r="O215" s="336"/>
      <c r="Q215" s="336"/>
      <c r="R215" s="336"/>
      <c r="S215" s="336"/>
      <c r="T215" s="336"/>
      <c r="U215" s="336"/>
      <c r="V215" s="336"/>
    </row>
    <row r="216" spans="13:22">
      <c r="M216" s="336"/>
      <c r="O216" s="336"/>
      <c r="Q216" s="336"/>
      <c r="R216" s="336"/>
      <c r="S216" s="336"/>
      <c r="T216" s="336"/>
      <c r="U216" s="336"/>
      <c r="V216" s="336"/>
    </row>
    <row r="217" spans="13:22">
      <c r="M217" s="336"/>
      <c r="O217" s="336"/>
      <c r="Q217" s="336"/>
      <c r="R217" s="336"/>
      <c r="S217" s="336"/>
      <c r="T217" s="336"/>
      <c r="U217" s="336"/>
      <c r="V217" s="336"/>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28515625" style="292" customWidth="1"/>
    <col min="3" max="3" width="7.85546875" style="292" customWidth="1"/>
    <col min="4" max="4" width="8.28515625" style="292" customWidth="1"/>
    <col min="5" max="5" width="44.7109375" style="292" customWidth="1"/>
    <col min="6" max="6" width="15.140625" style="347" customWidth="1"/>
    <col min="7" max="8" width="5.85546875" style="293" customWidth="1"/>
    <col min="9" max="9" width="4.85546875" style="292" customWidth="1"/>
    <col min="10" max="10" width="13.28515625" style="292" customWidth="1"/>
    <col min="11" max="11" width="12.85546875" style="292" customWidth="1"/>
    <col min="12" max="15" width="13.42578125" style="292" customWidth="1"/>
    <col min="16" max="16" width="13.5703125" style="292" customWidth="1"/>
    <col min="17" max="17" width="13.28515625" style="292" customWidth="1"/>
    <col min="18" max="18" width="13.5703125" style="292" customWidth="1"/>
    <col min="19" max="19" width="11.42578125" style="292" customWidth="1"/>
    <col min="20" max="20" width="13.7109375" style="292" customWidth="1"/>
    <col min="21" max="21" width="4.42578125" style="292" customWidth="1"/>
    <col min="22" max="22" width="14.140625" style="292" customWidth="1"/>
    <col min="23" max="23" width="13.85546875" style="292" customWidth="1"/>
    <col min="24" max="24" width="5.42578125" style="292" customWidth="1"/>
    <col min="25" max="25" width="6.140625" style="292" customWidth="1"/>
    <col min="26" max="26" width="9.5703125" style="292" customWidth="1"/>
    <col min="27" max="27" width="9.7109375" style="292" customWidth="1"/>
    <col min="28" max="28" width="13" style="292" customWidth="1"/>
    <col min="29" max="29" width="12.85546875" style="292" customWidth="1"/>
    <col min="30" max="30" width="4.5703125" style="292" customWidth="1"/>
    <col min="31" max="31" width="13.85546875" style="292" customWidth="1"/>
    <col min="32" max="32" width="4.5703125" style="292" customWidth="1"/>
    <col min="33" max="33" width="13.85546875" style="292" customWidth="1"/>
    <col min="34" max="34" width="4.7109375" style="292" customWidth="1"/>
    <col min="35" max="35" width="12.5703125" style="292" customWidth="1"/>
    <col min="36" max="36" width="11.7109375" style="292" customWidth="1"/>
    <col min="37" max="37" width="5.28515625" style="292" customWidth="1"/>
    <col min="38" max="38" width="11.140625" style="292" customWidth="1"/>
    <col min="39" max="39" width="10.28515625" style="292" customWidth="1"/>
    <col min="40" max="40" width="9.5703125" style="292" customWidth="1"/>
    <col min="41" max="41" width="9.140625" style="292" customWidth="1"/>
    <col min="42" max="42" width="12.7109375" style="292" customWidth="1"/>
    <col min="43" max="43" width="12.5703125" style="292" customWidth="1"/>
    <col min="44" max="44" width="15.140625" style="292" customWidth="1"/>
    <col min="45" max="45" width="15.5703125" style="292" customWidth="1"/>
    <col min="46" max="47" width="10.85546875" style="292" customWidth="1"/>
    <col min="48" max="48" width="7" style="292" customWidth="1"/>
    <col min="49" max="49" width="7.7109375" style="292" customWidth="1"/>
    <col min="50" max="50" width="7.140625" style="292" customWidth="1"/>
    <col min="51" max="51" width="6.7109375" style="292" customWidth="1"/>
    <col min="52" max="52" width="14.7109375" style="292" customWidth="1"/>
    <col min="53" max="53" width="15.140625" style="292" customWidth="1"/>
    <col min="54" max="16384" width="9.140625" style="292"/>
  </cols>
  <sheetData>
    <row r="1" spans="1:53" ht="12.75" customHeight="1">
      <c r="A1" s="288"/>
      <c r="B1" s="289" t="s">
        <v>157</v>
      </c>
      <c r="C1" s="290"/>
      <c r="D1" s="290"/>
      <c r="E1" s="291"/>
      <c r="I1" s="290"/>
      <c r="K1" s="1081" t="s">
        <v>282</v>
      </c>
      <c r="L1" s="1081"/>
      <c r="M1" s="1081"/>
      <c r="N1" s="1081"/>
      <c r="O1" s="1081"/>
      <c r="P1" s="1081"/>
      <c r="Q1" s="1081"/>
      <c r="R1" s="291"/>
      <c r="T1" s="290"/>
      <c r="U1" s="290"/>
      <c r="V1" s="290"/>
      <c r="W1" s="290"/>
      <c r="X1" s="290"/>
      <c r="Y1" s="290"/>
      <c r="Z1" s="290"/>
      <c r="AA1" s="290"/>
      <c r="AB1" s="290"/>
      <c r="AC1" s="290"/>
      <c r="AD1" s="290"/>
      <c r="AE1" s="290"/>
      <c r="AF1" s="499"/>
      <c r="AG1" s="499"/>
      <c r="AH1" s="290"/>
      <c r="AI1" s="290"/>
      <c r="AJ1" s="290"/>
      <c r="AK1" s="290"/>
      <c r="AL1" s="290"/>
      <c r="AM1" s="290"/>
      <c r="AN1" s="290"/>
      <c r="AO1" s="290"/>
      <c r="AP1" s="291"/>
      <c r="AQ1" s="291"/>
      <c r="AR1" s="290"/>
      <c r="AS1" s="290"/>
      <c r="AT1" s="290"/>
      <c r="AU1" s="290"/>
      <c r="AV1" s="290"/>
      <c r="AW1" s="290"/>
      <c r="AX1" s="290"/>
      <c r="AY1" s="290"/>
      <c r="AZ1" s="290"/>
      <c r="BA1" s="290"/>
    </row>
    <row r="2" spans="1:53" ht="12.75" customHeight="1">
      <c r="A2" s="288"/>
      <c r="B2" s="289" t="s">
        <v>271</v>
      </c>
      <c r="C2" s="290"/>
      <c r="D2" s="290"/>
      <c r="E2" s="290"/>
      <c r="I2" s="294"/>
      <c r="K2" s="1082" t="s">
        <v>224</v>
      </c>
      <c r="L2" s="1082"/>
      <c r="M2" s="1082"/>
      <c r="N2" s="1082"/>
      <c r="O2" s="1082"/>
      <c r="P2" s="1082"/>
      <c r="Q2" s="1082"/>
      <c r="R2" s="295"/>
      <c r="T2" s="294"/>
      <c r="U2" s="294"/>
      <c r="V2" s="294"/>
      <c r="W2" s="294"/>
      <c r="X2" s="294"/>
      <c r="Y2" s="294"/>
      <c r="Z2" s="294"/>
      <c r="AA2" s="294"/>
      <c r="AB2" s="294"/>
      <c r="AC2" s="294"/>
      <c r="AD2" s="294"/>
      <c r="AE2" s="294"/>
      <c r="AF2" s="500"/>
      <c r="AG2" s="500"/>
      <c r="AH2" s="294"/>
      <c r="AI2" s="294"/>
      <c r="AJ2" s="294"/>
      <c r="AK2" s="294"/>
      <c r="AL2" s="294"/>
      <c r="AM2" s="294"/>
      <c r="AN2" s="294"/>
      <c r="AO2" s="294"/>
      <c r="AP2" s="295"/>
      <c r="AQ2" s="295"/>
      <c r="AR2" s="294"/>
      <c r="AS2" s="294"/>
      <c r="AT2" s="294"/>
      <c r="AU2" s="294"/>
      <c r="AV2" s="294"/>
      <c r="AW2" s="294"/>
      <c r="AX2" s="294"/>
      <c r="AY2" s="294"/>
      <c r="AZ2" s="294"/>
      <c r="BA2" s="294"/>
    </row>
    <row r="3" spans="1:53" ht="10.5" customHeight="1">
      <c r="A3" s="290"/>
      <c r="B3" s="290"/>
      <c r="C3" s="290"/>
      <c r="D3" s="290"/>
      <c r="E3" s="290"/>
      <c r="F3" s="348"/>
      <c r="G3" s="296"/>
      <c r="H3" s="296"/>
      <c r="I3" s="294"/>
      <c r="K3" s="1082"/>
      <c r="L3" s="1082"/>
      <c r="M3" s="1082"/>
      <c r="N3" s="1082"/>
      <c r="O3" s="1082"/>
      <c r="P3" s="1082"/>
      <c r="Q3" s="1082"/>
      <c r="R3" s="295"/>
      <c r="T3" s="294"/>
      <c r="U3" s="294"/>
      <c r="V3" s="294"/>
      <c r="W3" s="294"/>
      <c r="X3" s="294"/>
      <c r="Y3" s="294"/>
      <c r="Z3" s="294"/>
      <c r="AA3" s="294"/>
      <c r="AB3" s="294"/>
      <c r="AC3" s="294"/>
      <c r="AD3" s="294"/>
      <c r="AE3" s="294"/>
      <c r="AF3" s="500"/>
      <c r="AG3" s="500"/>
      <c r="AH3" s="294"/>
      <c r="AI3" s="294"/>
      <c r="AJ3" s="294"/>
      <c r="AK3" s="294"/>
      <c r="AL3" s="294"/>
      <c r="AM3" s="294"/>
      <c r="AN3" s="294"/>
      <c r="AO3" s="294"/>
      <c r="AP3" s="295"/>
      <c r="AQ3" s="295"/>
      <c r="AR3" s="294"/>
      <c r="AS3" s="294"/>
      <c r="AT3" s="294"/>
      <c r="AU3" s="294"/>
      <c r="AV3" s="294"/>
      <c r="AW3" s="294"/>
      <c r="AX3" s="294"/>
      <c r="AY3" s="294"/>
      <c r="AZ3" s="294"/>
      <c r="BA3" s="294"/>
    </row>
    <row r="4" spans="1:53" ht="19.5" customHeight="1">
      <c r="B4" s="1083" t="s">
        <v>147</v>
      </c>
      <c r="C4" s="1083"/>
      <c r="D4" s="1083"/>
      <c r="E4" s="1083"/>
      <c r="F4" s="1083"/>
      <c r="G4" s="1083"/>
      <c r="H4" s="1083"/>
      <c r="I4" s="1083"/>
      <c r="J4" s="1083"/>
      <c r="K4" s="1083"/>
      <c r="L4" s="1083"/>
      <c r="M4" s="1083"/>
      <c r="N4" s="1083"/>
      <c r="O4" s="1083"/>
      <c r="P4" s="1083"/>
      <c r="Q4" s="1083"/>
      <c r="R4" s="1083"/>
      <c r="S4" s="297"/>
      <c r="T4" s="299"/>
      <c r="U4" s="299"/>
      <c r="V4" s="299"/>
      <c r="W4" s="299"/>
      <c r="X4" s="299"/>
      <c r="Y4" s="299"/>
      <c r="Z4" s="299"/>
      <c r="AA4" s="299"/>
      <c r="AB4" s="299"/>
      <c r="AC4" s="299"/>
      <c r="AD4" s="299"/>
      <c r="AE4" s="299"/>
      <c r="AF4" s="299"/>
      <c r="AG4" s="299"/>
      <c r="AH4" s="299"/>
      <c r="AI4" s="299"/>
      <c r="AJ4" s="299"/>
      <c r="AK4" s="299"/>
      <c r="AL4" s="299"/>
      <c r="AM4" s="299"/>
      <c r="AN4" s="299"/>
      <c r="AO4" s="299"/>
      <c r="AP4" s="349"/>
      <c r="AQ4" s="349"/>
      <c r="AR4" s="299"/>
      <c r="AS4" s="299"/>
      <c r="AT4" s="299"/>
      <c r="AU4" s="299"/>
      <c r="AV4" s="299"/>
      <c r="AW4" s="299"/>
      <c r="AX4" s="299"/>
      <c r="AY4" s="299"/>
      <c r="AZ4" s="299"/>
      <c r="BA4" s="299"/>
    </row>
    <row r="5" spans="1:53" ht="15">
      <c r="B5" s="1084" t="s">
        <v>313</v>
      </c>
      <c r="C5" s="1084"/>
      <c r="D5" s="1084"/>
      <c r="E5" s="1084"/>
      <c r="F5" s="1084"/>
      <c r="G5" s="1084"/>
      <c r="H5" s="1084"/>
      <c r="I5" s="1084"/>
      <c r="J5" s="1084"/>
      <c r="K5" s="1084"/>
      <c r="L5" s="1084"/>
      <c r="M5" s="1084"/>
      <c r="N5" s="1084"/>
      <c r="O5" s="1084"/>
      <c r="P5" s="1084"/>
      <c r="Q5" s="1084"/>
      <c r="R5" s="1084"/>
      <c r="S5" s="300"/>
      <c r="AP5" s="300"/>
      <c r="AQ5" s="300"/>
    </row>
    <row r="7" spans="1:53" ht="13.5" customHeight="1">
      <c r="A7" s="1085" t="s">
        <v>46</v>
      </c>
      <c r="B7" s="1079" t="s">
        <v>27</v>
      </c>
      <c r="C7" s="1087" t="s">
        <v>1</v>
      </c>
      <c r="D7" s="1088"/>
      <c r="E7" s="1079" t="s">
        <v>0</v>
      </c>
      <c r="F7" s="1079" t="s">
        <v>148</v>
      </c>
      <c r="G7" s="1089" t="s">
        <v>149</v>
      </c>
      <c r="H7" s="1089"/>
      <c r="I7" s="1080" t="s">
        <v>46</v>
      </c>
      <c r="J7" s="1079" t="s">
        <v>284</v>
      </c>
      <c r="K7" s="1079"/>
      <c r="L7" s="1079" t="s">
        <v>285</v>
      </c>
      <c r="M7" s="1079"/>
      <c r="N7" s="1079" t="s">
        <v>466</v>
      </c>
      <c r="O7" s="1079"/>
      <c r="P7" s="1079" t="s">
        <v>286</v>
      </c>
      <c r="Q7" s="1079"/>
      <c r="R7" s="1079" t="s">
        <v>287</v>
      </c>
      <c r="S7" s="1079"/>
      <c r="T7" s="1079" t="s">
        <v>288</v>
      </c>
      <c r="U7" s="1079"/>
      <c r="V7" s="1079" t="s">
        <v>289</v>
      </c>
      <c r="W7" s="1079"/>
      <c r="X7" s="1079" t="s">
        <v>290</v>
      </c>
      <c r="Y7" s="1079"/>
      <c r="Z7" s="1079" t="s">
        <v>291</v>
      </c>
      <c r="AA7" s="1079"/>
      <c r="AB7" s="1079" t="s">
        <v>292</v>
      </c>
      <c r="AC7" s="1079"/>
      <c r="AD7" s="1079" t="s">
        <v>293</v>
      </c>
      <c r="AE7" s="1079"/>
      <c r="AF7" s="1079" t="s">
        <v>455</v>
      </c>
      <c r="AG7" s="1079"/>
      <c r="AH7" s="1079" t="s">
        <v>294</v>
      </c>
      <c r="AI7" s="1079"/>
      <c r="AJ7" s="1079" t="s">
        <v>295</v>
      </c>
      <c r="AK7" s="1079"/>
      <c r="AL7" s="1079" t="s">
        <v>296</v>
      </c>
      <c r="AM7" s="1079"/>
      <c r="AN7" s="1079" t="s">
        <v>297</v>
      </c>
      <c r="AO7" s="1079"/>
      <c r="AP7" s="1079" t="s">
        <v>298</v>
      </c>
      <c r="AQ7" s="1079"/>
      <c r="AR7" s="1079" t="s">
        <v>299</v>
      </c>
      <c r="AS7" s="1079"/>
      <c r="AT7" s="1079" t="s">
        <v>300</v>
      </c>
      <c r="AU7" s="1079"/>
      <c r="AV7" s="1079" t="s">
        <v>301</v>
      </c>
      <c r="AW7" s="1079"/>
      <c r="AX7" s="1079" t="s">
        <v>302</v>
      </c>
      <c r="AY7" s="1079"/>
      <c r="AZ7" s="1079" t="s">
        <v>303</v>
      </c>
      <c r="BA7" s="1079"/>
    </row>
    <row r="8" spans="1:53" ht="22.5" customHeight="1">
      <c r="A8" s="1086"/>
      <c r="B8" s="1079"/>
      <c r="C8" s="303" t="s">
        <v>20</v>
      </c>
      <c r="D8" s="302" t="s">
        <v>39</v>
      </c>
      <c r="E8" s="1079"/>
      <c r="F8" s="1079"/>
      <c r="G8" s="304" t="s">
        <v>29</v>
      </c>
      <c r="H8" s="304" t="s">
        <v>30</v>
      </c>
      <c r="I8" s="1080"/>
      <c r="J8" s="302" t="s">
        <v>29</v>
      </c>
      <c r="K8" s="302" t="s">
        <v>30</v>
      </c>
      <c r="L8" s="302" t="s">
        <v>29</v>
      </c>
      <c r="M8" s="302" t="s">
        <v>30</v>
      </c>
      <c r="N8" s="503" t="s">
        <v>29</v>
      </c>
      <c r="O8" s="503"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8" t="s">
        <v>29</v>
      </c>
      <c r="AG8" s="498"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75" customHeight="1">
      <c r="A10" s="63" t="str">
        <f t="array" ref="A10">IF(C10&lt;&gt;0,SUM(($C10:C$16&lt;&gt;0)*1),"")</f>
        <v/>
      </c>
      <c r="B10" s="307"/>
      <c r="C10" s="308"/>
      <c r="D10" s="307"/>
      <c r="E10" s="309" t="s">
        <v>262</v>
      </c>
      <c r="F10" s="310"/>
      <c r="G10" s="311"/>
      <c r="H10" s="311"/>
      <c r="I10" s="312"/>
      <c r="J10" s="313">
        <f ca="1">'SC-II'!J156</f>
        <v>1332078410</v>
      </c>
      <c r="K10" s="313">
        <f ca="1">'SC-II'!K156</f>
        <v>0</v>
      </c>
      <c r="L10" s="313">
        <f ca="1">'SC-II'!L156</f>
        <v>1694774692</v>
      </c>
      <c r="M10" s="313">
        <f ca="1">'SC-II'!M156</f>
        <v>0</v>
      </c>
      <c r="N10" s="313">
        <f ca="1">'SC-II'!N156</f>
        <v>0</v>
      </c>
      <c r="O10" s="313">
        <f ca="1">'SC-II'!O156</f>
        <v>0</v>
      </c>
      <c r="P10" s="313">
        <f ca="1">'SC-II'!P156</f>
        <v>452614594</v>
      </c>
      <c r="Q10" s="313">
        <f ca="1">'SC-II'!Q156</f>
        <v>0</v>
      </c>
      <c r="R10" s="313">
        <f ca="1">'SC-II'!R156</f>
        <v>0</v>
      </c>
      <c r="S10" s="313">
        <f ca="1">'SC-II'!S156</f>
        <v>0</v>
      </c>
      <c r="T10" s="313">
        <f ca="1">'SC-II'!T156</f>
        <v>22610074302</v>
      </c>
      <c r="U10" s="313">
        <f ca="1">'SC-II'!U156</f>
        <v>0</v>
      </c>
      <c r="V10" s="313">
        <f ca="1">'SC-II'!V156</f>
        <v>4299540884</v>
      </c>
      <c r="W10" s="313">
        <f ca="1">'SC-II'!W156</f>
        <v>0</v>
      </c>
      <c r="X10" s="313">
        <f ca="1">'SC-II'!X156</f>
        <v>0</v>
      </c>
      <c r="Y10" s="313">
        <f ca="1">'SC-II'!Y156</f>
        <v>0</v>
      </c>
      <c r="Z10" s="313">
        <f ca="1">'SC-II'!Z156</f>
        <v>0</v>
      </c>
      <c r="AA10" s="313">
        <f ca="1">'SC-II'!AA156</f>
        <v>0</v>
      </c>
      <c r="AB10" s="313">
        <f ca="1">'SC-II'!AB156</f>
        <v>0</v>
      </c>
      <c r="AC10" s="313">
        <f ca="1">'SC-II'!AC156</f>
        <v>5000000000</v>
      </c>
      <c r="AD10" s="313">
        <f ca="1">'SC-II'!AD156</f>
        <v>0</v>
      </c>
      <c r="AE10" s="313">
        <f ca="1">'SC-II'!AE156</f>
        <v>20000000000</v>
      </c>
      <c r="AF10" s="313">
        <f ca="1">'SC-II'!AF156</f>
        <v>0</v>
      </c>
      <c r="AG10" s="313">
        <f ca="1">'SC-II'!AG156</f>
        <v>1982640000</v>
      </c>
      <c r="AH10" s="313">
        <f ca="1">'SC-II'!AH156</f>
        <v>0</v>
      </c>
      <c r="AI10" s="313">
        <f ca="1">'SC-II'!AI156</f>
        <v>4000000000</v>
      </c>
      <c r="AJ10" s="313">
        <f ca="1">'SC-II'!AJ156</f>
        <v>583066238</v>
      </c>
      <c r="AK10" s="313">
        <f ca="1">'SC-II'!AK156</f>
        <v>0</v>
      </c>
      <c r="AL10" s="313">
        <f ca="1">'SC-II'!AL156</f>
        <v>44146223</v>
      </c>
      <c r="AM10" s="313">
        <f ca="1">'SC-II'!AM156</f>
        <v>0</v>
      </c>
      <c r="AN10" s="313">
        <f ca="1">'SC-II'!AN156</f>
        <v>0</v>
      </c>
      <c r="AO10" s="313">
        <f ca="1">'SC-II'!AO156</f>
        <v>0</v>
      </c>
      <c r="AP10" s="313">
        <f ca="1">'SC-II'!AP156</f>
        <v>0</v>
      </c>
      <c r="AQ10" s="313">
        <f ca="1">'SC-II'!AQ156</f>
        <v>0</v>
      </c>
      <c r="AR10" s="313">
        <f ca="1">'SC-II'!AR156</f>
        <v>0</v>
      </c>
      <c r="AS10" s="313">
        <f ca="1">'SC-II'!AS156</f>
        <v>0</v>
      </c>
      <c r="AT10" s="313">
        <f ca="1">'SC-II'!AT156</f>
        <v>0</v>
      </c>
      <c r="AU10" s="313">
        <f ca="1">'SC-II'!AU156</f>
        <v>0</v>
      </c>
      <c r="AV10" s="313">
        <f ca="1">'SC-II'!AV156</f>
        <v>0</v>
      </c>
      <c r="AW10" s="313">
        <f ca="1">'SC-II'!AW156</f>
        <v>0</v>
      </c>
      <c r="AX10" s="313">
        <f ca="1">'SC-II'!AX156</f>
        <v>0</v>
      </c>
      <c r="AY10" s="313">
        <f ca="1">'SC-II'!AY156</f>
        <v>0</v>
      </c>
      <c r="AZ10" s="313">
        <f ca="1">'SC-II'!AZ156</f>
        <v>0</v>
      </c>
      <c r="BA10" s="313">
        <f ca="1">'SC-II'!BA156</f>
        <v>33655343</v>
      </c>
    </row>
    <row r="11" spans="1:53" s="314" customFormat="1" ht="15.75" customHeight="1">
      <c r="A11" s="63">
        <f t="array" aca="1" ref="A11" ca="1">IF(C11&lt;&gt;0,SUM(($C$11:C11&lt;&gt;0)*1),"")</f>
        <v>1</v>
      </c>
      <c r="B11" s="315" t="str">
        <f ca="1">IF(ROWS($1:1)&gt;COUNT(Dong8),"",OFFSET(TH!C$1,SMALL(Dong8,ROWS($1:1)),))</f>
        <v/>
      </c>
      <c r="C11" s="315" t="str">
        <f ca="1">IF(ROWS($1:1)&gt;COUNT(Dong8),"",OFFSET(TH!D$1,SMALL(Dong8,ROWS($1:1)),))</f>
        <v/>
      </c>
      <c r="D11" s="315" t="str">
        <f ca="1">IF(ROWS($1:1)&gt;COUNT(Dong8),"",OFFSET(TH!E$1,SMALL(Dong8,ROWS($1:1)),))</f>
        <v/>
      </c>
      <c r="E11" s="433" t="str">
        <f ca="1">IF(ROWS($1:1)&gt;COUNT(Dong8),"",OFFSET(TH!F$1,SMALL(Dong8,ROWS($1:1)),))</f>
        <v/>
      </c>
      <c r="F11" s="371" t="str">
        <f ca="1">IF(ROWS($1:1)&gt;COUNT(Dong8),"",OFFSET(TH!M$1,SMALL(Dong8,ROWS($1:1)),))</f>
        <v/>
      </c>
      <c r="G11" s="373" t="str">
        <f ca="1">IF(ROWS($1:1)&gt;COUNT(Dong8),"",OFFSET(TH!N$1,SMALL(Dong8,ROWS($1:1)),))</f>
        <v/>
      </c>
      <c r="H11" s="373" t="str">
        <f ca="1">IF(ROWS($1:1)&gt;COUNT(Dong8),"",OFFSET(TH!O$1,SMALL(Dong8,ROWS($1:1)),))</f>
        <v/>
      </c>
      <c r="I11" s="63">
        <f t="shared" ref="I11:I26"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7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7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7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7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7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7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7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7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7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7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75" customHeight="1">
      <c r="A22" s="63" t="str">
        <f t="array" ref="A22">IF(C22&lt;&gt;0,SUM(($C$11:C22&lt;&gt;0)*1),"")</f>
        <v/>
      </c>
      <c r="B22" s="315"/>
      <c r="C22" s="315"/>
      <c r="D22" s="315"/>
      <c r="E22" s="433"/>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75" customHeight="1">
      <c r="A23" s="63" t="str">
        <f t="array" ref="A23">IF(C23&lt;&gt;0,SUM(($C$11:C23&lt;&gt;0)*1),"")</f>
        <v/>
      </c>
      <c r="B23" s="315"/>
      <c r="C23" s="315"/>
      <c r="D23" s="315"/>
      <c r="E23" s="433"/>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75" customHeight="1">
      <c r="A24" s="63" t="str">
        <f t="array" ref="A24">IF(C24&lt;&gt;0,SUM(($C$11:C24&lt;&gt;0)*1),"")</f>
        <v/>
      </c>
      <c r="B24" s="315"/>
      <c r="C24" s="315"/>
      <c r="D24" s="315"/>
      <c r="E24" s="433"/>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75" customHeight="1">
      <c r="A25" s="63" t="str">
        <f t="array" ref="A25">IF(C25&lt;&gt;0,SUM(($C$11:C25&lt;&gt;0)*1),"")</f>
        <v/>
      </c>
      <c r="B25" s="315"/>
      <c r="C25" s="315"/>
      <c r="D25" s="315"/>
      <c r="E25" s="433"/>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75" customHeight="1">
      <c r="A26" s="63" t="str">
        <f t="array" ref="A26">IF(C26&lt;&gt;0,SUM(($C$11:C26&lt;&gt;0)*1),"")</f>
        <v/>
      </c>
      <c r="B26" s="315"/>
      <c r="C26" s="315"/>
      <c r="D26" s="315"/>
      <c r="E26" s="433"/>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75" customHeight="1">
      <c r="A27" s="63" t="str">
        <f t="array" ref="A27">IF(C27&lt;&gt;0,SUM(($C$11:C27&lt;&gt;0)*1),"")</f>
        <v/>
      </c>
      <c r="B27" s="315"/>
      <c r="C27" s="315"/>
      <c r="D27" s="315"/>
      <c r="E27" s="433"/>
      <c r="F27" s="371"/>
      <c r="G27" s="373"/>
      <c r="H27" s="373"/>
      <c r="I27" s="63" t="str">
        <f>A27</f>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75" customHeight="1">
      <c r="A28" s="63" t="str">
        <f t="array" ref="A28">IF(C28&lt;&gt;0,SUM(($C$11:C28&lt;&gt;0)*1),"")</f>
        <v/>
      </c>
      <c r="B28" s="315"/>
      <c r="C28" s="315"/>
      <c r="D28" s="315"/>
      <c r="E28" s="433"/>
      <c r="F28" s="371"/>
      <c r="G28" s="373"/>
      <c r="H28" s="373"/>
      <c r="I28" s="63" t="str">
        <f t="shared" ref="I28:I91" si="45">A28</f>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75" customHeight="1">
      <c r="A29" s="63" t="str">
        <f t="array" ref="A29">IF(C29&lt;&gt;0,SUM(($C$11:C29&lt;&gt;0)*1),"")</f>
        <v/>
      </c>
      <c r="B29" s="315"/>
      <c r="C29" s="315"/>
      <c r="D29" s="315"/>
      <c r="E29" s="433"/>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75" customHeight="1">
      <c r="A30" s="63" t="str">
        <f t="array" ref="A30">IF(C30&lt;&gt;0,SUM(($C$11:C30&lt;&gt;0)*1),"")</f>
        <v/>
      </c>
      <c r="B30" s="315"/>
      <c r="C30" s="315"/>
      <c r="D30" s="315"/>
      <c r="E30" s="433"/>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75" customHeight="1">
      <c r="A31" s="63" t="str">
        <f t="array" ref="A31">IF(C31&lt;&gt;0,SUM(($C$11:C31&lt;&gt;0)*1),"")</f>
        <v/>
      </c>
      <c r="B31" s="315"/>
      <c r="C31" s="315"/>
      <c r="D31" s="315"/>
      <c r="E31" s="433"/>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75" customHeight="1">
      <c r="A32" s="63" t="str">
        <f t="array" ref="A32">IF(C32&lt;&gt;0,SUM(($C$11:C32&lt;&gt;0)*1),"")</f>
        <v/>
      </c>
      <c r="B32" s="315"/>
      <c r="C32" s="315"/>
      <c r="D32" s="315"/>
      <c r="E32" s="433"/>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75" customHeight="1">
      <c r="A33" s="63" t="str">
        <f t="array" ref="A33">IF(C33&lt;&gt;0,SUM(($C$11:C33&lt;&gt;0)*1),"")</f>
        <v/>
      </c>
      <c r="B33" s="315"/>
      <c r="C33" s="315"/>
      <c r="D33" s="315"/>
      <c r="E33" s="433"/>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75" customHeight="1">
      <c r="A34" s="63" t="str">
        <f t="array" ref="A34">IF(C34&lt;&gt;0,SUM(($C$11:C34&lt;&gt;0)*1),"")</f>
        <v/>
      </c>
      <c r="B34" s="315"/>
      <c r="C34" s="315"/>
      <c r="D34" s="315"/>
      <c r="E34" s="433"/>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75" customHeight="1">
      <c r="A35" s="63" t="str">
        <f t="array" ref="A35">IF(C35&lt;&gt;0,SUM(($C$11:C35&lt;&gt;0)*1),"")</f>
        <v/>
      </c>
      <c r="B35" s="315"/>
      <c r="C35" s="315"/>
      <c r="D35" s="315"/>
      <c r="E35" s="433"/>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75" customHeight="1">
      <c r="A36" s="63" t="str">
        <f t="array" ref="A36">IF(C36&lt;&gt;0,SUM(($C$11:C36&lt;&gt;0)*1),"")</f>
        <v/>
      </c>
      <c r="B36" s="315"/>
      <c r="C36" s="315"/>
      <c r="D36" s="315"/>
      <c r="E36" s="433"/>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75" customHeight="1">
      <c r="A37" s="63" t="str">
        <f t="array" ref="A37">IF(C37&lt;&gt;0,SUM(($C$11:C37&lt;&gt;0)*1),"")</f>
        <v/>
      </c>
      <c r="B37" s="315"/>
      <c r="C37" s="315"/>
      <c r="D37" s="315"/>
      <c r="E37" s="433"/>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75" customHeight="1">
      <c r="A38" s="63" t="str">
        <f t="array" ref="A38">IF(C38&lt;&gt;0,SUM(($C$11:C38&lt;&gt;0)*1),"")</f>
        <v/>
      </c>
      <c r="B38" s="315"/>
      <c r="C38" s="315"/>
      <c r="D38" s="315"/>
      <c r="E38" s="433"/>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75" customHeight="1">
      <c r="A39" s="63" t="str">
        <f t="array" ref="A39">IF(C39&lt;&gt;0,SUM(($C$11:C39&lt;&gt;0)*1),"")</f>
        <v/>
      </c>
      <c r="B39" s="315"/>
      <c r="C39" s="315"/>
      <c r="D39" s="315"/>
      <c r="E39" s="433"/>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75" customHeight="1">
      <c r="A40" s="63" t="str">
        <f t="array" ref="A40">IF(C40&lt;&gt;0,SUM(($C$11:C40&lt;&gt;0)*1),"")</f>
        <v/>
      </c>
      <c r="B40" s="315"/>
      <c r="C40" s="315"/>
      <c r="D40" s="315"/>
      <c r="E40" s="433"/>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75" customHeight="1">
      <c r="A41" s="63" t="str">
        <f t="array" ref="A41">IF(C41&lt;&gt;0,SUM(($C$11:C41&lt;&gt;0)*1),"")</f>
        <v/>
      </c>
      <c r="B41" s="315"/>
      <c r="C41" s="315"/>
      <c r="D41" s="315"/>
      <c r="E41" s="433"/>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75" customHeight="1">
      <c r="A42" s="63" t="str">
        <f t="array" ref="A42">IF(C42&lt;&gt;0,SUM(($C$11:C42&lt;&gt;0)*1),"")</f>
        <v/>
      </c>
      <c r="B42" s="315"/>
      <c r="C42" s="315"/>
      <c r="D42" s="315"/>
      <c r="E42" s="433"/>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75" customHeight="1">
      <c r="A43" s="63" t="str">
        <f t="array" ref="A43">IF(C43&lt;&gt;0,SUM(($C$11:C43&lt;&gt;0)*1),"")</f>
        <v/>
      </c>
      <c r="B43" s="315"/>
      <c r="C43" s="315"/>
      <c r="D43" s="315"/>
      <c r="E43" s="433"/>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75" customHeight="1">
      <c r="A44" s="63" t="str">
        <f t="array" ref="A44">IF(C44&lt;&gt;0,SUM(($C$11:C44&lt;&gt;0)*1),"")</f>
        <v/>
      </c>
      <c r="B44" s="315"/>
      <c r="C44" s="315"/>
      <c r="D44" s="315"/>
      <c r="E44" s="433"/>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75" customHeight="1">
      <c r="A45" s="63" t="str">
        <f t="array" ref="A45">IF(C45&lt;&gt;0,SUM(($C$11:C45&lt;&gt;0)*1),"")</f>
        <v/>
      </c>
      <c r="B45" s="315"/>
      <c r="C45" s="315"/>
      <c r="D45" s="315"/>
      <c r="E45" s="433"/>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75" customHeight="1">
      <c r="A46" s="63" t="str">
        <f t="array" ref="A46">IF(C46&lt;&gt;0,SUM(($C$11:C46&lt;&gt;0)*1),"")</f>
        <v/>
      </c>
      <c r="B46" s="315"/>
      <c r="C46" s="315"/>
      <c r="D46" s="315"/>
      <c r="E46" s="433"/>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75" customHeight="1">
      <c r="A47" s="63" t="str">
        <f t="array" ref="A47">IF(C47&lt;&gt;0,SUM(($C$11:C47&lt;&gt;0)*1),"")</f>
        <v/>
      </c>
      <c r="B47" s="315"/>
      <c r="C47" s="315"/>
      <c r="D47" s="315"/>
      <c r="E47" s="433"/>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75" customHeight="1">
      <c r="A48" s="63" t="str">
        <f t="array" ref="A48">IF(C48&lt;&gt;0,SUM(($C$11:C48&lt;&gt;0)*1),"")</f>
        <v/>
      </c>
      <c r="B48" s="315"/>
      <c r="C48" s="315"/>
      <c r="D48" s="315"/>
      <c r="E48" s="433"/>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75" customHeight="1">
      <c r="A49" s="63" t="str">
        <f t="array" ref="A49">IF(C49&lt;&gt;0,SUM(($C$11:C49&lt;&gt;0)*1),"")</f>
        <v/>
      </c>
      <c r="B49" s="315"/>
      <c r="C49" s="315"/>
      <c r="D49" s="315"/>
      <c r="E49" s="433"/>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75" customHeight="1">
      <c r="A50" s="63" t="str">
        <f t="array" ref="A50">IF(C50&lt;&gt;0,SUM(($C$11:C50&lt;&gt;0)*1),"")</f>
        <v/>
      </c>
      <c r="B50" s="315"/>
      <c r="C50" s="315"/>
      <c r="D50" s="315"/>
      <c r="E50" s="433"/>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75" customHeight="1">
      <c r="A51" s="63" t="str">
        <f t="array" ref="A51">IF(C51&lt;&gt;0,SUM(($C$11:C51&lt;&gt;0)*1),"")</f>
        <v/>
      </c>
      <c r="B51" s="315"/>
      <c r="C51" s="315"/>
      <c r="D51" s="315"/>
      <c r="E51" s="433"/>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75" customHeight="1">
      <c r="A52" s="63" t="str">
        <f t="array" ref="A52">IF(C52&lt;&gt;0,SUM(($C$11:C52&lt;&gt;0)*1),"")</f>
        <v/>
      </c>
      <c r="B52" s="315"/>
      <c r="C52" s="315"/>
      <c r="D52" s="315"/>
      <c r="E52" s="433"/>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75" customHeight="1">
      <c r="A53" s="63" t="str">
        <f t="array" ref="A53">IF(C53&lt;&gt;0,SUM(($C$11:C53&lt;&gt;0)*1),"")</f>
        <v/>
      </c>
      <c r="B53" s="315"/>
      <c r="C53" s="315"/>
      <c r="D53" s="315"/>
      <c r="E53" s="433"/>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75" customHeight="1">
      <c r="A54" s="63" t="str">
        <f t="array" ref="A54">IF(C54&lt;&gt;0,SUM(($C$11:C54&lt;&gt;0)*1),"")</f>
        <v/>
      </c>
      <c r="B54" s="315"/>
      <c r="C54" s="315"/>
      <c r="D54" s="315"/>
      <c r="E54" s="433"/>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75" customHeight="1">
      <c r="A55" s="63" t="str">
        <f t="array" ref="A55">IF(C55&lt;&gt;0,SUM(($C$11:C55&lt;&gt;0)*1),"")</f>
        <v/>
      </c>
      <c r="B55" s="315"/>
      <c r="C55" s="315"/>
      <c r="D55" s="315"/>
      <c r="E55" s="433"/>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75" customHeight="1">
      <c r="A56" s="63" t="str">
        <f t="array" ref="A56">IF(C56&lt;&gt;0,SUM(($C$11:C56&lt;&gt;0)*1),"")</f>
        <v/>
      </c>
      <c r="B56" s="315"/>
      <c r="C56" s="315"/>
      <c r="D56" s="315"/>
      <c r="E56" s="433"/>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75" customHeight="1">
      <c r="A57" s="63" t="str">
        <f t="array" ref="A57">IF(C57&lt;&gt;0,SUM(($C$11:C57&lt;&gt;0)*1),"")</f>
        <v/>
      </c>
      <c r="B57" s="315"/>
      <c r="C57" s="315"/>
      <c r="D57" s="315"/>
      <c r="E57" s="433"/>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75" customHeight="1">
      <c r="A58" s="63" t="str">
        <f t="array" ref="A58">IF(C58&lt;&gt;0,SUM(($C$11:C58&lt;&gt;0)*1),"")</f>
        <v/>
      </c>
      <c r="B58" s="315"/>
      <c r="C58" s="315"/>
      <c r="D58" s="315"/>
      <c r="E58" s="433"/>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75" customHeight="1">
      <c r="A59" s="63" t="str">
        <f t="array" ref="A59">IF(C59&lt;&gt;0,SUM(($C$11:C59&lt;&gt;0)*1),"")</f>
        <v/>
      </c>
      <c r="B59" s="315"/>
      <c r="C59" s="315"/>
      <c r="D59" s="315"/>
      <c r="E59" s="433"/>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75" customHeight="1">
      <c r="A60" s="63" t="str">
        <f t="array" ref="A60">IF(C60&lt;&gt;0,SUM(($C$11:C60&lt;&gt;0)*1),"")</f>
        <v/>
      </c>
      <c r="B60" s="315"/>
      <c r="C60" s="315"/>
      <c r="D60" s="315"/>
      <c r="E60" s="433"/>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75" customHeight="1">
      <c r="A61" s="63" t="str">
        <f t="array" ref="A61">IF(C61&lt;&gt;0,SUM(($C$11:C61&lt;&gt;0)*1),"")</f>
        <v/>
      </c>
      <c r="B61" s="315"/>
      <c r="C61" s="315"/>
      <c r="D61" s="315"/>
      <c r="E61" s="433"/>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75" customHeight="1">
      <c r="A62" s="63" t="str">
        <f t="array" ref="A62">IF(C62&lt;&gt;0,SUM(($C$11:C62&lt;&gt;0)*1),"")</f>
        <v/>
      </c>
      <c r="B62" s="315"/>
      <c r="C62" s="315"/>
      <c r="D62" s="315"/>
      <c r="E62" s="433"/>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75" customHeight="1">
      <c r="A63" s="63" t="str">
        <f t="array" ref="A63">IF(C63&lt;&gt;0,SUM(($C$11:C63&lt;&gt;0)*1),"")</f>
        <v/>
      </c>
      <c r="B63" s="315"/>
      <c r="C63" s="315"/>
      <c r="D63" s="315"/>
      <c r="E63" s="433"/>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75" customHeight="1">
      <c r="A64" s="63" t="str">
        <f t="array" ref="A64">IF(C64&lt;&gt;0,SUM(($C$11:C64&lt;&gt;0)*1),"")</f>
        <v/>
      </c>
      <c r="B64" s="315"/>
      <c r="C64" s="315"/>
      <c r="D64" s="315"/>
      <c r="E64" s="433"/>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75" customHeight="1">
      <c r="A65" s="63" t="str">
        <f t="array" ref="A65">IF(C65&lt;&gt;0,SUM(($C$11:C65&lt;&gt;0)*1),"")</f>
        <v/>
      </c>
      <c r="B65" s="315"/>
      <c r="C65" s="315"/>
      <c r="D65" s="315"/>
      <c r="E65" s="433"/>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75" customHeight="1">
      <c r="A66" s="63" t="str">
        <f t="array" ref="A66">IF(C66&lt;&gt;0,SUM(($C$11:C66&lt;&gt;0)*1),"")</f>
        <v/>
      </c>
      <c r="B66" s="315"/>
      <c r="C66" s="315"/>
      <c r="D66" s="315"/>
      <c r="E66" s="433"/>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75" customHeight="1">
      <c r="A67" s="63" t="str">
        <f t="array" ref="A67">IF(C67&lt;&gt;0,SUM(($C$11:C67&lt;&gt;0)*1),"")</f>
        <v/>
      </c>
      <c r="B67" s="315"/>
      <c r="C67" s="315"/>
      <c r="D67" s="315"/>
      <c r="E67" s="433"/>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75" customHeight="1">
      <c r="A68" s="63" t="str">
        <f t="array" ref="A68">IF(C68&lt;&gt;0,SUM(($C$11:C68&lt;&gt;0)*1),"")</f>
        <v/>
      </c>
      <c r="B68" s="315"/>
      <c r="C68" s="315"/>
      <c r="D68" s="315"/>
      <c r="E68" s="433"/>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75" customHeight="1">
      <c r="A69" s="63" t="str">
        <f t="array" ref="A69">IF(C69&lt;&gt;0,SUM(($C$11:C69&lt;&gt;0)*1),"")</f>
        <v/>
      </c>
      <c r="B69" s="315"/>
      <c r="C69" s="315"/>
      <c r="D69" s="315"/>
      <c r="E69" s="433"/>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75" customHeight="1">
      <c r="A70" s="63" t="str">
        <f t="array" ref="A70">IF(C70&lt;&gt;0,SUM(($C$11:C70&lt;&gt;0)*1),"")</f>
        <v/>
      </c>
      <c r="B70" s="315"/>
      <c r="C70" s="315"/>
      <c r="D70" s="315"/>
      <c r="E70" s="433"/>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75" customHeight="1">
      <c r="A71" s="63" t="str">
        <f t="array" ref="A71">IF(C71&lt;&gt;0,SUM(($C$11:C71&lt;&gt;0)*1),"")</f>
        <v/>
      </c>
      <c r="B71" s="315"/>
      <c r="C71" s="315"/>
      <c r="D71" s="315"/>
      <c r="E71" s="433"/>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75" customHeight="1">
      <c r="A72" s="63" t="str">
        <f t="array" ref="A72">IF(C72&lt;&gt;0,SUM(($C$11:C72&lt;&gt;0)*1),"")</f>
        <v/>
      </c>
      <c r="B72" s="315"/>
      <c r="C72" s="315"/>
      <c r="D72" s="315"/>
      <c r="E72" s="433"/>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75" customHeight="1">
      <c r="A73" s="63" t="str">
        <f t="array" ref="A73">IF(C73&lt;&gt;0,SUM(($C$11:C73&lt;&gt;0)*1),"")</f>
        <v/>
      </c>
      <c r="B73" s="315"/>
      <c r="C73" s="315"/>
      <c r="D73" s="315"/>
      <c r="E73" s="433"/>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75" customHeight="1">
      <c r="A74" s="63" t="str">
        <f t="array" ref="A74">IF(C74&lt;&gt;0,SUM(($C$11:C74&lt;&gt;0)*1),"")</f>
        <v/>
      </c>
      <c r="B74" s="315"/>
      <c r="C74" s="315"/>
      <c r="D74" s="315"/>
      <c r="E74" s="433"/>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75" customHeight="1">
      <c r="A75" s="63" t="str">
        <f t="array" ref="A75">IF(C75&lt;&gt;0,SUM(($C$11:C75&lt;&gt;0)*1),"")</f>
        <v/>
      </c>
      <c r="B75" s="315"/>
      <c r="C75" s="315"/>
      <c r="D75" s="315"/>
      <c r="E75" s="433"/>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75" customHeight="1">
      <c r="A76" s="63" t="str">
        <f t="array" ref="A76">IF(C76&lt;&gt;0,SUM(($C$11:C76&lt;&gt;0)*1),"")</f>
        <v/>
      </c>
      <c r="B76" s="315"/>
      <c r="C76" s="315"/>
      <c r="D76" s="315"/>
      <c r="E76" s="433"/>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75" customHeight="1">
      <c r="A77" s="63" t="str">
        <f t="array" ref="A77">IF(C77&lt;&gt;0,SUM(($C$11:C77&lt;&gt;0)*1),"")</f>
        <v/>
      </c>
      <c r="B77" s="315"/>
      <c r="C77" s="315"/>
      <c r="D77" s="315"/>
      <c r="E77" s="433"/>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75" customHeight="1">
      <c r="A78" s="63" t="str">
        <f t="array" ref="A78">IF(C78&lt;&gt;0,SUM(($C$11:C78&lt;&gt;0)*1),"")</f>
        <v/>
      </c>
      <c r="B78" s="315"/>
      <c r="C78" s="315"/>
      <c r="D78" s="315"/>
      <c r="E78" s="433"/>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75" customHeight="1">
      <c r="A79" s="63" t="str">
        <f t="array" ref="A79">IF(C79&lt;&gt;0,SUM(($C$11:C79&lt;&gt;0)*1),"")</f>
        <v/>
      </c>
      <c r="B79" s="315"/>
      <c r="C79" s="315"/>
      <c r="D79" s="315"/>
      <c r="E79" s="433"/>
      <c r="F79" s="371"/>
      <c r="G79" s="373"/>
      <c r="H79" s="373"/>
      <c r="I79" s="63" t="str">
        <f t="shared" si="45"/>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75" customHeight="1">
      <c r="A80" s="63" t="str">
        <f t="array" ref="A80">IF(C80&lt;&gt;0,SUM(($C$11:C80&lt;&gt;0)*1),"")</f>
        <v/>
      </c>
      <c r="B80" s="315"/>
      <c r="C80" s="315"/>
      <c r="D80" s="315"/>
      <c r="E80" s="433"/>
      <c r="F80" s="371"/>
      <c r="G80" s="373"/>
      <c r="H80" s="373"/>
      <c r="I80" s="63" t="str">
        <f t="shared" si="45"/>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75" customHeight="1">
      <c r="A81" s="63" t="str">
        <f t="array" ref="A81">IF(C81&lt;&gt;0,SUM(($C$11:C81&lt;&gt;0)*1),"")</f>
        <v/>
      </c>
      <c r="B81" s="315"/>
      <c r="C81" s="315"/>
      <c r="D81" s="315"/>
      <c r="E81" s="433"/>
      <c r="F81" s="371"/>
      <c r="G81" s="373"/>
      <c r="H81" s="373"/>
      <c r="I81" s="63" t="str">
        <f t="shared" si="45"/>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75" customHeight="1">
      <c r="A82" s="63" t="str">
        <f t="array" ref="A82">IF(C82&lt;&gt;0,SUM(($C$11:C82&lt;&gt;0)*1),"")</f>
        <v/>
      </c>
      <c r="B82" s="315"/>
      <c r="C82" s="315"/>
      <c r="D82" s="315"/>
      <c r="E82" s="433"/>
      <c r="F82" s="371"/>
      <c r="G82" s="373"/>
      <c r="H82" s="373"/>
      <c r="I82" s="63" t="str">
        <f t="shared" si="45"/>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75" customHeight="1">
      <c r="A83" s="63" t="str">
        <f t="array" ref="A83">IF(C83&lt;&gt;0,SUM(($C$11:C83&lt;&gt;0)*1),"")</f>
        <v/>
      </c>
      <c r="B83" s="315"/>
      <c r="C83" s="315"/>
      <c r="D83" s="315"/>
      <c r="E83" s="433"/>
      <c r="F83" s="371"/>
      <c r="G83" s="373"/>
      <c r="H83" s="373"/>
      <c r="I83" s="63" t="str">
        <f t="shared" si="45"/>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75" customHeight="1">
      <c r="A84" s="63" t="str">
        <f t="array" ref="A84">IF(C84&lt;&gt;0,SUM(($C$11:C84&lt;&gt;0)*1),"")</f>
        <v/>
      </c>
      <c r="B84" s="315"/>
      <c r="C84" s="315"/>
      <c r="D84" s="315"/>
      <c r="E84" s="433"/>
      <c r="F84" s="371"/>
      <c r="G84" s="373"/>
      <c r="H84" s="373"/>
      <c r="I84" s="63" t="str">
        <f t="shared" si="45"/>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75" customHeight="1">
      <c r="A85" s="63" t="str">
        <f t="array" ref="A85">IF(C85&lt;&gt;0,SUM(($C$11:C85&lt;&gt;0)*1),"")</f>
        <v/>
      </c>
      <c r="B85" s="315"/>
      <c r="C85" s="315"/>
      <c r="D85" s="315"/>
      <c r="E85" s="433"/>
      <c r="F85" s="371"/>
      <c r="G85" s="373"/>
      <c r="H85" s="373"/>
      <c r="I85" s="63" t="str">
        <f t="shared" si="45"/>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75" customHeight="1">
      <c r="A86" s="63" t="str">
        <f t="array" ref="A86">IF(C86&lt;&gt;0,SUM(($C$11:C86&lt;&gt;0)*1),"")</f>
        <v/>
      </c>
      <c r="B86" s="315"/>
      <c r="C86" s="315"/>
      <c r="D86" s="315"/>
      <c r="E86" s="433"/>
      <c r="F86" s="371"/>
      <c r="G86" s="373"/>
      <c r="H86" s="373"/>
      <c r="I86" s="63" t="str">
        <f t="shared" si="45"/>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75" customHeight="1">
      <c r="A87" s="63" t="str">
        <f t="array" ref="A87">IF(C87&lt;&gt;0,SUM(($C$11:C87&lt;&gt;0)*1),"")</f>
        <v/>
      </c>
      <c r="B87" s="315"/>
      <c r="C87" s="315"/>
      <c r="D87" s="315"/>
      <c r="E87" s="433"/>
      <c r="F87" s="371"/>
      <c r="G87" s="373"/>
      <c r="H87" s="373"/>
      <c r="I87" s="63" t="str">
        <f t="shared" si="45"/>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75" customHeight="1">
      <c r="A88" s="63" t="str">
        <f t="array" ref="A88">IF(C88&lt;&gt;0,SUM(($C$11:C88&lt;&gt;0)*1),"")</f>
        <v/>
      </c>
      <c r="B88" s="315"/>
      <c r="C88" s="315"/>
      <c r="D88" s="315"/>
      <c r="E88" s="433"/>
      <c r="F88" s="371"/>
      <c r="G88" s="373"/>
      <c r="H88" s="373"/>
      <c r="I88" s="63" t="str">
        <f t="shared" si="45"/>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75" customHeight="1">
      <c r="A89" s="63" t="str">
        <f t="array" ref="A89">IF(C89&lt;&gt;0,SUM(($C$11:C89&lt;&gt;0)*1),"")</f>
        <v/>
      </c>
      <c r="B89" s="315"/>
      <c r="C89" s="315"/>
      <c r="D89" s="315"/>
      <c r="E89" s="433"/>
      <c r="F89" s="371"/>
      <c r="G89" s="373"/>
      <c r="H89" s="373"/>
      <c r="I89" s="63" t="str">
        <f t="shared" si="45"/>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75" customHeight="1">
      <c r="A90" s="63" t="str">
        <f t="array" ref="A90">IF(C90&lt;&gt;0,SUM(($C$11:C90&lt;&gt;0)*1),"")</f>
        <v/>
      </c>
      <c r="B90" s="315"/>
      <c r="C90" s="315"/>
      <c r="D90" s="315"/>
      <c r="E90" s="433"/>
      <c r="F90" s="371"/>
      <c r="G90" s="373"/>
      <c r="H90" s="373"/>
      <c r="I90" s="63" t="str">
        <f t="shared" si="45"/>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75" customHeight="1">
      <c r="A91" s="63" t="str">
        <f t="array" ref="A91">IF(C91&lt;&gt;0,SUM(($C$11:C91&lt;&gt;0)*1),"")</f>
        <v/>
      </c>
      <c r="B91" s="315"/>
      <c r="C91" s="315"/>
      <c r="D91" s="315"/>
      <c r="E91" s="433"/>
      <c r="F91" s="371"/>
      <c r="G91" s="373"/>
      <c r="H91" s="373"/>
      <c r="I91" s="63" t="str">
        <f t="shared" si="45"/>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75" customHeight="1">
      <c r="A92" s="63" t="str">
        <f t="array" ref="A92">IF(C92&lt;&gt;0,SUM(($C$11:C92&lt;&gt;0)*1),"")</f>
        <v/>
      </c>
      <c r="B92" s="315"/>
      <c r="C92" s="315"/>
      <c r="D92" s="315"/>
      <c r="E92" s="433"/>
      <c r="F92" s="371"/>
      <c r="G92" s="373"/>
      <c r="H92" s="373"/>
      <c r="I92" s="63" t="str">
        <f t="shared" ref="I92:I104" si="90">A92</f>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75" customHeight="1">
      <c r="A93" s="63" t="str">
        <f t="array" ref="A93">IF(C93&lt;&gt;0,SUM(($C$11:C93&lt;&gt;0)*1),"")</f>
        <v/>
      </c>
      <c r="B93" s="315"/>
      <c r="C93" s="315"/>
      <c r="D93" s="315"/>
      <c r="E93" s="433"/>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75" customHeight="1">
      <c r="A94" s="63" t="str">
        <f t="array" ref="A94">IF(C94&lt;&gt;0,SUM(($C$11:C94&lt;&gt;0)*1),"")</f>
        <v/>
      </c>
      <c r="B94" s="315"/>
      <c r="C94" s="315"/>
      <c r="D94" s="315"/>
      <c r="E94" s="433"/>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75" customHeight="1">
      <c r="A95" s="63" t="str">
        <f t="array" ref="A95">IF(C95&lt;&gt;0,SUM(($C$11:C95&lt;&gt;0)*1),"")</f>
        <v/>
      </c>
      <c r="B95" s="315"/>
      <c r="C95" s="315"/>
      <c r="D95" s="315"/>
      <c r="E95" s="433"/>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75" customHeight="1">
      <c r="A96" s="63" t="str">
        <f t="array" ref="A96">IF(C96&lt;&gt;0,SUM(($C$11:C96&lt;&gt;0)*1),"")</f>
        <v/>
      </c>
      <c r="B96" s="315"/>
      <c r="C96" s="315"/>
      <c r="D96" s="315"/>
      <c r="E96" s="433"/>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75" customHeight="1">
      <c r="A97" s="63" t="str">
        <f t="array" ref="A97">IF(C97&lt;&gt;0,SUM(($C$11:C97&lt;&gt;0)*1),"")</f>
        <v/>
      </c>
      <c r="B97" s="315"/>
      <c r="C97" s="315"/>
      <c r="D97" s="315"/>
      <c r="E97" s="433"/>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75" customHeight="1">
      <c r="A98" s="63" t="str">
        <f t="array" ref="A98">IF(C98&lt;&gt;0,SUM(($C$11:C98&lt;&gt;0)*1),"")</f>
        <v/>
      </c>
      <c r="B98" s="315"/>
      <c r="C98" s="315"/>
      <c r="D98" s="315"/>
      <c r="E98" s="433"/>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75" customHeight="1">
      <c r="A99" s="63" t="str">
        <f t="array" ref="A99">IF(C99&lt;&gt;0,SUM(($C$11:C99&lt;&gt;0)*1),"")</f>
        <v/>
      </c>
      <c r="B99" s="315"/>
      <c r="C99" s="315"/>
      <c r="D99" s="315"/>
      <c r="E99" s="433"/>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75" customHeight="1">
      <c r="A100" s="63" t="str">
        <f t="array" ref="A100">IF(C100&lt;&gt;0,SUM(($C$11:C100&lt;&gt;0)*1),"")</f>
        <v/>
      </c>
      <c r="B100" s="315"/>
      <c r="C100" s="315"/>
      <c r="D100" s="315"/>
      <c r="E100" s="433"/>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75" customHeight="1">
      <c r="A101" s="63" t="str">
        <f t="array" ref="A101">IF(C101&lt;&gt;0,SUM(($C$11:C101&lt;&gt;0)*1),"")</f>
        <v/>
      </c>
      <c r="B101" s="315"/>
      <c r="C101" s="315"/>
      <c r="D101" s="315"/>
      <c r="E101" s="433"/>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75" customHeight="1">
      <c r="A102" s="63" t="str">
        <f t="array" ref="A102">IF(C102&lt;&gt;0,SUM(($C$11:C102&lt;&gt;0)*1),"")</f>
        <v/>
      </c>
      <c r="B102" s="315"/>
      <c r="C102" s="315"/>
      <c r="D102" s="315"/>
      <c r="E102" s="433"/>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75" customHeight="1">
      <c r="A103" s="63" t="str">
        <f t="array" ref="A103">IF(C103&lt;&gt;0,SUM(($C$11:C103&lt;&gt;0)*1),"")</f>
        <v/>
      </c>
      <c r="B103" s="315"/>
      <c r="C103" s="315"/>
      <c r="D103" s="315"/>
      <c r="E103" s="433"/>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75" customHeight="1">
      <c r="A104" s="63" t="str">
        <f t="array" ref="A104">IF(C104&lt;&gt;0,SUM(($C$11:C104&lt;&gt;0)*1),"")</f>
        <v/>
      </c>
      <c r="B104" s="315"/>
      <c r="C104" s="315"/>
      <c r="D104" s="315"/>
      <c r="E104" s="433"/>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75" customHeight="1">
      <c r="A105" s="63" t="str">
        <f t="array" ref="A105">IF(C105&lt;&gt;0,SUM(($C$11:C105&lt;&gt;0)*1),"")</f>
        <v/>
      </c>
      <c r="B105" s="315"/>
      <c r="C105" s="315"/>
      <c r="D105" s="315"/>
      <c r="E105" s="433"/>
      <c r="F105" s="371"/>
      <c r="G105" s="373"/>
      <c r="H105" s="373"/>
      <c r="I105" s="63" t="str">
        <f>A105</f>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75" customHeight="1">
      <c r="A106" s="63" t="str">
        <f t="array" ref="A106">IF(C106&lt;&gt;0,SUM(($C$11:C106&lt;&gt;0)*1),"")</f>
        <v/>
      </c>
      <c r="B106" s="315"/>
      <c r="C106" s="315"/>
      <c r="D106" s="315"/>
      <c r="E106" s="433"/>
      <c r="F106" s="371"/>
      <c r="G106" s="373"/>
      <c r="H106" s="373"/>
      <c r="I106" s="63" t="str">
        <f t="shared" ref="I106:I159" si="91">A106</f>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75" customHeight="1">
      <c r="A107" s="63" t="str">
        <f t="array" ref="A107">IF(C107&lt;&gt;0,SUM(($C$11:C107&lt;&gt;0)*1),"")</f>
        <v/>
      </c>
      <c r="B107" s="315"/>
      <c r="C107" s="315"/>
      <c r="D107" s="315"/>
      <c r="E107" s="433"/>
      <c r="F107" s="371"/>
      <c r="G107" s="373"/>
      <c r="H107" s="373"/>
      <c r="I107" s="63" t="str">
        <f t="shared" si="91"/>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75" customHeight="1">
      <c r="A108" s="63" t="str">
        <f t="array" ref="A108">IF(C108&lt;&gt;0,SUM(($C$11:C108&lt;&gt;0)*1),"")</f>
        <v/>
      </c>
      <c r="B108" s="315"/>
      <c r="C108" s="315"/>
      <c r="D108" s="315"/>
      <c r="E108" s="433"/>
      <c r="F108" s="371"/>
      <c r="G108" s="373"/>
      <c r="H108" s="373"/>
      <c r="I108" s="63" t="str">
        <f t="shared" si="91"/>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75" customHeight="1">
      <c r="A109" s="63" t="str">
        <f t="array" ref="A109">IF(C109&lt;&gt;0,SUM(($C$11:C109&lt;&gt;0)*1),"")</f>
        <v/>
      </c>
      <c r="B109" s="315"/>
      <c r="C109" s="315"/>
      <c r="D109" s="315"/>
      <c r="E109" s="433"/>
      <c r="F109" s="371"/>
      <c r="G109" s="373"/>
      <c r="H109" s="373"/>
      <c r="I109" s="63" t="str">
        <f t="shared" si="91"/>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75" customHeight="1">
      <c r="A110" s="63" t="str">
        <f t="array" ref="A110">IF(C110&lt;&gt;0,SUM(($C$11:C110&lt;&gt;0)*1),"")</f>
        <v/>
      </c>
      <c r="B110" s="315"/>
      <c r="C110" s="315"/>
      <c r="D110" s="315"/>
      <c r="E110" s="433"/>
      <c r="F110" s="371"/>
      <c r="G110" s="373"/>
      <c r="H110" s="373"/>
      <c r="I110" s="63" t="str">
        <f t="shared" si="91"/>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75" customHeight="1">
      <c r="A111" s="63" t="str">
        <f t="array" ref="A111">IF(C111&lt;&gt;0,SUM(($C$11:C111&lt;&gt;0)*1),"")</f>
        <v/>
      </c>
      <c r="B111" s="315"/>
      <c r="C111" s="315"/>
      <c r="D111" s="315"/>
      <c r="E111" s="433"/>
      <c r="F111" s="371"/>
      <c r="G111" s="373"/>
      <c r="H111" s="373"/>
      <c r="I111" s="63" t="str">
        <f t="shared" si="91"/>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75" customHeight="1">
      <c r="A112" s="63" t="str">
        <f t="array" ref="A112">IF(C112&lt;&gt;0,SUM(($C$11:C112&lt;&gt;0)*1),"")</f>
        <v/>
      </c>
      <c r="B112" s="315"/>
      <c r="C112" s="315"/>
      <c r="D112" s="315"/>
      <c r="E112" s="433"/>
      <c r="F112" s="371"/>
      <c r="G112" s="373"/>
      <c r="H112" s="373"/>
      <c r="I112" s="63" t="str">
        <f t="shared" si="91"/>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75" customHeight="1">
      <c r="A113" s="63" t="str">
        <f t="array" ref="A113">IF(C113&lt;&gt;0,SUM(($C$11:C113&lt;&gt;0)*1),"")</f>
        <v/>
      </c>
      <c r="B113" s="315"/>
      <c r="C113" s="315"/>
      <c r="D113" s="315"/>
      <c r="E113" s="433"/>
      <c r="F113" s="371"/>
      <c r="G113" s="373"/>
      <c r="H113" s="373"/>
      <c r="I113" s="63" t="str">
        <f t="shared" si="91"/>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75" customHeight="1">
      <c r="A114" s="63" t="str">
        <f t="array" ref="A114">IF(C114&lt;&gt;0,SUM(($C$11:C114&lt;&gt;0)*1),"")</f>
        <v/>
      </c>
      <c r="B114" s="315"/>
      <c r="C114" s="315"/>
      <c r="D114" s="315"/>
      <c r="E114" s="433"/>
      <c r="F114" s="371"/>
      <c r="G114" s="373"/>
      <c r="H114" s="373"/>
      <c r="I114" s="63" t="str">
        <f t="shared" si="91"/>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75" customHeight="1">
      <c r="A115" s="63" t="str">
        <f t="array" ref="A115">IF(C115&lt;&gt;0,SUM(($C$11:C115&lt;&gt;0)*1),"")</f>
        <v/>
      </c>
      <c r="B115" s="315"/>
      <c r="C115" s="315"/>
      <c r="D115" s="315"/>
      <c r="E115" s="433"/>
      <c r="F115" s="371"/>
      <c r="G115" s="373"/>
      <c r="H115" s="373"/>
      <c r="I115" s="63" t="str">
        <f t="shared" si="91"/>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75" customHeight="1">
      <c r="A116" s="63" t="str">
        <f t="array" ref="A116">IF(C116&lt;&gt;0,SUM(($C$11:C116&lt;&gt;0)*1),"")</f>
        <v/>
      </c>
      <c r="B116" s="315"/>
      <c r="C116" s="315"/>
      <c r="D116" s="315"/>
      <c r="E116" s="433"/>
      <c r="F116" s="371"/>
      <c r="G116" s="373"/>
      <c r="H116" s="373"/>
      <c r="I116" s="63" t="str">
        <f t="shared" si="91"/>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75" customHeight="1">
      <c r="A117" s="63" t="str">
        <f t="array" ref="A117">IF(C117&lt;&gt;0,SUM(($C$11:C117&lt;&gt;0)*1),"")</f>
        <v/>
      </c>
      <c r="B117" s="315"/>
      <c r="C117" s="315"/>
      <c r="D117" s="315"/>
      <c r="E117" s="433"/>
      <c r="F117" s="371"/>
      <c r="G117" s="373"/>
      <c r="H117" s="373"/>
      <c r="I117" s="63" t="str">
        <f t="shared" si="91"/>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75" customHeight="1">
      <c r="A118" s="63" t="str">
        <f t="array" ref="A118">IF(C118&lt;&gt;0,SUM(($C$11:C118&lt;&gt;0)*1),"")</f>
        <v/>
      </c>
      <c r="B118" s="315"/>
      <c r="C118" s="315"/>
      <c r="D118" s="315"/>
      <c r="E118" s="433"/>
      <c r="F118" s="371"/>
      <c r="G118" s="373"/>
      <c r="H118" s="373"/>
      <c r="I118" s="63" t="str">
        <f t="shared" si="91"/>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75" customHeight="1">
      <c r="A119" s="63" t="str">
        <f t="array" ref="A119">IF(C119&lt;&gt;0,SUM(($C$11:C119&lt;&gt;0)*1),"")</f>
        <v/>
      </c>
      <c r="B119" s="315"/>
      <c r="C119" s="315"/>
      <c r="D119" s="315"/>
      <c r="E119" s="433"/>
      <c r="F119" s="371"/>
      <c r="G119" s="373"/>
      <c r="H119" s="373"/>
      <c r="I119" s="63" t="str">
        <f t="shared" si="91"/>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75" customHeight="1">
      <c r="A120" s="63" t="str">
        <f t="array" ref="A120">IF(C120&lt;&gt;0,SUM(($C$11:C120&lt;&gt;0)*1),"")</f>
        <v/>
      </c>
      <c r="B120" s="315"/>
      <c r="C120" s="315"/>
      <c r="D120" s="315"/>
      <c r="E120" s="433"/>
      <c r="F120" s="371"/>
      <c r="G120" s="373"/>
      <c r="H120" s="373"/>
      <c r="I120" s="63" t="str">
        <f t="shared" si="91"/>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75" customHeight="1">
      <c r="A121" s="63" t="str">
        <f t="array" ref="A121">IF(C121&lt;&gt;0,SUM(($C$11:C121&lt;&gt;0)*1),"")</f>
        <v/>
      </c>
      <c r="B121" s="315"/>
      <c r="C121" s="315"/>
      <c r="D121" s="315"/>
      <c r="E121" s="433"/>
      <c r="F121" s="371"/>
      <c r="G121" s="373"/>
      <c r="H121" s="373"/>
      <c r="I121" s="63" t="str">
        <f t="shared" si="91"/>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75" customHeight="1">
      <c r="A122" s="63" t="str">
        <f t="array" ref="A122">IF(C122&lt;&gt;0,SUM(($C$11:C122&lt;&gt;0)*1),"")</f>
        <v/>
      </c>
      <c r="B122" s="315"/>
      <c r="C122" s="315"/>
      <c r="D122" s="315"/>
      <c r="E122" s="433"/>
      <c r="F122" s="371"/>
      <c r="G122" s="373"/>
      <c r="H122" s="373"/>
      <c r="I122" s="63" t="str">
        <f t="shared" si="91"/>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75" customHeight="1">
      <c r="A123" s="63" t="str">
        <f t="array" ref="A123">IF(C123&lt;&gt;0,SUM(($C$11:C123&lt;&gt;0)*1),"")</f>
        <v/>
      </c>
      <c r="B123" s="315"/>
      <c r="C123" s="315"/>
      <c r="D123" s="315"/>
      <c r="E123" s="433"/>
      <c r="F123" s="371"/>
      <c r="G123" s="373"/>
      <c r="H123" s="373"/>
      <c r="I123" s="63" t="str">
        <f t="shared" si="91"/>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75" customHeight="1">
      <c r="A124" s="63" t="str">
        <f t="array" ref="A124">IF(C124&lt;&gt;0,SUM(($C$11:C124&lt;&gt;0)*1),"")</f>
        <v/>
      </c>
      <c r="B124" s="315"/>
      <c r="C124" s="315"/>
      <c r="D124" s="315"/>
      <c r="E124" s="433"/>
      <c r="F124" s="371"/>
      <c r="G124" s="373"/>
      <c r="H124" s="373"/>
      <c r="I124" s="63" t="str">
        <f t="shared" si="91"/>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75" customHeight="1">
      <c r="A125" s="63" t="str">
        <f t="array" ref="A125">IF(C125&lt;&gt;0,SUM(($C$11:C125&lt;&gt;0)*1),"")</f>
        <v/>
      </c>
      <c r="B125" s="315"/>
      <c r="C125" s="315"/>
      <c r="D125" s="315"/>
      <c r="E125" s="433"/>
      <c r="F125" s="371"/>
      <c r="G125" s="373"/>
      <c r="H125" s="373"/>
      <c r="I125" s="63" t="str">
        <f t="shared" si="91"/>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75" customHeight="1">
      <c r="A126" s="63" t="str">
        <f t="array" ref="A126">IF(C126&lt;&gt;0,SUM(($C$11:C126&lt;&gt;0)*1),"")</f>
        <v/>
      </c>
      <c r="B126" s="315"/>
      <c r="C126" s="315"/>
      <c r="D126" s="315"/>
      <c r="E126" s="433"/>
      <c r="F126" s="371"/>
      <c r="G126" s="373"/>
      <c r="H126" s="373"/>
      <c r="I126" s="63" t="str">
        <f t="shared" si="91"/>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75" customHeight="1">
      <c r="A127" s="63" t="str">
        <f t="array" ref="A127">IF(C127&lt;&gt;0,SUM(($C$11:C127&lt;&gt;0)*1),"")</f>
        <v/>
      </c>
      <c r="B127" s="315"/>
      <c r="C127" s="315"/>
      <c r="D127" s="315"/>
      <c r="E127" s="433"/>
      <c r="F127" s="371"/>
      <c r="G127" s="373"/>
      <c r="H127" s="373"/>
      <c r="I127" s="63" t="str">
        <f t="shared" si="91"/>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75" customHeight="1">
      <c r="A128" s="63" t="str">
        <f t="array" ref="A128">IF(C128&lt;&gt;0,SUM(($C$11:C128&lt;&gt;0)*1),"")</f>
        <v/>
      </c>
      <c r="B128" s="315"/>
      <c r="C128" s="315"/>
      <c r="D128" s="315"/>
      <c r="E128" s="433"/>
      <c r="F128" s="371"/>
      <c r="G128" s="373"/>
      <c r="H128" s="373"/>
      <c r="I128" s="63" t="str">
        <f t="shared" si="91"/>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75" customHeight="1">
      <c r="A129" s="63" t="str">
        <f t="array" ref="A129">IF(C129&lt;&gt;0,SUM(($C$11:C129&lt;&gt;0)*1),"")</f>
        <v/>
      </c>
      <c r="B129" s="315"/>
      <c r="C129" s="315"/>
      <c r="D129" s="315"/>
      <c r="E129" s="433"/>
      <c r="F129" s="371"/>
      <c r="G129" s="373"/>
      <c r="H129" s="373"/>
      <c r="I129" s="63" t="str">
        <f t="shared" si="91"/>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75" customHeight="1">
      <c r="A130" s="63" t="str">
        <f t="array" ref="A130">IF(C130&lt;&gt;0,SUM(($C$11:C130&lt;&gt;0)*1),"")</f>
        <v/>
      </c>
      <c r="B130" s="315"/>
      <c r="C130" s="315"/>
      <c r="D130" s="315"/>
      <c r="E130" s="433"/>
      <c r="F130" s="371"/>
      <c r="G130" s="373"/>
      <c r="H130" s="373"/>
      <c r="I130" s="63" t="str">
        <f t="shared" si="91"/>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75" customHeight="1">
      <c r="A131" s="63" t="str">
        <f t="array" ref="A131">IF(C131&lt;&gt;0,SUM(($C$11:C131&lt;&gt;0)*1),"")</f>
        <v/>
      </c>
      <c r="B131" s="315"/>
      <c r="C131" s="315"/>
      <c r="D131" s="315"/>
      <c r="E131" s="433"/>
      <c r="F131" s="371"/>
      <c r="G131" s="373"/>
      <c r="H131" s="373"/>
      <c r="I131" s="63" t="str">
        <f t="shared" si="91"/>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75" customHeight="1">
      <c r="A132" s="63" t="str">
        <f t="array" ref="A132">IF(C132&lt;&gt;0,SUM(($C$11:C132&lt;&gt;0)*1),"")</f>
        <v/>
      </c>
      <c r="B132" s="315"/>
      <c r="C132" s="315"/>
      <c r="D132" s="315"/>
      <c r="E132" s="433"/>
      <c r="F132" s="371"/>
      <c r="G132" s="373"/>
      <c r="H132" s="373"/>
      <c r="I132" s="63" t="str">
        <f t="shared" si="91"/>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75" customHeight="1">
      <c r="A133" s="63" t="str">
        <f t="array" ref="A133">IF(C133&lt;&gt;0,SUM(($C$11:C133&lt;&gt;0)*1),"")</f>
        <v/>
      </c>
      <c r="B133" s="315"/>
      <c r="C133" s="315"/>
      <c r="D133" s="315"/>
      <c r="E133" s="433"/>
      <c r="F133" s="371"/>
      <c r="G133" s="373"/>
      <c r="H133" s="373"/>
      <c r="I133" s="63" t="str">
        <f t="shared" si="91"/>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75" customHeight="1">
      <c r="A134" s="63" t="str">
        <f t="array" ref="A134">IF(C134&lt;&gt;0,SUM(($C$11:C134&lt;&gt;0)*1),"")</f>
        <v/>
      </c>
      <c r="B134" s="315"/>
      <c r="C134" s="315"/>
      <c r="D134" s="315"/>
      <c r="E134" s="433"/>
      <c r="F134" s="371"/>
      <c r="G134" s="373"/>
      <c r="H134" s="373"/>
      <c r="I134" s="63" t="str">
        <f t="shared" si="91"/>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75" customHeight="1">
      <c r="A135" s="63" t="str">
        <f t="array" ref="A135">IF(C135&lt;&gt;0,SUM(($C$11:C135&lt;&gt;0)*1),"")</f>
        <v/>
      </c>
      <c r="B135" s="315"/>
      <c r="C135" s="315"/>
      <c r="D135" s="315"/>
      <c r="E135" s="433"/>
      <c r="F135" s="371"/>
      <c r="G135" s="373"/>
      <c r="H135" s="373"/>
      <c r="I135" s="63" t="str">
        <f t="shared" si="91"/>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75" customHeight="1">
      <c r="A136" s="63" t="str">
        <f t="array" ref="A136">IF(C136&lt;&gt;0,SUM(($C$11:C136&lt;&gt;0)*1),"")</f>
        <v/>
      </c>
      <c r="B136" s="315"/>
      <c r="C136" s="315"/>
      <c r="D136" s="315"/>
      <c r="E136" s="433"/>
      <c r="F136" s="371"/>
      <c r="G136" s="373"/>
      <c r="H136" s="373"/>
      <c r="I136" s="63" t="str">
        <f t="shared" si="91"/>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75" customHeight="1">
      <c r="A137" s="63" t="str">
        <f t="array" ref="A137">IF(C137&lt;&gt;0,SUM(($C$11:C137&lt;&gt;0)*1),"")</f>
        <v/>
      </c>
      <c r="B137" s="315"/>
      <c r="C137" s="315"/>
      <c r="D137" s="315"/>
      <c r="E137" s="433"/>
      <c r="F137" s="371"/>
      <c r="G137" s="373"/>
      <c r="H137" s="373"/>
      <c r="I137" s="63" t="str">
        <f t="shared" si="91"/>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75" customHeight="1">
      <c r="A138" s="63" t="str">
        <f t="array" ref="A138">IF(C138&lt;&gt;0,SUM(($C$11:C138&lt;&gt;0)*1),"")</f>
        <v/>
      </c>
      <c r="B138" s="315"/>
      <c r="C138" s="315"/>
      <c r="D138" s="315"/>
      <c r="E138" s="433"/>
      <c r="F138" s="371"/>
      <c r="G138" s="373"/>
      <c r="H138" s="373"/>
      <c r="I138" s="63" t="str">
        <f t="shared" si="91"/>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75" customHeight="1">
      <c r="A139" s="63" t="str">
        <f t="array" ref="A139">IF(C139&lt;&gt;0,SUM(($C$11:C139&lt;&gt;0)*1),"")</f>
        <v/>
      </c>
      <c r="B139" s="315"/>
      <c r="C139" s="315"/>
      <c r="D139" s="315"/>
      <c r="E139" s="433"/>
      <c r="F139" s="371"/>
      <c r="G139" s="373"/>
      <c r="H139" s="373"/>
      <c r="I139" s="63" t="str">
        <f t="shared" si="91"/>
        <v/>
      </c>
      <c r="J139" s="317">
        <f t="shared" ref="J139:J202" si="92">IF($G139="1111",$F139,0)</f>
        <v>0</v>
      </c>
      <c r="K139" s="317">
        <f t="shared" ref="K139:K202" si="93">IF($H139="1111",$F139,0)</f>
        <v>0</v>
      </c>
      <c r="L139" s="317">
        <f t="shared" ref="L139:L202" si="94">IF($G139="1121",$F139,0)</f>
        <v>0</v>
      </c>
      <c r="M139" s="317">
        <f t="shared" ref="M139:M202" si="95">IF($H139="1121",$F139,0)</f>
        <v>0</v>
      </c>
      <c r="N139" s="317">
        <f t="shared" si="84"/>
        <v>0</v>
      </c>
      <c r="O139" s="317">
        <f t="shared" si="85"/>
        <v>0</v>
      </c>
      <c r="P139" s="317">
        <f t="shared" ref="P139:P202" si="96">IF($G139="1331",$F139,0)</f>
        <v>0</v>
      </c>
      <c r="Q139" s="317">
        <f t="shared" ref="Q139:Q202" si="97">IF($H139="1331",$F139,0)</f>
        <v>0</v>
      </c>
      <c r="R139" s="317">
        <f t="shared" ref="R139:R202" si="98">IF($G139="1388",$F139,0)</f>
        <v>0</v>
      </c>
      <c r="S139" s="317">
        <f t="shared" ref="S139:S202" si="99">IF($H139="1388",$F139,0)</f>
        <v>0</v>
      </c>
      <c r="T139" s="317">
        <f t="shared" si="86"/>
        <v>0</v>
      </c>
      <c r="U139" s="317">
        <f t="shared" si="87"/>
        <v>0</v>
      </c>
      <c r="V139" s="317">
        <f t="shared" ref="V139:V202" si="100">IF($G139="331",$F139,0)</f>
        <v>0</v>
      </c>
      <c r="W139" s="317">
        <f t="shared" ref="W139:W202" si="101">IF($H139="331",$F139,0)</f>
        <v>0</v>
      </c>
      <c r="X139" s="317">
        <f t="shared" ref="X139:X202" si="102">IF($G139="3334",$F139,0)</f>
        <v>0</v>
      </c>
      <c r="Y139" s="317">
        <f t="shared" ref="Y139:Y202" si="103">IF($H139="3334",$F139,0)</f>
        <v>0</v>
      </c>
      <c r="Z139" s="317">
        <f t="shared" ref="Z139:Z202" si="104">IF($G139="33382",$F139,0)</f>
        <v>0</v>
      </c>
      <c r="AA139" s="317">
        <f t="shared" ref="AA139:AA202" si="105">IF($H139="33382",$F139,0)</f>
        <v>0</v>
      </c>
      <c r="AB139" s="317">
        <f t="shared" ref="AB139:AB202" si="106">IF($G139="3388",$F139,0)</f>
        <v>0</v>
      </c>
      <c r="AC139" s="317">
        <f t="shared" ref="AC139:AC202" si="107">IF($H139="3388",$F139,0)</f>
        <v>0</v>
      </c>
      <c r="AD139" s="317">
        <f t="shared" ref="AD139:AD202" si="108">IF($G139="3411",$F139,0)</f>
        <v>0</v>
      </c>
      <c r="AE139" s="317">
        <f t="shared" ref="AE139:AE202" si="109">IF($H139="3411",$F139,0)</f>
        <v>0</v>
      </c>
      <c r="AF139" s="317">
        <f t="shared" si="88"/>
        <v>0</v>
      </c>
      <c r="AG139" s="317">
        <f t="shared" si="89"/>
        <v>0</v>
      </c>
      <c r="AH139" s="317">
        <f t="shared" ref="AH139:AH202" si="110">IF($G139="4111",$F139,0)</f>
        <v>0</v>
      </c>
      <c r="AI139" s="317">
        <f t="shared" ref="AI139:AI202" si="111">IF($H139="4111",$F139,0)</f>
        <v>0</v>
      </c>
      <c r="AJ139" s="317">
        <f t="shared" ref="AJ139:AJ202" si="112">IF($G139="4211",$F139,0)</f>
        <v>0</v>
      </c>
      <c r="AK139" s="317">
        <f t="shared" ref="AK139:AK202" si="113">IF($H139="4211",$F139,0)</f>
        <v>0</v>
      </c>
      <c r="AL139" s="317">
        <f t="shared" ref="AL139:AL202" si="114">IF($G139="4212",$F139,0)</f>
        <v>0</v>
      </c>
      <c r="AM139" s="317">
        <f t="shared" ref="AM139:AM202" si="115">IF($H139="4212",$F139,0)</f>
        <v>0</v>
      </c>
      <c r="AN139" s="317">
        <f t="shared" ref="AN139:AN202" si="116">IF($G139="515",$F139,0)</f>
        <v>0</v>
      </c>
      <c r="AO139" s="317">
        <f t="shared" ref="AO139:AO202" si="117">IF($H139="515",$F139,0)</f>
        <v>0</v>
      </c>
      <c r="AP139" s="317">
        <f t="shared" ref="AP139:AP202" si="118">IF($G139="635",$F139,0)</f>
        <v>0</v>
      </c>
      <c r="AQ139" s="317">
        <f t="shared" ref="AQ139:AQ202" si="119">IF($H139="635",$F139,0)</f>
        <v>0</v>
      </c>
      <c r="AR139" s="317">
        <f t="shared" ref="AR139:AR202" si="120">IF($G139="642",$F139,0)</f>
        <v>0</v>
      </c>
      <c r="AS139" s="317">
        <f t="shared" ref="AS139:AS202" si="121">IF($H139="642",$F139,0)</f>
        <v>0</v>
      </c>
      <c r="AT139" s="317">
        <f t="shared" ref="AT139:AT202" si="122">IF($G139="711",$F139,0)</f>
        <v>0</v>
      </c>
      <c r="AU139" s="317">
        <f t="shared" ref="AU139:AU202" si="123">IF($H139="711",$F139,0)</f>
        <v>0</v>
      </c>
      <c r="AV139" s="317">
        <f t="shared" ref="AV139:AV202" si="124">IF($G139="811",$F139,0)</f>
        <v>0</v>
      </c>
      <c r="AW139" s="317">
        <f t="shared" ref="AW139:AW202" si="125">IF($H139="811",$F139,0)</f>
        <v>0</v>
      </c>
      <c r="AX139" s="317">
        <f t="shared" ref="AX139:AX202" si="126">IF($G139="821",$F139,0)</f>
        <v>0</v>
      </c>
      <c r="AY139" s="317">
        <f t="shared" ref="AY139:AY202" si="127">IF($H139="821",$F139,0)</f>
        <v>0</v>
      </c>
      <c r="AZ139" s="317">
        <f t="shared" ref="AZ139:AZ202" si="128">IF($G139="911",$F139,0)</f>
        <v>0</v>
      </c>
      <c r="BA139" s="317">
        <f t="shared" ref="BA139:BA202" si="129">IF($H139="911",$F139,0)</f>
        <v>0</v>
      </c>
    </row>
    <row r="140" spans="1:53" s="314" customFormat="1" ht="15.75" customHeight="1">
      <c r="A140" s="63" t="str">
        <f t="array" ref="A140">IF(C140&lt;&gt;0,SUM(($C$11:C140&lt;&gt;0)*1),"")</f>
        <v/>
      </c>
      <c r="B140" s="315"/>
      <c r="C140" s="315"/>
      <c r="D140" s="315"/>
      <c r="E140" s="433"/>
      <c r="F140" s="371"/>
      <c r="G140" s="373"/>
      <c r="H140" s="373"/>
      <c r="I140" s="63" t="str">
        <f t="shared" si="91"/>
        <v/>
      </c>
      <c r="J140" s="317">
        <f t="shared" si="92"/>
        <v>0</v>
      </c>
      <c r="K140" s="317">
        <f t="shared" si="93"/>
        <v>0</v>
      </c>
      <c r="L140" s="317">
        <f t="shared" si="94"/>
        <v>0</v>
      </c>
      <c r="M140" s="317">
        <f t="shared" si="95"/>
        <v>0</v>
      </c>
      <c r="N140" s="317">
        <f t="shared" ref="N140:N203" si="130">IF($G140="1122",$F140,0)</f>
        <v>0</v>
      </c>
      <c r="O140" s="317">
        <f t="shared" ref="O140:O203" si="131">IF($H140="1122",$F140,0)</f>
        <v>0</v>
      </c>
      <c r="P140" s="317">
        <f t="shared" si="96"/>
        <v>0</v>
      </c>
      <c r="Q140" s="317">
        <f t="shared" si="97"/>
        <v>0</v>
      </c>
      <c r="R140" s="317">
        <f t="shared" si="98"/>
        <v>0</v>
      </c>
      <c r="S140" s="317">
        <f t="shared" si="99"/>
        <v>0</v>
      </c>
      <c r="T140" s="317">
        <f t="shared" ref="T140:T203" si="132">IF($G140="2412",$F140,0)</f>
        <v>0</v>
      </c>
      <c r="U140" s="317">
        <f t="shared" ref="U140:U203" si="133">IF($H140="2412",$F140,0)</f>
        <v>0</v>
      </c>
      <c r="V140" s="317">
        <f t="shared" si="100"/>
        <v>0</v>
      </c>
      <c r="W140" s="317">
        <f t="shared" si="101"/>
        <v>0</v>
      </c>
      <c r="X140" s="317">
        <f t="shared" si="102"/>
        <v>0</v>
      </c>
      <c r="Y140" s="317">
        <f t="shared" si="103"/>
        <v>0</v>
      </c>
      <c r="Z140" s="317">
        <f t="shared" si="104"/>
        <v>0</v>
      </c>
      <c r="AA140" s="317">
        <f t="shared" si="105"/>
        <v>0</v>
      </c>
      <c r="AB140" s="317">
        <f t="shared" si="106"/>
        <v>0</v>
      </c>
      <c r="AC140" s="317">
        <f t="shared" si="107"/>
        <v>0</v>
      </c>
      <c r="AD140" s="317">
        <f t="shared" si="108"/>
        <v>0</v>
      </c>
      <c r="AE140" s="317">
        <f t="shared" si="109"/>
        <v>0</v>
      </c>
      <c r="AF140" s="317">
        <f t="shared" ref="AF140:AF203" si="134">IF($G140="3412",$F140,0)</f>
        <v>0</v>
      </c>
      <c r="AG140" s="317">
        <f t="shared" ref="AG140:AG203" si="135">IF($H140="3412",$F140,0)</f>
        <v>0</v>
      </c>
      <c r="AH140" s="317">
        <f t="shared" si="110"/>
        <v>0</v>
      </c>
      <c r="AI140" s="317">
        <f t="shared" si="111"/>
        <v>0</v>
      </c>
      <c r="AJ140" s="317">
        <f t="shared" si="112"/>
        <v>0</v>
      </c>
      <c r="AK140" s="317">
        <f t="shared" si="113"/>
        <v>0</v>
      </c>
      <c r="AL140" s="317">
        <f t="shared" si="114"/>
        <v>0</v>
      </c>
      <c r="AM140" s="317">
        <f t="shared" si="115"/>
        <v>0</v>
      </c>
      <c r="AN140" s="317">
        <f t="shared" si="116"/>
        <v>0</v>
      </c>
      <c r="AO140" s="317">
        <f t="shared" si="117"/>
        <v>0</v>
      </c>
      <c r="AP140" s="317">
        <f t="shared" si="118"/>
        <v>0</v>
      </c>
      <c r="AQ140" s="317">
        <f t="shared" si="119"/>
        <v>0</v>
      </c>
      <c r="AR140" s="317">
        <f t="shared" si="120"/>
        <v>0</v>
      </c>
      <c r="AS140" s="317">
        <f t="shared" si="121"/>
        <v>0</v>
      </c>
      <c r="AT140" s="317">
        <f t="shared" si="122"/>
        <v>0</v>
      </c>
      <c r="AU140" s="317">
        <f t="shared" si="123"/>
        <v>0</v>
      </c>
      <c r="AV140" s="317">
        <f t="shared" si="124"/>
        <v>0</v>
      </c>
      <c r="AW140" s="317">
        <f t="shared" si="125"/>
        <v>0</v>
      </c>
      <c r="AX140" s="317">
        <f t="shared" si="126"/>
        <v>0</v>
      </c>
      <c r="AY140" s="317">
        <f t="shared" si="127"/>
        <v>0</v>
      </c>
      <c r="AZ140" s="317">
        <f t="shared" si="128"/>
        <v>0</v>
      </c>
      <c r="BA140" s="317">
        <f t="shared" si="129"/>
        <v>0</v>
      </c>
    </row>
    <row r="141" spans="1:53" s="314" customFormat="1" ht="15.75" customHeight="1">
      <c r="A141" s="63" t="str">
        <f t="array" ref="A141">IF(C141&lt;&gt;0,SUM(($C$11:C141&lt;&gt;0)*1),"")</f>
        <v/>
      </c>
      <c r="B141" s="315"/>
      <c r="C141" s="315"/>
      <c r="D141" s="315"/>
      <c r="E141" s="433"/>
      <c r="F141" s="371"/>
      <c r="G141" s="373"/>
      <c r="H141" s="373"/>
      <c r="I141" s="63" t="str">
        <f t="shared" si="91"/>
        <v/>
      </c>
      <c r="J141" s="317">
        <f t="shared" si="92"/>
        <v>0</v>
      </c>
      <c r="K141" s="317">
        <f t="shared" si="93"/>
        <v>0</v>
      </c>
      <c r="L141" s="317">
        <f t="shared" si="94"/>
        <v>0</v>
      </c>
      <c r="M141" s="317">
        <f t="shared" si="95"/>
        <v>0</v>
      </c>
      <c r="N141" s="317">
        <f t="shared" si="130"/>
        <v>0</v>
      </c>
      <c r="O141" s="317">
        <f t="shared" si="131"/>
        <v>0</v>
      </c>
      <c r="P141" s="317">
        <f t="shared" si="96"/>
        <v>0</v>
      </c>
      <c r="Q141" s="317">
        <f t="shared" si="97"/>
        <v>0</v>
      </c>
      <c r="R141" s="317">
        <f t="shared" si="98"/>
        <v>0</v>
      </c>
      <c r="S141" s="317">
        <f t="shared" si="99"/>
        <v>0</v>
      </c>
      <c r="T141" s="317">
        <f t="shared" si="132"/>
        <v>0</v>
      </c>
      <c r="U141" s="317">
        <f t="shared" si="133"/>
        <v>0</v>
      </c>
      <c r="V141" s="317">
        <f t="shared" si="100"/>
        <v>0</v>
      </c>
      <c r="W141" s="317">
        <f t="shared" si="101"/>
        <v>0</v>
      </c>
      <c r="X141" s="317">
        <f t="shared" si="102"/>
        <v>0</v>
      </c>
      <c r="Y141" s="317">
        <f t="shared" si="103"/>
        <v>0</v>
      </c>
      <c r="Z141" s="317">
        <f t="shared" si="104"/>
        <v>0</v>
      </c>
      <c r="AA141" s="317">
        <f t="shared" si="105"/>
        <v>0</v>
      </c>
      <c r="AB141" s="317">
        <f t="shared" si="106"/>
        <v>0</v>
      </c>
      <c r="AC141" s="317">
        <f t="shared" si="107"/>
        <v>0</v>
      </c>
      <c r="AD141" s="317">
        <f t="shared" si="108"/>
        <v>0</v>
      </c>
      <c r="AE141" s="317">
        <f t="shared" si="109"/>
        <v>0</v>
      </c>
      <c r="AF141" s="317">
        <f t="shared" si="134"/>
        <v>0</v>
      </c>
      <c r="AG141" s="317">
        <f t="shared" si="135"/>
        <v>0</v>
      </c>
      <c r="AH141" s="317">
        <f t="shared" si="110"/>
        <v>0</v>
      </c>
      <c r="AI141" s="317">
        <f t="shared" si="111"/>
        <v>0</v>
      </c>
      <c r="AJ141" s="317">
        <f t="shared" si="112"/>
        <v>0</v>
      </c>
      <c r="AK141" s="317">
        <f t="shared" si="113"/>
        <v>0</v>
      </c>
      <c r="AL141" s="317">
        <f t="shared" si="114"/>
        <v>0</v>
      </c>
      <c r="AM141" s="317">
        <f t="shared" si="115"/>
        <v>0</v>
      </c>
      <c r="AN141" s="317">
        <f t="shared" si="116"/>
        <v>0</v>
      </c>
      <c r="AO141" s="317">
        <f t="shared" si="117"/>
        <v>0</v>
      </c>
      <c r="AP141" s="317">
        <f t="shared" si="118"/>
        <v>0</v>
      </c>
      <c r="AQ141" s="317">
        <f t="shared" si="119"/>
        <v>0</v>
      </c>
      <c r="AR141" s="317">
        <f t="shared" si="120"/>
        <v>0</v>
      </c>
      <c r="AS141" s="317">
        <f t="shared" si="121"/>
        <v>0</v>
      </c>
      <c r="AT141" s="317">
        <f t="shared" si="122"/>
        <v>0</v>
      </c>
      <c r="AU141" s="317">
        <f t="shared" si="123"/>
        <v>0</v>
      </c>
      <c r="AV141" s="317">
        <f t="shared" si="124"/>
        <v>0</v>
      </c>
      <c r="AW141" s="317">
        <f t="shared" si="125"/>
        <v>0</v>
      </c>
      <c r="AX141" s="317">
        <f t="shared" si="126"/>
        <v>0</v>
      </c>
      <c r="AY141" s="317">
        <f t="shared" si="127"/>
        <v>0</v>
      </c>
      <c r="AZ141" s="317">
        <f t="shared" si="128"/>
        <v>0</v>
      </c>
      <c r="BA141" s="317">
        <f t="shared" si="129"/>
        <v>0</v>
      </c>
    </row>
    <row r="142" spans="1:53" s="314" customFormat="1" ht="15.75" customHeight="1">
      <c r="A142" s="63" t="str">
        <f t="array" ref="A142">IF(C142&lt;&gt;0,SUM(($C$11:C142&lt;&gt;0)*1),"")</f>
        <v/>
      </c>
      <c r="B142" s="315"/>
      <c r="C142" s="315"/>
      <c r="D142" s="315"/>
      <c r="E142" s="433"/>
      <c r="F142" s="371"/>
      <c r="G142" s="373"/>
      <c r="H142" s="373"/>
      <c r="I142" s="63" t="str">
        <f t="shared" si="91"/>
        <v/>
      </c>
      <c r="J142" s="317">
        <f t="shared" si="92"/>
        <v>0</v>
      </c>
      <c r="K142" s="317">
        <f t="shared" si="93"/>
        <v>0</v>
      </c>
      <c r="L142" s="317">
        <f t="shared" si="94"/>
        <v>0</v>
      </c>
      <c r="M142" s="317">
        <f t="shared" si="95"/>
        <v>0</v>
      </c>
      <c r="N142" s="317">
        <f t="shared" si="130"/>
        <v>0</v>
      </c>
      <c r="O142" s="317">
        <f t="shared" si="131"/>
        <v>0</v>
      </c>
      <c r="P142" s="317">
        <f t="shared" si="96"/>
        <v>0</v>
      </c>
      <c r="Q142" s="317">
        <f t="shared" si="97"/>
        <v>0</v>
      </c>
      <c r="R142" s="317">
        <f t="shared" si="98"/>
        <v>0</v>
      </c>
      <c r="S142" s="317">
        <f t="shared" si="99"/>
        <v>0</v>
      </c>
      <c r="T142" s="317">
        <f t="shared" si="132"/>
        <v>0</v>
      </c>
      <c r="U142" s="317">
        <f t="shared" si="133"/>
        <v>0</v>
      </c>
      <c r="V142" s="317">
        <f t="shared" si="100"/>
        <v>0</v>
      </c>
      <c r="W142" s="317">
        <f t="shared" si="101"/>
        <v>0</v>
      </c>
      <c r="X142" s="317">
        <f t="shared" si="102"/>
        <v>0</v>
      </c>
      <c r="Y142" s="317">
        <f t="shared" si="103"/>
        <v>0</v>
      </c>
      <c r="Z142" s="317">
        <f t="shared" si="104"/>
        <v>0</v>
      </c>
      <c r="AA142" s="317">
        <f t="shared" si="105"/>
        <v>0</v>
      </c>
      <c r="AB142" s="317">
        <f t="shared" si="106"/>
        <v>0</v>
      </c>
      <c r="AC142" s="317">
        <f t="shared" si="107"/>
        <v>0</v>
      </c>
      <c r="AD142" s="317">
        <f t="shared" si="108"/>
        <v>0</v>
      </c>
      <c r="AE142" s="317">
        <f t="shared" si="109"/>
        <v>0</v>
      </c>
      <c r="AF142" s="317">
        <f t="shared" si="134"/>
        <v>0</v>
      </c>
      <c r="AG142" s="317">
        <f t="shared" si="135"/>
        <v>0</v>
      </c>
      <c r="AH142" s="317">
        <f t="shared" si="110"/>
        <v>0</v>
      </c>
      <c r="AI142" s="317">
        <f t="shared" si="111"/>
        <v>0</v>
      </c>
      <c r="AJ142" s="317">
        <f t="shared" si="112"/>
        <v>0</v>
      </c>
      <c r="AK142" s="317">
        <f t="shared" si="113"/>
        <v>0</v>
      </c>
      <c r="AL142" s="317">
        <f t="shared" si="114"/>
        <v>0</v>
      </c>
      <c r="AM142" s="317">
        <f t="shared" si="115"/>
        <v>0</v>
      </c>
      <c r="AN142" s="317">
        <f t="shared" si="116"/>
        <v>0</v>
      </c>
      <c r="AO142" s="317">
        <f t="shared" si="117"/>
        <v>0</v>
      </c>
      <c r="AP142" s="317">
        <f t="shared" si="118"/>
        <v>0</v>
      </c>
      <c r="AQ142" s="317">
        <f t="shared" si="119"/>
        <v>0</v>
      </c>
      <c r="AR142" s="317">
        <f t="shared" si="120"/>
        <v>0</v>
      </c>
      <c r="AS142" s="317">
        <f t="shared" si="121"/>
        <v>0</v>
      </c>
      <c r="AT142" s="317">
        <f t="shared" si="122"/>
        <v>0</v>
      </c>
      <c r="AU142" s="317">
        <f t="shared" si="123"/>
        <v>0</v>
      </c>
      <c r="AV142" s="317">
        <f t="shared" si="124"/>
        <v>0</v>
      </c>
      <c r="AW142" s="317">
        <f t="shared" si="125"/>
        <v>0</v>
      </c>
      <c r="AX142" s="317">
        <f t="shared" si="126"/>
        <v>0</v>
      </c>
      <c r="AY142" s="317">
        <f t="shared" si="127"/>
        <v>0</v>
      </c>
      <c r="AZ142" s="317">
        <f t="shared" si="128"/>
        <v>0</v>
      </c>
      <c r="BA142" s="317">
        <f t="shared" si="129"/>
        <v>0</v>
      </c>
    </row>
    <row r="143" spans="1:53" s="314" customFormat="1" ht="15.75" customHeight="1">
      <c r="A143" s="63" t="str">
        <f t="array" ref="A143">IF(C143&lt;&gt;0,SUM(($C$11:C143&lt;&gt;0)*1),"")</f>
        <v/>
      </c>
      <c r="B143" s="315"/>
      <c r="C143" s="315"/>
      <c r="D143" s="315"/>
      <c r="E143" s="433"/>
      <c r="F143" s="371"/>
      <c r="G143" s="373"/>
      <c r="H143" s="373"/>
      <c r="I143" s="63" t="str">
        <f t="shared" si="91"/>
        <v/>
      </c>
      <c r="J143" s="317">
        <f t="shared" si="92"/>
        <v>0</v>
      </c>
      <c r="K143" s="317">
        <f t="shared" si="93"/>
        <v>0</v>
      </c>
      <c r="L143" s="317">
        <f t="shared" si="94"/>
        <v>0</v>
      </c>
      <c r="M143" s="317">
        <f t="shared" si="95"/>
        <v>0</v>
      </c>
      <c r="N143" s="317">
        <f t="shared" si="130"/>
        <v>0</v>
      </c>
      <c r="O143" s="317">
        <f t="shared" si="131"/>
        <v>0</v>
      </c>
      <c r="P143" s="317">
        <f t="shared" si="96"/>
        <v>0</v>
      </c>
      <c r="Q143" s="317">
        <f t="shared" si="97"/>
        <v>0</v>
      </c>
      <c r="R143" s="317">
        <f t="shared" si="98"/>
        <v>0</v>
      </c>
      <c r="S143" s="317">
        <f t="shared" si="99"/>
        <v>0</v>
      </c>
      <c r="T143" s="317">
        <f t="shared" si="132"/>
        <v>0</v>
      </c>
      <c r="U143" s="317">
        <f t="shared" si="133"/>
        <v>0</v>
      </c>
      <c r="V143" s="317">
        <f t="shared" si="100"/>
        <v>0</v>
      </c>
      <c r="W143" s="317">
        <f t="shared" si="101"/>
        <v>0</v>
      </c>
      <c r="X143" s="317">
        <f t="shared" si="102"/>
        <v>0</v>
      </c>
      <c r="Y143" s="317">
        <f t="shared" si="103"/>
        <v>0</v>
      </c>
      <c r="Z143" s="317">
        <f t="shared" si="104"/>
        <v>0</v>
      </c>
      <c r="AA143" s="317">
        <f t="shared" si="105"/>
        <v>0</v>
      </c>
      <c r="AB143" s="317">
        <f t="shared" si="106"/>
        <v>0</v>
      </c>
      <c r="AC143" s="317">
        <f t="shared" si="107"/>
        <v>0</v>
      </c>
      <c r="AD143" s="317">
        <f t="shared" si="108"/>
        <v>0</v>
      </c>
      <c r="AE143" s="317">
        <f t="shared" si="109"/>
        <v>0</v>
      </c>
      <c r="AF143" s="317">
        <f t="shared" si="134"/>
        <v>0</v>
      </c>
      <c r="AG143" s="317">
        <f t="shared" si="135"/>
        <v>0</v>
      </c>
      <c r="AH143" s="317">
        <f t="shared" si="110"/>
        <v>0</v>
      </c>
      <c r="AI143" s="317">
        <f t="shared" si="111"/>
        <v>0</v>
      </c>
      <c r="AJ143" s="317">
        <f t="shared" si="112"/>
        <v>0</v>
      </c>
      <c r="AK143" s="317">
        <f t="shared" si="113"/>
        <v>0</v>
      </c>
      <c r="AL143" s="317">
        <f t="shared" si="114"/>
        <v>0</v>
      </c>
      <c r="AM143" s="317">
        <f t="shared" si="115"/>
        <v>0</v>
      </c>
      <c r="AN143" s="317">
        <f t="shared" si="116"/>
        <v>0</v>
      </c>
      <c r="AO143" s="317">
        <f t="shared" si="117"/>
        <v>0</v>
      </c>
      <c r="AP143" s="317">
        <f t="shared" si="118"/>
        <v>0</v>
      </c>
      <c r="AQ143" s="317">
        <f t="shared" si="119"/>
        <v>0</v>
      </c>
      <c r="AR143" s="317">
        <f t="shared" si="120"/>
        <v>0</v>
      </c>
      <c r="AS143" s="317">
        <f t="shared" si="121"/>
        <v>0</v>
      </c>
      <c r="AT143" s="317">
        <f t="shared" si="122"/>
        <v>0</v>
      </c>
      <c r="AU143" s="317">
        <f t="shared" si="123"/>
        <v>0</v>
      </c>
      <c r="AV143" s="317">
        <f t="shared" si="124"/>
        <v>0</v>
      </c>
      <c r="AW143" s="317">
        <f t="shared" si="125"/>
        <v>0</v>
      </c>
      <c r="AX143" s="317">
        <f t="shared" si="126"/>
        <v>0</v>
      </c>
      <c r="AY143" s="317">
        <f t="shared" si="127"/>
        <v>0</v>
      </c>
      <c r="AZ143" s="317">
        <f t="shared" si="128"/>
        <v>0</v>
      </c>
      <c r="BA143" s="317">
        <f t="shared" si="129"/>
        <v>0</v>
      </c>
    </row>
    <row r="144" spans="1:53" s="314" customFormat="1" ht="15.75" customHeight="1">
      <c r="A144" s="63" t="str">
        <f t="array" ref="A144">IF(C144&lt;&gt;0,SUM(($C$11:C144&lt;&gt;0)*1),"")</f>
        <v/>
      </c>
      <c r="B144" s="315"/>
      <c r="C144" s="315"/>
      <c r="D144" s="315"/>
      <c r="E144" s="433"/>
      <c r="F144" s="371"/>
      <c r="G144" s="373"/>
      <c r="H144" s="373"/>
      <c r="I144" s="63" t="str">
        <f t="shared" si="91"/>
        <v/>
      </c>
      <c r="J144" s="317">
        <f t="shared" si="92"/>
        <v>0</v>
      </c>
      <c r="K144" s="317">
        <f t="shared" si="93"/>
        <v>0</v>
      </c>
      <c r="L144" s="317">
        <f t="shared" si="94"/>
        <v>0</v>
      </c>
      <c r="M144" s="317">
        <f t="shared" si="95"/>
        <v>0</v>
      </c>
      <c r="N144" s="317">
        <f t="shared" si="130"/>
        <v>0</v>
      </c>
      <c r="O144" s="317">
        <f t="shared" si="131"/>
        <v>0</v>
      </c>
      <c r="P144" s="317">
        <f t="shared" si="96"/>
        <v>0</v>
      </c>
      <c r="Q144" s="317">
        <f t="shared" si="97"/>
        <v>0</v>
      </c>
      <c r="R144" s="317">
        <f t="shared" si="98"/>
        <v>0</v>
      </c>
      <c r="S144" s="317">
        <f t="shared" si="99"/>
        <v>0</v>
      </c>
      <c r="T144" s="317">
        <f t="shared" si="132"/>
        <v>0</v>
      </c>
      <c r="U144" s="317">
        <f t="shared" si="133"/>
        <v>0</v>
      </c>
      <c r="V144" s="317">
        <f t="shared" si="100"/>
        <v>0</v>
      </c>
      <c r="W144" s="317">
        <f t="shared" si="101"/>
        <v>0</v>
      </c>
      <c r="X144" s="317">
        <f t="shared" si="102"/>
        <v>0</v>
      </c>
      <c r="Y144" s="317">
        <f t="shared" si="103"/>
        <v>0</v>
      </c>
      <c r="Z144" s="317">
        <f t="shared" si="104"/>
        <v>0</v>
      </c>
      <c r="AA144" s="317">
        <f t="shared" si="105"/>
        <v>0</v>
      </c>
      <c r="AB144" s="317">
        <f t="shared" si="106"/>
        <v>0</v>
      </c>
      <c r="AC144" s="317">
        <f t="shared" si="107"/>
        <v>0</v>
      </c>
      <c r="AD144" s="317">
        <f t="shared" si="108"/>
        <v>0</v>
      </c>
      <c r="AE144" s="317">
        <f t="shared" si="109"/>
        <v>0</v>
      </c>
      <c r="AF144" s="317">
        <f t="shared" si="134"/>
        <v>0</v>
      </c>
      <c r="AG144" s="317">
        <f t="shared" si="135"/>
        <v>0</v>
      </c>
      <c r="AH144" s="317">
        <f t="shared" si="110"/>
        <v>0</v>
      </c>
      <c r="AI144" s="317">
        <f t="shared" si="111"/>
        <v>0</v>
      </c>
      <c r="AJ144" s="317">
        <f t="shared" si="112"/>
        <v>0</v>
      </c>
      <c r="AK144" s="317">
        <f t="shared" si="113"/>
        <v>0</v>
      </c>
      <c r="AL144" s="317">
        <f t="shared" si="114"/>
        <v>0</v>
      </c>
      <c r="AM144" s="317">
        <f t="shared" si="115"/>
        <v>0</v>
      </c>
      <c r="AN144" s="317">
        <f t="shared" si="116"/>
        <v>0</v>
      </c>
      <c r="AO144" s="317">
        <f t="shared" si="117"/>
        <v>0</v>
      </c>
      <c r="AP144" s="317">
        <f t="shared" si="118"/>
        <v>0</v>
      </c>
      <c r="AQ144" s="317">
        <f t="shared" si="119"/>
        <v>0</v>
      </c>
      <c r="AR144" s="317">
        <f t="shared" si="120"/>
        <v>0</v>
      </c>
      <c r="AS144" s="317">
        <f t="shared" si="121"/>
        <v>0</v>
      </c>
      <c r="AT144" s="317">
        <f t="shared" si="122"/>
        <v>0</v>
      </c>
      <c r="AU144" s="317">
        <f t="shared" si="123"/>
        <v>0</v>
      </c>
      <c r="AV144" s="317">
        <f t="shared" si="124"/>
        <v>0</v>
      </c>
      <c r="AW144" s="317">
        <f t="shared" si="125"/>
        <v>0</v>
      </c>
      <c r="AX144" s="317">
        <f t="shared" si="126"/>
        <v>0</v>
      </c>
      <c r="AY144" s="317">
        <f t="shared" si="127"/>
        <v>0</v>
      </c>
      <c r="AZ144" s="317">
        <f t="shared" si="128"/>
        <v>0</v>
      </c>
      <c r="BA144" s="317">
        <f t="shared" si="129"/>
        <v>0</v>
      </c>
    </row>
    <row r="145" spans="1:53" s="314" customFormat="1" ht="15.75" customHeight="1">
      <c r="A145" s="63" t="str">
        <f t="array" ref="A145">IF(C145&lt;&gt;0,SUM(($C$11:C145&lt;&gt;0)*1),"")</f>
        <v/>
      </c>
      <c r="B145" s="315"/>
      <c r="C145" s="315"/>
      <c r="D145" s="315"/>
      <c r="E145" s="433"/>
      <c r="F145" s="371"/>
      <c r="G145" s="373"/>
      <c r="H145" s="373"/>
      <c r="I145" s="63" t="str">
        <f t="shared" si="91"/>
        <v/>
      </c>
      <c r="J145" s="317">
        <f t="shared" si="92"/>
        <v>0</v>
      </c>
      <c r="K145" s="317">
        <f t="shared" si="93"/>
        <v>0</v>
      </c>
      <c r="L145" s="317">
        <f t="shared" si="94"/>
        <v>0</v>
      </c>
      <c r="M145" s="317">
        <f t="shared" si="95"/>
        <v>0</v>
      </c>
      <c r="N145" s="317">
        <f t="shared" si="130"/>
        <v>0</v>
      </c>
      <c r="O145" s="317">
        <f t="shared" si="131"/>
        <v>0</v>
      </c>
      <c r="P145" s="317">
        <f t="shared" si="96"/>
        <v>0</v>
      </c>
      <c r="Q145" s="317">
        <f t="shared" si="97"/>
        <v>0</v>
      </c>
      <c r="R145" s="317">
        <f t="shared" si="98"/>
        <v>0</v>
      </c>
      <c r="S145" s="317">
        <f t="shared" si="99"/>
        <v>0</v>
      </c>
      <c r="T145" s="317">
        <f t="shared" si="132"/>
        <v>0</v>
      </c>
      <c r="U145" s="317">
        <f t="shared" si="133"/>
        <v>0</v>
      </c>
      <c r="V145" s="317">
        <f t="shared" si="100"/>
        <v>0</v>
      </c>
      <c r="W145" s="317">
        <f t="shared" si="101"/>
        <v>0</v>
      </c>
      <c r="X145" s="317">
        <f t="shared" si="102"/>
        <v>0</v>
      </c>
      <c r="Y145" s="317">
        <f t="shared" si="103"/>
        <v>0</v>
      </c>
      <c r="Z145" s="317">
        <f t="shared" si="104"/>
        <v>0</v>
      </c>
      <c r="AA145" s="317">
        <f t="shared" si="105"/>
        <v>0</v>
      </c>
      <c r="AB145" s="317">
        <f t="shared" si="106"/>
        <v>0</v>
      </c>
      <c r="AC145" s="317">
        <f t="shared" si="107"/>
        <v>0</v>
      </c>
      <c r="AD145" s="317">
        <f t="shared" si="108"/>
        <v>0</v>
      </c>
      <c r="AE145" s="317">
        <f t="shared" si="109"/>
        <v>0</v>
      </c>
      <c r="AF145" s="317">
        <f t="shared" si="134"/>
        <v>0</v>
      </c>
      <c r="AG145" s="317">
        <f t="shared" si="135"/>
        <v>0</v>
      </c>
      <c r="AH145" s="317">
        <f t="shared" si="110"/>
        <v>0</v>
      </c>
      <c r="AI145" s="317">
        <f t="shared" si="111"/>
        <v>0</v>
      </c>
      <c r="AJ145" s="317">
        <f t="shared" si="112"/>
        <v>0</v>
      </c>
      <c r="AK145" s="317">
        <f t="shared" si="113"/>
        <v>0</v>
      </c>
      <c r="AL145" s="317">
        <f t="shared" si="114"/>
        <v>0</v>
      </c>
      <c r="AM145" s="317">
        <f t="shared" si="115"/>
        <v>0</v>
      </c>
      <c r="AN145" s="317">
        <f t="shared" si="116"/>
        <v>0</v>
      </c>
      <c r="AO145" s="317">
        <f t="shared" si="117"/>
        <v>0</v>
      </c>
      <c r="AP145" s="317">
        <f t="shared" si="118"/>
        <v>0</v>
      </c>
      <c r="AQ145" s="317">
        <f t="shared" si="119"/>
        <v>0</v>
      </c>
      <c r="AR145" s="317">
        <f t="shared" si="120"/>
        <v>0</v>
      </c>
      <c r="AS145" s="317">
        <f t="shared" si="121"/>
        <v>0</v>
      </c>
      <c r="AT145" s="317">
        <f t="shared" si="122"/>
        <v>0</v>
      </c>
      <c r="AU145" s="317">
        <f t="shared" si="123"/>
        <v>0</v>
      </c>
      <c r="AV145" s="317">
        <f t="shared" si="124"/>
        <v>0</v>
      </c>
      <c r="AW145" s="317">
        <f t="shared" si="125"/>
        <v>0</v>
      </c>
      <c r="AX145" s="317">
        <f t="shared" si="126"/>
        <v>0</v>
      </c>
      <c r="AY145" s="317">
        <f t="shared" si="127"/>
        <v>0</v>
      </c>
      <c r="AZ145" s="317">
        <f t="shared" si="128"/>
        <v>0</v>
      </c>
      <c r="BA145" s="317">
        <f t="shared" si="129"/>
        <v>0</v>
      </c>
    </row>
    <row r="146" spans="1:53" s="314" customFormat="1" ht="15.75" customHeight="1">
      <c r="A146" s="63" t="str">
        <f t="array" ref="A146">IF(C146&lt;&gt;0,SUM(($C$11:C146&lt;&gt;0)*1),"")</f>
        <v/>
      </c>
      <c r="B146" s="315"/>
      <c r="C146" s="315"/>
      <c r="D146" s="315"/>
      <c r="E146" s="433"/>
      <c r="F146" s="371"/>
      <c r="G146" s="373"/>
      <c r="H146" s="373"/>
      <c r="I146" s="63" t="str">
        <f t="shared" si="91"/>
        <v/>
      </c>
      <c r="J146" s="317">
        <f t="shared" si="92"/>
        <v>0</v>
      </c>
      <c r="K146" s="317">
        <f t="shared" si="93"/>
        <v>0</v>
      </c>
      <c r="L146" s="317">
        <f t="shared" si="94"/>
        <v>0</v>
      </c>
      <c r="M146" s="317">
        <f t="shared" si="95"/>
        <v>0</v>
      </c>
      <c r="N146" s="317">
        <f t="shared" si="130"/>
        <v>0</v>
      </c>
      <c r="O146" s="317">
        <f t="shared" si="131"/>
        <v>0</v>
      </c>
      <c r="P146" s="317">
        <f t="shared" si="96"/>
        <v>0</v>
      </c>
      <c r="Q146" s="317">
        <f t="shared" si="97"/>
        <v>0</v>
      </c>
      <c r="R146" s="317">
        <f t="shared" si="98"/>
        <v>0</v>
      </c>
      <c r="S146" s="317">
        <f t="shared" si="99"/>
        <v>0</v>
      </c>
      <c r="T146" s="317">
        <f t="shared" si="132"/>
        <v>0</v>
      </c>
      <c r="U146" s="317">
        <f t="shared" si="133"/>
        <v>0</v>
      </c>
      <c r="V146" s="317">
        <f t="shared" si="100"/>
        <v>0</v>
      </c>
      <c r="W146" s="317">
        <f t="shared" si="101"/>
        <v>0</v>
      </c>
      <c r="X146" s="317">
        <f t="shared" si="102"/>
        <v>0</v>
      </c>
      <c r="Y146" s="317">
        <f t="shared" si="103"/>
        <v>0</v>
      </c>
      <c r="Z146" s="317">
        <f t="shared" si="104"/>
        <v>0</v>
      </c>
      <c r="AA146" s="317">
        <f t="shared" si="105"/>
        <v>0</v>
      </c>
      <c r="AB146" s="317">
        <f t="shared" si="106"/>
        <v>0</v>
      </c>
      <c r="AC146" s="317">
        <f t="shared" si="107"/>
        <v>0</v>
      </c>
      <c r="AD146" s="317">
        <f t="shared" si="108"/>
        <v>0</v>
      </c>
      <c r="AE146" s="317">
        <f t="shared" si="109"/>
        <v>0</v>
      </c>
      <c r="AF146" s="317">
        <f t="shared" si="134"/>
        <v>0</v>
      </c>
      <c r="AG146" s="317">
        <f t="shared" si="135"/>
        <v>0</v>
      </c>
      <c r="AH146" s="317">
        <f t="shared" si="110"/>
        <v>0</v>
      </c>
      <c r="AI146" s="317">
        <f t="shared" si="111"/>
        <v>0</v>
      </c>
      <c r="AJ146" s="317">
        <f t="shared" si="112"/>
        <v>0</v>
      </c>
      <c r="AK146" s="317">
        <f t="shared" si="113"/>
        <v>0</v>
      </c>
      <c r="AL146" s="317">
        <f t="shared" si="114"/>
        <v>0</v>
      </c>
      <c r="AM146" s="317">
        <f t="shared" si="115"/>
        <v>0</v>
      </c>
      <c r="AN146" s="317">
        <f t="shared" si="116"/>
        <v>0</v>
      </c>
      <c r="AO146" s="317">
        <f t="shared" si="117"/>
        <v>0</v>
      </c>
      <c r="AP146" s="317">
        <f t="shared" si="118"/>
        <v>0</v>
      </c>
      <c r="AQ146" s="317">
        <f t="shared" si="119"/>
        <v>0</v>
      </c>
      <c r="AR146" s="317">
        <f t="shared" si="120"/>
        <v>0</v>
      </c>
      <c r="AS146" s="317">
        <f t="shared" si="121"/>
        <v>0</v>
      </c>
      <c r="AT146" s="317">
        <f t="shared" si="122"/>
        <v>0</v>
      </c>
      <c r="AU146" s="317">
        <f t="shared" si="123"/>
        <v>0</v>
      </c>
      <c r="AV146" s="317">
        <f t="shared" si="124"/>
        <v>0</v>
      </c>
      <c r="AW146" s="317">
        <f t="shared" si="125"/>
        <v>0</v>
      </c>
      <c r="AX146" s="317">
        <f t="shared" si="126"/>
        <v>0</v>
      </c>
      <c r="AY146" s="317">
        <f t="shared" si="127"/>
        <v>0</v>
      </c>
      <c r="AZ146" s="317">
        <f t="shared" si="128"/>
        <v>0</v>
      </c>
      <c r="BA146" s="317">
        <f t="shared" si="129"/>
        <v>0</v>
      </c>
    </row>
    <row r="147" spans="1:53" s="314" customFormat="1" ht="15.75" customHeight="1">
      <c r="A147" s="63" t="str">
        <f t="array" ref="A147">IF(C147&lt;&gt;0,SUM(($C$11:C147&lt;&gt;0)*1),"")</f>
        <v/>
      </c>
      <c r="B147" s="315"/>
      <c r="C147" s="315"/>
      <c r="D147" s="315"/>
      <c r="E147" s="433"/>
      <c r="F147" s="371"/>
      <c r="G147" s="373"/>
      <c r="H147" s="373"/>
      <c r="I147" s="63" t="str">
        <f t="shared" si="91"/>
        <v/>
      </c>
      <c r="J147" s="317">
        <f t="shared" si="92"/>
        <v>0</v>
      </c>
      <c r="K147" s="317">
        <f t="shared" si="93"/>
        <v>0</v>
      </c>
      <c r="L147" s="317">
        <f t="shared" si="94"/>
        <v>0</v>
      </c>
      <c r="M147" s="317">
        <f t="shared" si="95"/>
        <v>0</v>
      </c>
      <c r="N147" s="317">
        <f t="shared" si="130"/>
        <v>0</v>
      </c>
      <c r="O147" s="317">
        <f t="shared" si="131"/>
        <v>0</v>
      </c>
      <c r="P147" s="317">
        <f t="shared" si="96"/>
        <v>0</v>
      </c>
      <c r="Q147" s="317">
        <f t="shared" si="97"/>
        <v>0</v>
      </c>
      <c r="R147" s="317">
        <f t="shared" si="98"/>
        <v>0</v>
      </c>
      <c r="S147" s="317">
        <f t="shared" si="99"/>
        <v>0</v>
      </c>
      <c r="T147" s="317">
        <f t="shared" si="132"/>
        <v>0</v>
      </c>
      <c r="U147" s="317">
        <f t="shared" si="133"/>
        <v>0</v>
      </c>
      <c r="V147" s="317">
        <f t="shared" si="100"/>
        <v>0</v>
      </c>
      <c r="W147" s="317">
        <f t="shared" si="101"/>
        <v>0</v>
      </c>
      <c r="X147" s="317">
        <f t="shared" si="102"/>
        <v>0</v>
      </c>
      <c r="Y147" s="317">
        <f t="shared" si="103"/>
        <v>0</v>
      </c>
      <c r="Z147" s="317">
        <f t="shared" si="104"/>
        <v>0</v>
      </c>
      <c r="AA147" s="317">
        <f t="shared" si="105"/>
        <v>0</v>
      </c>
      <c r="AB147" s="317">
        <f t="shared" si="106"/>
        <v>0</v>
      </c>
      <c r="AC147" s="317">
        <f t="shared" si="107"/>
        <v>0</v>
      </c>
      <c r="AD147" s="317">
        <f t="shared" si="108"/>
        <v>0</v>
      </c>
      <c r="AE147" s="317">
        <f t="shared" si="109"/>
        <v>0</v>
      </c>
      <c r="AF147" s="317">
        <f t="shared" si="134"/>
        <v>0</v>
      </c>
      <c r="AG147" s="317">
        <f t="shared" si="135"/>
        <v>0</v>
      </c>
      <c r="AH147" s="317">
        <f t="shared" si="110"/>
        <v>0</v>
      </c>
      <c r="AI147" s="317">
        <f t="shared" si="111"/>
        <v>0</v>
      </c>
      <c r="AJ147" s="317">
        <f t="shared" si="112"/>
        <v>0</v>
      </c>
      <c r="AK147" s="317">
        <f t="shared" si="113"/>
        <v>0</v>
      </c>
      <c r="AL147" s="317">
        <f t="shared" si="114"/>
        <v>0</v>
      </c>
      <c r="AM147" s="317">
        <f t="shared" si="115"/>
        <v>0</v>
      </c>
      <c r="AN147" s="317">
        <f t="shared" si="116"/>
        <v>0</v>
      </c>
      <c r="AO147" s="317">
        <f t="shared" si="117"/>
        <v>0</v>
      </c>
      <c r="AP147" s="317">
        <f t="shared" si="118"/>
        <v>0</v>
      </c>
      <c r="AQ147" s="317">
        <f t="shared" si="119"/>
        <v>0</v>
      </c>
      <c r="AR147" s="317">
        <f t="shared" si="120"/>
        <v>0</v>
      </c>
      <c r="AS147" s="317">
        <f t="shared" si="121"/>
        <v>0</v>
      </c>
      <c r="AT147" s="317">
        <f t="shared" si="122"/>
        <v>0</v>
      </c>
      <c r="AU147" s="317">
        <f t="shared" si="123"/>
        <v>0</v>
      </c>
      <c r="AV147" s="317">
        <f t="shared" si="124"/>
        <v>0</v>
      </c>
      <c r="AW147" s="317">
        <f t="shared" si="125"/>
        <v>0</v>
      </c>
      <c r="AX147" s="317">
        <f t="shared" si="126"/>
        <v>0</v>
      </c>
      <c r="AY147" s="317">
        <f t="shared" si="127"/>
        <v>0</v>
      </c>
      <c r="AZ147" s="317">
        <f t="shared" si="128"/>
        <v>0</v>
      </c>
      <c r="BA147" s="317">
        <f t="shared" si="129"/>
        <v>0</v>
      </c>
    </row>
    <row r="148" spans="1:53" s="314" customFormat="1" ht="15.75" customHeight="1">
      <c r="A148" s="63" t="str">
        <f t="array" ref="A148">IF(C148&lt;&gt;0,SUM(($C$11:C148&lt;&gt;0)*1),"")</f>
        <v/>
      </c>
      <c r="B148" s="315"/>
      <c r="C148" s="315"/>
      <c r="D148" s="315"/>
      <c r="E148" s="433"/>
      <c r="F148" s="371"/>
      <c r="G148" s="373"/>
      <c r="H148" s="373"/>
      <c r="I148" s="63" t="str">
        <f t="shared" si="91"/>
        <v/>
      </c>
      <c r="J148" s="317">
        <f t="shared" si="92"/>
        <v>0</v>
      </c>
      <c r="K148" s="317">
        <f t="shared" si="93"/>
        <v>0</v>
      </c>
      <c r="L148" s="317">
        <f t="shared" si="94"/>
        <v>0</v>
      </c>
      <c r="M148" s="317">
        <f t="shared" si="95"/>
        <v>0</v>
      </c>
      <c r="N148" s="317">
        <f t="shared" si="130"/>
        <v>0</v>
      </c>
      <c r="O148" s="317">
        <f t="shared" si="131"/>
        <v>0</v>
      </c>
      <c r="P148" s="317">
        <f t="shared" si="96"/>
        <v>0</v>
      </c>
      <c r="Q148" s="317">
        <f t="shared" si="97"/>
        <v>0</v>
      </c>
      <c r="R148" s="317">
        <f t="shared" si="98"/>
        <v>0</v>
      </c>
      <c r="S148" s="317">
        <f t="shared" si="99"/>
        <v>0</v>
      </c>
      <c r="T148" s="317">
        <f t="shared" si="132"/>
        <v>0</v>
      </c>
      <c r="U148" s="317">
        <f t="shared" si="133"/>
        <v>0</v>
      </c>
      <c r="V148" s="317">
        <f t="shared" si="100"/>
        <v>0</v>
      </c>
      <c r="W148" s="317">
        <f t="shared" si="101"/>
        <v>0</v>
      </c>
      <c r="X148" s="317">
        <f t="shared" si="102"/>
        <v>0</v>
      </c>
      <c r="Y148" s="317">
        <f t="shared" si="103"/>
        <v>0</v>
      </c>
      <c r="Z148" s="317">
        <f t="shared" si="104"/>
        <v>0</v>
      </c>
      <c r="AA148" s="317">
        <f t="shared" si="105"/>
        <v>0</v>
      </c>
      <c r="AB148" s="317">
        <f t="shared" si="106"/>
        <v>0</v>
      </c>
      <c r="AC148" s="317">
        <f t="shared" si="107"/>
        <v>0</v>
      </c>
      <c r="AD148" s="317">
        <f t="shared" si="108"/>
        <v>0</v>
      </c>
      <c r="AE148" s="317">
        <f t="shared" si="109"/>
        <v>0</v>
      </c>
      <c r="AF148" s="317">
        <f t="shared" si="134"/>
        <v>0</v>
      </c>
      <c r="AG148" s="317">
        <f t="shared" si="135"/>
        <v>0</v>
      </c>
      <c r="AH148" s="317">
        <f t="shared" si="110"/>
        <v>0</v>
      </c>
      <c r="AI148" s="317">
        <f t="shared" si="111"/>
        <v>0</v>
      </c>
      <c r="AJ148" s="317">
        <f t="shared" si="112"/>
        <v>0</v>
      </c>
      <c r="AK148" s="317">
        <f t="shared" si="113"/>
        <v>0</v>
      </c>
      <c r="AL148" s="317">
        <f t="shared" si="114"/>
        <v>0</v>
      </c>
      <c r="AM148" s="317">
        <f t="shared" si="115"/>
        <v>0</v>
      </c>
      <c r="AN148" s="317">
        <f t="shared" si="116"/>
        <v>0</v>
      </c>
      <c r="AO148" s="317">
        <f t="shared" si="117"/>
        <v>0</v>
      </c>
      <c r="AP148" s="317">
        <f t="shared" si="118"/>
        <v>0</v>
      </c>
      <c r="AQ148" s="317">
        <f t="shared" si="119"/>
        <v>0</v>
      </c>
      <c r="AR148" s="317">
        <f t="shared" si="120"/>
        <v>0</v>
      </c>
      <c r="AS148" s="317">
        <f t="shared" si="121"/>
        <v>0</v>
      </c>
      <c r="AT148" s="317">
        <f t="shared" si="122"/>
        <v>0</v>
      </c>
      <c r="AU148" s="317">
        <f t="shared" si="123"/>
        <v>0</v>
      </c>
      <c r="AV148" s="317">
        <f t="shared" si="124"/>
        <v>0</v>
      </c>
      <c r="AW148" s="317">
        <f t="shared" si="125"/>
        <v>0</v>
      </c>
      <c r="AX148" s="317">
        <f t="shared" si="126"/>
        <v>0</v>
      </c>
      <c r="AY148" s="317">
        <f t="shared" si="127"/>
        <v>0</v>
      </c>
      <c r="AZ148" s="317">
        <f t="shared" si="128"/>
        <v>0</v>
      </c>
      <c r="BA148" s="317">
        <f t="shared" si="129"/>
        <v>0</v>
      </c>
    </row>
    <row r="149" spans="1:53" s="314" customFormat="1" ht="15.75" customHeight="1">
      <c r="A149" s="63" t="str">
        <f t="array" ref="A149">IF(C149&lt;&gt;0,SUM(($C$11:C149&lt;&gt;0)*1),"")</f>
        <v/>
      </c>
      <c r="B149" s="315"/>
      <c r="C149" s="315"/>
      <c r="D149" s="315"/>
      <c r="E149" s="433"/>
      <c r="F149" s="371"/>
      <c r="G149" s="373"/>
      <c r="H149" s="373"/>
      <c r="I149" s="63" t="str">
        <f t="shared" si="91"/>
        <v/>
      </c>
      <c r="J149" s="317">
        <f t="shared" si="92"/>
        <v>0</v>
      </c>
      <c r="K149" s="317">
        <f t="shared" si="93"/>
        <v>0</v>
      </c>
      <c r="L149" s="317">
        <f t="shared" si="94"/>
        <v>0</v>
      </c>
      <c r="M149" s="317">
        <f t="shared" si="95"/>
        <v>0</v>
      </c>
      <c r="N149" s="317">
        <f t="shared" si="130"/>
        <v>0</v>
      </c>
      <c r="O149" s="317">
        <f t="shared" si="131"/>
        <v>0</v>
      </c>
      <c r="P149" s="317">
        <f t="shared" si="96"/>
        <v>0</v>
      </c>
      <c r="Q149" s="317">
        <f t="shared" si="97"/>
        <v>0</v>
      </c>
      <c r="R149" s="317">
        <f t="shared" si="98"/>
        <v>0</v>
      </c>
      <c r="S149" s="317">
        <f t="shared" si="99"/>
        <v>0</v>
      </c>
      <c r="T149" s="317">
        <f t="shared" si="132"/>
        <v>0</v>
      </c>
      <c r="U149" s="317">
        <f t="shared" si="133"/>
        <v>0</v>
      </c>
      <c r="V149" s="317">
        <f t="shared" si="100"/>
        <v>0</v>
      </c>
      <c r="W149" s="317">
        <f t="shared" si="101"/>
        <v>0</v>
      </c>
      <c r="X149" s="317">
        <f t="shared" si="102"/>
        <v>0</v>
      </c>
      <c r="Y149" s="317">
        <f t="shared" si="103"/>
        <v>0</v>
      </c>
      <c r="Z149" s="317">
        <f t="shared" si="104"/>
        <v>0</v>
      </c>
      <c r="AA149" s="317">
        <f t="shared" si="105"/>
        <v>0</v>
      </c>
      <c r="AB149" s="317">
        <f t="shared" si="106"/>
        <v>0</v>
      </c>
      <c r="AC149" s="317">
        <f t="shared" si="107"/>
        <v>0</v>
      </c>
      <c r="AD149" s="317">
        <f t="shared" si="108"/>
        <v>0</v>
      </c>
      <c r="AE149" s="317">
        <f t="shared" si="109"/>
        <v>0</v>
      </c>
      <c r="AF149" s="317">
        <f t="shared" si="134"/>
        <v>0</v>
      </c>
      <c r="AG149" s="317">
        <f t="shared" si="135"/>
        <v>0</v>
      </c>
      <c r="AH149" s="317">
        <f t="shared" si="110"/>
        <v>0</v>
      </c>
      <c r="AI149" s="317">
        <f t="shared" si="111"/>
        <v>0</v>
      </c>
      <c r="AJ149" s="317">
        <f t="shared" si="112"/>
        <v>0</v>
      </c>
      <c r="AK149" s="317">
        <f t="shared" si="113"/>
        <v>0</v>
      </c>
      <c r="AL149" s="317">
        <f t="shared" si="114"/>
        <v>0</v>
      </c>
      <c r="AM149" s="317">
        <f t="shared" si="115"/>
        <v>0</v>
      </c>
      <c r="AN149" s="317">
        <f t="shared" si="116"/>
        <v>0</v>
      </c>
      <c r="AO149" s="317">
        <f t="shared" si="117"/>
        <v>0</v>
      </c>
      <c r="AP149" s="317">
        <f t="shared" si="118"/>
        <v>0</v>
      </c>
      <c r="AQ149" s="317">
        <f t="shared" si="119"/>
        <v>0</v>
      </c>
      <c r="AR149" s="317">
        <f t="shared" si="120"/>
        <v>0</v>
      </c>
      <c r="AS149" s="317">
        <f t="shared" si="121"/>
        <v>0</v>
      </c>
      <c r="AT149" s="317">
        <f t="shared" si="122"/>
        <v>0</v>
      </c>
      <c r="AU149" s="317">
        <f t="shared" si="123"/>
        <v>0</v>
      </c>
      <c r="AV149" s="317">
        <f t="shared" si="124"/>
        <v>0</v>
      </c>
      <c r="AW149" s="317">
        <f t="shared" si="125"/>
        <v>0</v>
      </c>
      <c r="AX149" s="317">
        <f t="shared" si="126"/>
        <v>0</v>
      </c>
      <c r="AY149" s="317">
        <f t="shared" si="127"/>
        <v>0</v>
      </c>
      <c r="AZ149" s="317">
        <f t="shared" si="128"/>
        <v>0</v>
      </c>
      <c r="BA149" s="317">
        <f t="shared" si="129"/>
        <v>0</v>
      </c>
    </row>
    <row r="150" spans="1:53" s="314" customFormat="1" ht="15.75" customHeight="1">
      <c r="A150" s="63" t="str">
        <f t="array" ref="A150">IF(C150&lt;&gt;0,SUM(($C$11:C150&lt;&gt;0)*1),"")</f>
        <v/>
      </c>
      <c r="B150" s="315"/>
      <c r="C150" s="315"/>
      <c r="D150" s="315"/>
      <c r="E150" s="433"/>
      <c r="F150" s="371"/>
      <c r="G150" s="373"/>
      <c r="H150" s="373"/>
      <c r="I150" s="63" t="str">
        <f t="shared" si="91"/>
        <v/>
      </c>
      <c r="J150" s="317">
        <f t="shared" si="92"/>
        <v>0</v>
      </c>
      <c r="K150" s="317">
        <f t="shared" si="93"/>
        <v>0</v>
      </c>
      <c r="L150" s="317">
        <f t="shared" si="94"/>
        <v>0</v>
      </c>
      <c r="M150" s="317">
        <f t="shared" si="95"/>
        <v>0</v>
      </c>
      <c r="N150" s="317">
        <f t="shared" si="130"/>
        <v>0</v>
      </c>
      <c r="O150" s="317">
        <f t="shared" si="131"/>
        <v>0</v>
      </c>
      <c r="P150" s="317">
        <f t="shared" si="96"/>
        <v>0</v>
      </c>
      <c r="Q150" s="317">
        <f t="shared" si="97"/>
        <v>0</v>
      </c>
      <c r="R150" s="317">
        <f t="shared" si="98"/>
        <v>0</v>
      </c>
      <c r="S150" s="317">
        <f t="shared" si="99"/>
        <v>0</v>
      </c>
      <c r="T150" s="317">
        <f t="shared" si="132"/>
        <v>0</v>
      </c>
      <c r="U150" s="317">
        <f t="shared" si="133"/>
        <v>0</v>
      </c>
      <c r="V150" s="317">
        <f t="shared" si="100"/>
        <v>0</v>
      </c>
      <c r="W150" s="317">
        <f t="shared" si="101"/>
        <v>0</v>
      </c>
      <c r="X150" s="317">
        <f t="shared" si="102"/>
        <v>0</v>
      </c>
      <c r="Y150" s="317">
        <f t="shared" si="103"/>
        <v>0</v>
      </c>
      <c r="Z150" s="317">
        <f t="shared" si="104"/>
        <v>0</v>
      </c>
      <c r="AA150" s="317">
        <f t="shared" si="105"/>
        <v>0</v>
      </c>
      <c r="AB150" s="317">
        <f t="shared" si="106"/>
        <v>0</v>
      </c>
      <c r="AC150" s="317">
        <f t="shared" si="107"/>
        <v>0</v>
      </c>
      <c r="AD150" s="317">
        <f t="shared" si="108"/>
        <v>0</v>
      </c>
      <c r="AE150" s="317">
        <f t="shared" si="109"/>
        <v>0</v>
      </c>
      <c r="AF150" s="317">
        <f t="shared" si="134"/>
        <v>0</v>
      </c>
      <c r="AG150" s="317">
        <f t="shared" si="135"/>
        <v>0</v>
      </c>
      <c r="AH150" s="317">
        <f t="shared" si="110"/>
        <v>0</v>
      </c>
      <c r="AI150" s="317">
        <f t="shared" si="111"/>
        <v>0</v>
      </c>
      <c r="AJ150" s="317">
        <f t="shared" si="112"/>
        <v>0</v>
      </c>
      <c r="AK150" s="317">
        <f t="shared" si="113"/>
        <v>0</v>
      </c>
      <c r="AL150" s="317">
        <f t="shared" si="114"/>
        <v>0</v>
      </c>
      <c r="AM150" s="317">
        <f t="shared" si="115"/>
        <v>0</v>
      </c>
      <c r="AN150" s="317">
        <f t="shared" si="116"/>
        <v>0</v>
      </c>
      <c r="AO150" s="317">
        <f t="shared" si="117"/>
        <v>0</v>
      </c>
      <c r="AP150" s="317">
        <f t="shared" si="118"/>
        <v>0</v>
      </c>
      <c r="AQ150" s="317">
        <f t="shared" si="119"/>
        <v>0</v>
      </c>
      <c r="AR150" s="317">
        <f t="shared" si="120"/>
        <v>0</v>
      </c>
      <c r="AS150" s="317">
        <f t="shared" si="121"/>
        <v>0</v>
      </c>
      <c r="AT150" s="317">
        <f t="shared" si="122"/>
        <v>0</v>
      </c>
      <c r="AU150" s="317">
        <f t="shared" si="123"/>
        <v>0</v>
      </c>
      <c r="AV150" s="317">
        <f t="shared" si="124"/>
        <v>0</v>
      </c>
      <c r="AW150" s="317">
        <f t="shared" si="125"/>
        <v>0</v>
      </c>
      <c r="AX150" s="317">
        <f t="shared" si="126"/>
        <v>0</v>
      </c>
      <c r="AY150" s="317">
        <f t="shared" si="127"/>
        <v>0</v>
      </c>
      <c r="AZ150" s="317">
        <f t="shared" si="128"/>
        <v>0</v>
      </c>
      <c r="BA150" s="317">
        <f t="shared" si="129"/>
        <v>0</v>
      </c>
    </row>
    <row r="151" spans="1:53" s="314" customFormat="1" ht="15.75" customHeight="1">
      <c r="A151" s="63" t="str">
        <f t="array" ref="A151">IF(C151&lt;&gt;0,SUM(($C$11:C151&lt;&gt;0)*1),"")</f>
        <v/>
      </c>
      <c r="B151" s="315"/>
      <c r="C151" s="315"/>
      <c r="D151" s="315"/>
      <c r="E151" s="433"/>
      <c r="F151" s="371"/>
      <c r="G151" s="373"/>
      <c r="H151" s="373"/>
      <c r="I151" s="63" t="str">
        <f t="shared" si="91"/>
        <v/>
      </c>
      <c r="J151" s="317">
        <f t="shared" si="92"/>
        <v>0</v>
      </c>
      <c r="K151" s="317">
        <f t="shared" si="93"/>
        <v>0</v>
      </c>
      <c r="L151" s="317">
        <f t="shared" si="94"/>
        <v>0</v>
      </c>
      <c r="M151" s="317">
        <f t="shared" si="95"/>
        <v>0</v>
      </c>
      <c r="N151" s="317">
        <f t="shared" si="130"/>
        <v>0</v>
      </c>
      <c r="O151" s="317">
        <f t="shared" si="131"/>
        <v>0</v>
      </c>
      <c r="P151" s="317">
        <f t="shared" si="96"/>
        <v>0</v>
      </c>
      <c r="Q151" s="317">
        <f t="shared" si="97"/>
        <v>0</v>
      </c>
      <c r="R151" s="317">
        <f t="shared" si="98"/>
        <v>0</v>
      </c>
      <c r="S151" s="317">
        <f t="shared" si="99"/>
        <v>0</v>
      </c>
      <c r="T151" s="317">
        <f t="shared" si="132"/>
        <v>0</v>
      </c>
      <c r="U151" s="317">
        <f t="shared" si="133"/>
        <v>0</v>
      </c>
      <c r="V151" s="317">
        <f t="shared" si="100"/>
        <v>0</v>
      </c>
      <c r="W151" s="317">
        <f t="shared" si="101"/>
        <v>0</v>
      </c>
      <c r="X151" s="317">
        <f t="shared" si="102"/>
        <v>0</v>
      </c>
      <c r="Y151" s="317">
        <f t="shared" si="103"/>
        <v>0</v>
      </c>
      <c r="Z151" s="317">
        <f t="shared" si="104"/>
        <v>0</v>
      </c>
      <c r="AA151" s="317">
        <f t="shared" si="105"/>
        <v>0</v>
      </c>
      <c r="AB151" s="317">
        <f t="shared" si="106"/>
        <v>0</v>
      </c>
      <c r="AC151" s="317">
        <f t="shared" si="107"/>
        <v>0</v>
      </c>
      <c r="AD151" s="317">
        <f t="shared" si="108"/>
        <v>0</v>
      </c>
      <c r="AE151" s="317">
        <f t="shared" si="109"/>
        <v>0</v>
      </c>
      <c r="AF151" s="317">
        <f t="shared" si="134"/>
        <v>0</v>
      </c>
      <c r="AG151" s="317">
        <f t="shared" si="135"/>
        <v>0</v>
      </c>
      <c r="AH151" s="317">
        <f t="shared" si="110"/>
        <v>0</v>
      </c>
      <c r="AI151" s="317">
        <f t="shared" si="111"/>
        <v>0</v>
      </c>
      <c r="AJ151" s="317">
        <f t="shared" si="112"/>
        <v>0</v>
      </c>
      <c r="AK151" s="317">
        <f t="shared" si="113"/>
        <v>0</v>
      </c>
      <c r="AL151" s="317">
        <f t="shared" si="114"/>
        <v>0</v>
      </c>
      <c r="AM151" s="317">
        <f t="shared" si="115"/>
        <v>0</v>
      </c>
      <c r="AN151" s="317">
        <f t="shared" si="116"/>
        <v>0</v>
      </c>
      <c r="AO151" s="317">
        <f t="shared" si="117"/>
        <v>0</v>
      </c>
      <c r="AP151" s="317">
        <f t="shared" si="118"/>
        <v>0</v>
      </c>
      <c r="AQ151" s="317">
        <f t="shared" si="119"/>
        <v>0</v>
      </c>
      <c r="AR151" s="317">
        <f t="shared" si="120"/>
        <v>0</v>
      </c>
      <c r="AS151" s="317">
        <f t="shared" si="121"/>
        <v>0</v>
      </c>
      <c r="AT151" s="317">
        <f t="shared" si="122"/>
        <v>0</v>
      </c>
      <c r="AU151" s="317">
        <f t="shared" si="123"/>
        <v>0</v>
      </c>
      <c r="AV151" s="317">
        <f t="shared" si="124"/>
        <v>0</v>
      </c>
      <c r="AW151" s="317">
        <f t="shared" si="125"/>
        <v>0</v>
      </c>
      <c r="AX151" s="317">
        <f t="shared" si="126"/>
        <v>0</v>
      </c>
      <c r="AY151" s="317">
        <f t="shared" si="127"/>
        <v>0</v>
      </c>
      <c r="AZ151" s="317">
        <f t="shared" si="128"/>
        <v>0</v>
      </c>
      <c r="BA151" s="317">
        <f t="shared" si="129"/>
        <v>0</v>
      </c>
    </row>
    <row r="152" spans="1:53" s="314" customFormat="1" ht="15.75" customHeight="1">
      <c r="A152" s="63" t="str">
        <f t="array" ref="A152">IF(C152&lt;&gt;0,SUM(($C$11:C152&lt;&gt;0)*1),"")</f>
        <v/>
      </c>
      <c r="B152" s="315"/>
      <c r="C152" s="315"/>
      <c r="D152" s="315"/>
      <c r="E152" s="433"/>
      <c r="F152" s="371"/>
      <c r="G152" s="373"/>
      <c r="H152" s="373"/>
      <c r="I152" s="63" t="str">
        <f t="shared" si="91"/>
        <v/>
      </c>
      <c r="J152" s="317">
        <f t="shared" si="92"/>
        <v>0</v>
      </c>
      <c r="K152" s="317">
        <f t="shared" si="93"/>
        <v>0</v>
      </c>
      <c r="L152" s="317">
        <f t="shared" si="94"/>
        <v>0</v>
      </c>
      <c r="M152" s="317">
        <f t="shared" si="95"/>
        <v>0</v>
      </c>
      <c r="N152" s="317">
        <f t="shared" si="130"/>
        <v>0</v>
      </c>
      <c r="O152" s="317">
        <f t="shared" si="131"/>
        <v>0</v>
      </c>
      <c r="P152" s="317">
        <f t="shared" si="96"/>
        <v>0</v>
      </c>
      <c r="Q152" s="317">
        <f t="shared" si="97"/>
        <v>0</v>
      </c>
      <c r="R152" s="317">
        <f t="shared" si="98"/>
        <v>0</v>
      </c>
      <c r="S152" s="317">
        <f t="shared" si="99"/>
        <v>0</v>
      </c>
      <c r="T152" s="317">
        <f t="shared" si="132"/>
        <v>0</v>
      </c>
      <c r="U152" s="317">
        <f t="shared" si="133"/>
        <v>0</v>
      </c>
      <c r="V152" s="317">
        <f t="shared" si="100"/>
        <v>0</v>
      </c>
      <c r="W152" s="317">
        <f t="shared" si="101"/>
        <v>0</v>
      </c>
      <c r="X152" s="317">
        <f t="shared" si="102"/>
        <v>0</v>
      </c>
      <c r="Y152" s="317">
        <f t="shared" si="103"/>
        <v>0</v>
      </c>
      <c r="Z152" s="317">
        <f t="shared" si="104"/>
        <v>0</v>
      </c>
      <c r="AA152" s="317">
        <f t="shared" si="105"/>
        <v>0</v>
      </c>
      <c r="AB152" s="317">
        <f t="shared" si="106"/>
        <v>0</v>
      </c>
      <c r="AC152" s="317">
        <f t="shared" si="107"/>
        <v>0</v>
      </c>
      <c r="AD152" s="317">
        <f t="shared" si="108"/>
        <v>0</v>
      </c>
      <c r="AE152" s="317">
        <f t="shared" si="109"/>
        <v>0</v>
      </c>
      <c r="AF152" s="317">
        <f t="shared" si="134"/>
        <v>0</v>
      </c>
      <c r="AG152" s="317">
        <f t="shared" si="135"/>
        <v>0</v>
      </c>
      <c r="AH152" s="317">
        <f t="shared" si="110"/>
        <v>0</v>
      </c>
      <c r="AI152" s="317">
        <f t="shared" si="111"/>
        <v>0</v>
      </c>
      <c r="AJ152" s="317">
        <f t="shared" si="112"/>
        <v>0</v>
      </c>
      <c r="AK152" s="317">
        <f t="shared" si="113"/>
        <v>0</v>
      </c>
      <c r="AL152" s="317">
        <f t="shared" si="114"/>
        <v>0</v>
      </c>
      <c r="AM152" s="317">
        <f t="shared" si="115"/>
        <v>0</v>
      </c>
      <c r="AN152" s="317">
        <f t="shared" si="116"/>
        <v>0</v>
      </c>
      <c r="AO152" s="317">
        <f t="shared" si="117"/>
        <v>0</v>
      </c>
      <c r="AP152" s="317">
        <f t="shared" si="118"/>
        <v>0</v>
      </c>
      <c r="AQ152" s="317">
        <f t="shared" si="119"/>
        <v>0</v>
      </c>
      <c r="AR152" s="317">
        <f t="shared" si="120"/>
        <v>0</v>
      </c>
      <c r="AS152" s="317">
        <f t="shared" si="121"/>
        <v>0</v>
      </c>
      <c r="AT152" s="317">
        <f t="shared" si="122"/>
        <v>0</v>
      </c>
      <c r="AU152" s="317">
        <f t="shared" si="123"/>
        <v>0</v>
      </c>
      <c r="AV152" s="317">
        <f t="shared" si="124"/>
        <v>0</v>
      </c>
      <c r="AW152" s="317">
        <f t="shared" si="125"/>
        <v>0</v>
      </c>
      <c r="AX152" s="317">
        <f t="shared" si="126"/>
        <v>0</v>
      </c>
      <c r="AY152" s="317">
        <f t="shared" si="127"/>
        <v>0</v>
      </c>
      <c r="AZ152" s="317">
        <f t="shared" si="128"/>
        <v>0</v>
      </c>
      <c r="BA152" s="317">
        <f t="shared" si="129"/>
        <v>0</v>
      </c>
    </row>
    <row r="153" spans="1:53" s="314" customFormat="1" ht="15.75" customHeight="1">
      <c r="A153" s="63" t="str">
        <f t="array" ref="A153">IF(C153&lt;&gt;0,SUM(($C$11:C153&lt;&gt;0)*1),"")</f>
        <v/>
      </c>
      <c r="B153" s="315"/>
      <c r="C153" s="315"/>
      <c r="D153" s="315"/>
      <c r="E153" s="433"/>
      <c r="F153" s="371"/>
      <c r="G153" s="373"/>
      <c r="H153" s="373"/>
      <c r="I153" s="63" t="str">
        <f t="shared" si="91"/>
        <v/>
      </c>
      <c r="J153" s="317">
        <f t="shared" si="92"/>
        <v>0</v>
      </c>
      <c r="K153" s="317">
        <f t="shared" si="93"/>
        <v>0</v>
      </c>
      <c r="L153" s="317">
        <f t="shared" si="94"/>
        <v>0</v>
      </c>
      <c r="M153" s="317">
        <f t="shared" si="95"/>
        <v>0</v>
      </c>
      <c r="N153" s="317">
        <f t="shared" si="130"/>
        <v>0</v>
      </c>
      <c r="O153" s="317">
        <f t="shared" si="131"/>
        <v>0</v>
      </c>
      <c r="P153" s="317">
        <f t="shared" si="96"/>
        <v>0</v>
      </c>
      <c r="Q153" s="317">
        <f t="shared" si="97"/>
        <v>0</v>
      </c>
      <c r="R153" s="317">
        <f t="shared" si="98"/>
        <v>0</v>
      </c>
      <c r="S153" s="317">
        <f t="shared" si="99"/>
        <v>0</v>
      </c>
      <c r="T153" s="317">
        <f t="shared" si="132"/>
        <v>0</v>
      </c>
      <c r="U153" s="317">
        <f t="shared" si="133"/>
        <v>0</v>
      </c>
      <c r="V153" s="317">
        <f t="shared" si="100"/>
        <v>0</v>
      </c>
      <c r="W153" s="317">
        <f t="shared" si="101"/>
        <v>0</v>
      </c>
      <c r="X153" s="317">
        <f t="shared" si="102"/>
        <v>0</v>
      </c>
      <c r="Y153" s="317">
        <f t="shared" si="103"/>
        <v>0</v>
      </c>
      <c r="Z153" s="317">
        <f t="shared" si="104"/>
        <v>0</v>
      </c>
      <c r="AA153" s="317">
        <f t="shared" si="105"/>
        <v>0</v>
      </c>
      <c r="AB153" s="317">
        <f t="shared" si="106"/>
        <v>0</v>
      </c>
      <c r="AC153" s="317">
        <f t="shared" si="107"/>
        <v>0</v>
      </c>
      <c r="AD153" s="317">
        <f t="shared" si="108"/>
        <v>0</v>
      </c>
      <c r="AE153" s="317">
        <f t="shared" si="109"/>
        <v>0</v>
      </c>
      <c r="AF153" s="317">
        <f t="shared" si="134"/>
        <v>0</v>
      </c>
      <c r="AG153" s="317">
        <f t="shared" si="135"/>
        <v>0</v>
      </c>
      <c r="AH153" s="317">
        <f t="shared" si="110"/>
        <v>0</v>
      </c>
      <c r="AI153" s="317">
        <f t="shared" si="111"/>
        <v>0</v>
      </c>
      <c r="AJ153" s="317">
        <f t="shared" si="112"/>
        <v>0</v>
      </c>
      <c r="AK153" s="317">
        <f t="shared" si="113"/>
        <v>0</v>
      </c>
      <c r="AL153" s="317">
        <f t="shared" si="114"/>
        <v>0</v>
      </c>
      <c r="AM153" s="317">
        <f t="shared" si="115"/>
        <v>0</v>
      </c>
      <c r="AN153" s="317">
        <f t="shared" si="116"/>
        <v>0</v>
      </c>
      <c r="AO153" s="317">
        <f t="shared" si="117"/>
        <v>0</v>
      </c>
      <c r="AP153" s="317">
        <f t="shared" si="118"/>
        <v>0</v>
      </c>
      <c r="AQ153" s="317">
        <f t="shared" si="119"/>
        <v>0</v>
      </c>
      <c r="AR153" s="317">
        <f t="shared" si="120"/>
        <v>0</v>
      </c>
      <c r="AS153" s="317">
        <f t="shared" si="121"/>
        <v>0</v>
      </c>
      <c r="AT153" s="317">
        <f t="shared" si="122"/>
        <v>0</v>
      </c>
      <c r="AU153" s="317">
        <f t="shared" si="123"/>
        <v>0</v>
      </c>
      <c r="AV153" s="317">
        <f t="shared" si="124"/>
        <v>0</v>
      </c>
      <c r="AW153" s="317">
        <f t="shared" si="125"/>
        <v>0</v>
      </c>
      <c r="AX153" s="317">
        <f t="shared" si="126"/>
        <v>0</v>
      </c>
      <c r="AY153" s="317">
        <f t="shared" si="127"/>
        <v>0</v>
      </c>
      <c r="AZ153" s="317">
        <f t="shared" si="128"/>
        <v>0</v>
      </c>
      <c r="BA153" s="317">
        <f t="shared" si="129"/>
        <v>0</v>
      </c>
    </row>
    <row r="154" spans="1:53" s="314" customFormat="1" ht="15.75" customHeight="1">
      <c r="A154" s="63" t="str">
        <f t="array" ref="A154">IF(C154&lt;&gt;0,SUM(($C$11:C154&lt;&gt;0)*1),"")</f>
        <v/>
      </c>
      <c r="B154" s="315"/>
      <c r="C154" s="315"/>
      <c r="D154" s="315"/>
      <c r="E154" s="433"/>
      <c r="F154" s="371"/>
      <c r="G154" s="373"/>
      <c r="H154" s="373"/>
      <c r="I154" s="63" t="str">
        <f t="shared" si="91"/>
        <v/>
      </c>
      <c r="J154" s="317">
        <f t="shared" si="92"/>
        <v>0</v>
      </c>
      <c r="K154" s="317">
        <f t="shared" si="93"/>
        <v>0</v>
      </c>
      <c r="L154" s="317">
        <f t="shared" si="94"/>
        <v>0</v>
      </c>
      <c r="M154" s="317">
        <f t="shared" si="95"/>
        <v>0</v>
      </c>
      <c r="N154" s="317">
        <f t="shared" si="130"/>
        <v>0</v>
      </c>
      <c r="O154" s="317">
        <f t="shared" si="131"/>
        <v>0</v>
      </c>
      <c r="P154" s="317">
        <f t="shared" si="96"/>
        <v>0</v>
      </c>
      <c r="Q154" s="317">
        <f t="shared" si="97"/>
        <v>0</v>
      </c>
      <c r="R154" s="317">
        <f t="shared" si="98"/>
        <v>0</v>
      </c>
      <c r="S154" s="317">
        <f t="shared" si="99"/>
        <v>0</v>
      </c>
      <c r="T154" s="317">
        <f t="shared" si="132"/>
        <v>0</v>
      </c>
      <c r="U154" s="317">
        <f t="shared" si="133"/>
        <v>0</v>
      </c>
      <c r="V154" s="317">
        <f t="shared" si="100"/>
        <v>0</v>
      </c>
      <c r="W154" s="317">
        <f t="shared" si="101"/>
        <v>0</v>
      </c>
      <c r="X154" s="317">
        <f t="shared" si="102"/>
        <v>0</v>
      </c>
      <c r="Y154" s="317">
        <f t="shared" si="103"/>
        <v>0</v>
      </c>
      <c r="Z154" s="317">
        <f t="shared" si="104"/>
        <v>0</v>
      </c>
      <c r="AA154" s="317">
        <f t="shared" si="105"/>
        <v>0</v>
      </c>
      <c r="AB154" s="317">
        <f t="shared" si="106"/>
        <v>0</v>
      </c>
      <c r="AC154" s="317">
        <f t="shared" si="107"/>
        <v>0</v>
      </c>
      <c r="AD154" s="317">
        <f t="shared" si="108"/>
        <v>0</v>
      </c>
      <c r="AE154" s="317">
        <f t="shared" si="109"/>
        <v>0</v>
      </c>
      <c r="AF154" s="317">
        <f t="shared" si="134"/>
        <v>0</v>
      </c>
      <c r="AG154" s="317">
        <f t="shared" si="135"/>
        <v>0</v>
      </c>
      <c r="AH154" s="317">
        <f t="shared" si="110"/>
        <v>0</v>
      </c>
      <c r="AI154" s="317">
        <f t="shared" si="111"/>
        <v>0</v>
      </c>
      <c r="AJ154" s="317">
        <f t="shared" si="112"/>
        <v>0</v>
      </c>
      <c r="AK154" s="317">
        <f t="shared" si="113"/>
        <v>0</v>
      </c>
      <c r="AL154" s="317">
        <f t="shared" si="114"/>
        <v>0</v>
      </c>
      <c r="AM154" s="317">
        <f t="shared" si="115"/>
        <v>0</v>
      </c>
      <c r="AN154" s="317">
        <f t="shared" si="116"/>
        <v>0</v>
      </c>
      <c r="AO154" s="317">
        <f t="shared" si="117"/>
        <v>0</v>
      </c>
      <c r="AP154" s="317">
        <f t="shared" si="118"/>
        <v>0</v>
      </c>
      <c r="AQ154" s="317">
        <f t="shared" si="119"/>
        <v>0</v>
      </c>
      <c r="AR154" s="317">
        <f t="shared" si="120"/>
        <v>0</v>
      </c>
      <c r="AS154" s="317">
        <f t="shared" si="121"/>
        <v>0</v>
      </c>
      <c r="AT154" s="317">
        <f t="shared" si="122"/>
        <v>0</v>
      </c>
      <c r="AU154" s="317">
        <f t="shared" si="123"/>
        <v>0</v>
      </c>
      <c r="AV154" s="317">
        <f t="shared" si="124"/>
        <v>0</v>
      </c>
      <c r="AW154" s="317">
        <f t="shared" si="125"/>
        <v>0</v>
      </c>
      <c r="AX154" s="317">
        <f t="shared" si="126"/>
        <v>0</v>
      </c>
      <c r="AY154" s="317">
        <f t="shared" si="127"/>
        <v>0</v>
      </c>
      <c r="AZ154" s="317">
        <f t="shared" si="128"/>
        <v>0</v>
      </c>
      <c r="BA154" s="317">
        <f t="shared" si="129"/>
        <v>0</v>
      </c>
    </row>
    <row r="155" spans="1:53" s="314" customFormat="1" ht="15.75" customHeight="1">
      <c r="A155" s="63" t="str">
        <f t="array" ref="A155">IF(C155&lt;&gt;0,SUM(($C$11:C155&lt;&gt;0)*1),"")</f>
        <v/>
      </c>
      <c r="B155" s="315"/>
      <c r="C155" s="315"/>
      <c r="D155" s="315"/>
      <c r="E155" s="433"/>
      <c r="F155" s="371"/>
      <c r="G155" s="373"/>
      <c r="H155" s="373"/>
      <c r="I155" s="63" t="str">
        <f t="shared" si="91"/>
        <v/>
      </c>
      <c r="J155" s="317">
        <f t="shared" si="92"/>
        <v>0</v>
      </c>
      <c r="K155" s="317">
        <f t="shared" si="93"/>
        <v>0</v>
      </c>
      <c r="L155" s="317">
        <f t="shared" si="94"/>
        <v>0</v>
      </c>
      <c r="M155" s="317">
        <f t="shared" si="95"/>
        <v>0</v>
      </c>
      <c r="N155" s="317">
        <f t="shared" si="130"/>
        <v>0</v>
      </c>
      <c r="O155" s="317">
        <f t="shared" si="131"/>
        <v>0</v>
      </c>
      <c r="P155" s="317">
        <f t="shared" si="96"/>
        <v>0</v>
      </c>
      <c r="Q155" s="317">
        <f t="shared" si="97"/>
        <v>0</v>
      </c>
      <c r="R155" s="317">
        <f t="shared" si="98"/>
        <v>0</v>
      </c>
      <c r="S155" s="317">
        <f t="shared" si="99"/>
        <v>0</v>
      </c>
      <c r="T155" s="317">
        <f t="shared" si="132"/>
        <v>0</v>
      </c>
      <c r="U155" s="317">
        <f t="shared" si="133"/>
        <v>0</v>
      </c>
      <c r="V155" s="317">
        <f t="shared" si="100"/>
        <v>0</v>
      </c>
      <c r="W155" s="317">
        <f t="shared" si="101"/>
        <v>0</v>
      </c>
      <c r="X155" s="317">
        <f t="shared" si="102"/>
        <v>0</v>
      </c>
      <c r="Y155" s="317">
        <f t="shared" si="103"/>
        <v>0</v>
      </c>
      <c r="Z155" s="317">
        <f t="shared" si="104"/>
        <v>0</v>
      </c>
      <c r="AA155" s="317">
        <f t="shared" si="105"/>
        <v>0</v>
      </c>
      <c r="AB155" s="317">
        <f t="shared" si="106"/>
        <v>0</v>
      </c>
      <c r="AC155" s="317">
        <f t="shared" si="107"/>
        <v>0</v>
      </c>
      <c r="AD155" s="317">
        <f t="shared" si="108"/>
        <v>0</v>
      </c>
      <c r="AE155" s="317">
        <f t="shared" si="109"/>
        <v>0</v>
      </c>
      <c r="AF155" s="317">
        <f t="shared" si="134"/>
        <v>0</v>
      </c>
      <c r="AG155" s="317">
        <f t="shared" si="135"/>
        <v>0</v>
      </c>
      <c r="AH155" s="317">
        <f t="shared" si="110"/>
        <v>0</v>
      </c>
      <c r="AI155" s="317">
        <f t="shared" si="111"/>
        <v>0</v>
      </c>
      <c r="AJ155" s="317">
        <f t="shared" si="112"/>
        <v>0</v>
      </c>
      <c r="AK155" s="317">
        <f t="shared" si="113"/>
        <v>0</v>
      </c>
      <c r="AL155" s="317">
        <f t="shared" si="114"/>
        <v>0</v>
      </c>
      <c r="AM155" s="317">
        <f t="shared" si="115"/>
        <v>0</v>
      </c>
      <c r="AN155" s="317">
        <f t="shared" si="116"/>
        <v>0</v>
      </c>
      <c r="AO155" s="317">
        <f t="shared" si="117"/>
        <v>0</v>
      </c>
      <c r="AP155" s="317">
        <f t="shared" si="118"/>
        <v>0</v>
      </c>
      <c r="AQ155" s="317">
        <f t="shared" si="119"/>
        <v>0</v>
      </c>
      <c r="AR155" s="317">
        <f t="shared" si="120"/>
        <v>0</v>
      </c>
      <c r="AS155" s="317">
        <f t="shared" si="121"/>
        <v>0</v>
      </c>
      <c r="AT155" s="317">
        <f t="shared" si="122"/>
        <v>0</v>
      </c>
      <c r="AU155" s="317">
        <f t="shared" si="123"/>
        <v>0</v>
      </c>
      <c r="AV155" s="317">
        <f t="shared" si="124"/>
        <v>0</v>
      </c>
      <c r="AW155" s="317">
        <f t="shared" si="125"/>
        <v>0</v>
      </c>
      <c r="AX155" s="317">
        <f t="shared" si="126"/>
        <v>0</v>
      </c>
      <c r="AY155" s="317">
        <f t="shared" si="127"/>
        <v>0</v>
      </c>
      <c r="AZ155" s="317">
        <f t="shared" si="128"/>
        <v>0</v>
      </c>
      <c r="BA155" s="317">
        <f t="shared" si="129"/>
        <v>0</v>
      </c>
    </row>
    <row r="156" spans="1:53" s="314" customFormat="1" ht="15.75" customHeight="1">
      <c r="A156" s="63" t="str">
        <f t="array" ref="A156">IF(C156&lt;&gt;0,SUM(($C$11:C156&lt;&gt;0)*1),"")</f>
        <v/>
      </c>
      <c r="B156" s="315"/>
      <c r="C156" s="315"/>
      <c r="D156" s="315"/>
      <c r="E156" s="433"/>
      <c r="F156" s="371"/>
      <c r="G156" s="373"/>
      <c r="H156" s="373"/>
      <c r="I156" s="63" t="str">
        <f t="shared" si="91"/>
        <v/>
      </c>
      <c r="J156" s="317">
        <f t="shared" si="92"/>
        <v>0</v>
      </c>
      <c r="K156" s="317">
        <f t="shared" si="93"/>
        <v>0</v>
      </c>
      <c r="L156" s="317">
        <f t="shared" si="94"/>
        <v>0</v>
      </c>
      <c r="M156" s="317">
        <f t="shared" si="95"/>
        <v>0</v>
      </c>
      <c r="N156" s="317">
        <f t="shared" si="130"/>
        <v>0</v>
      </c>
      <c r="O156" s="317">
        <f t="shared" si="131"/>
        <v>0</v>
      </c>
      <c r="P156" s="317">
        <f t="shared" si="96"/>
        <v>0</v>
      </c>
      <c r="Q156" s="317">
        <f t="shared" si="97"/>
        <v>0</v>
      </c>
      <c r="R156" s="317">
        <f t="shared" si="98"/>
        <v>0</v>
      </c>
      <c r="S156" s="317">
        <f t="shared" si="99"/>
        <v>0</v>
      </c>
      <c r="T156" s="317">
        <f t="shared" si="132"/>
        <v>0</v>
      </c>
      <c r="U156" s="317">
        <f t="shared" si="133"/>
        <v>0</v>
      </c>
      <c r="V156" s="317">
        <f t="shared" si="100"/>
        <v>0</v>
      </c>
      <c r="W156" s="317">
        <f t="shared" si="101"/>
        <v>0</v>
      </c>
      <c r="X156" s="317">
        <f t="shared" si="102"/>
        <v>0</v>
      </c>
      <c r="Y156" s="317">
        <f t="shared" si="103"/>
        <v>0</v>
      </c>
      <c r="Z156" s="317">
        <f t="shared" si="104"/>
        <v>0</v>
      </c>
      <c r="AA156" s="317">
        <f t="shared" si="105"/>
        <v>0</v>
      </c>
      <c r="AB156" s="317">
        <f t="shared" si="106"/>
        <v>0</v>
      </c>
      <c r="AC156" s="317">
        <f t="shared" si="107"/>
        <v>0</v>
      </c>
      <c r="AD156" s="317">
        <f t="shared" si="108"/>
        <v>0</v>
      </c>
      <c r="AE156" s="317">
        <f t="shared" si="109"/>
        <v>0</v>
      </c>
      <c r="AF156" s="317">
        <f t="shared" si="134"/>
        <v>0</v>
      </c>
      <c r="AG156" s="317">
        <f t="shared" si="135"/>
        <v>0</v>
      </c>
      <c r="AH156" s="317">
        <f t="shared" si="110"/>
        <v>0</v>
      </c>
      <c r="AI156" s="317">
        <f t="shared" si="111"/>
        <v>0</v>
      </c>
      <c r="AJ156" s="317">
        <f t="shared" si="112"/>
        <v>0</v>
      </c>
      <c r="AK156" s="317">
        <f t="shared" si="113"/>
        <v>0</v>
      </c>
      <c r="AL156" s="317">
        <f t="shared" si="114"/>
        <v>0</v>
      </c>
      <c r="AM156" s="317">
        <f t="shared" si="115"/>
        <v>0</v>
      </c>
      <c r="AN156" s="317">
        <f t="shared" si="116"/>
        <v>0</v>
      </c>
      <c r="AO156" s="317">
        <f t="shared" si="117"/>
        <v>0</v>
      </c>
      <c r="AP156" s="317">
        <f t="shared" si="118"/>
        <v>0</v>
      </c>
      <c r="AQ156" s="317">
        <f t="shared" si="119"/>
        <v>0</v>
      </c>
      <c r="AR156" s="317">
        <f t="shared" si="120"/>
        <v>0</v>
      </c>
      <c r="AS156" s="317">
        <f t="shared" si="121"/>
        <v>0</v>
      </c>
      <c r="AT156" s="317">
        <f t="shared" si="122"/>
        <v>0</v>
      </c>
      <c r="AU156" s="317">
        <f t="shared" si="123"/>
        <v>0</v>
      </c>
      <c r="AV156" s="317">
        <f t="shared" si="124"/>
        <v>0</v>
      </c>
      <c r="AW156" s="317">
        <f t="shared" si="125"/>
        <v>0</v>
      </c>
      <c r="AX156" s="317">
        <f t="shared" si="126"/>
        <v>0</v>
      </c>
      <c r="AY156" s="317">
        <f t="shared" si="127"/>
        <v>0</v>
      </c>
      <c r="AZ156" s="317">
        <f t="shared" si="128"/>
        <v>0</v>
      </c>
      <c r="BA156" s="317">
        <f t="shared" si="129"/>
        <v>0</v>
      </c>
    </row>
    <row r="157" spans="1:53" s="314" customFormat="1" ht="15.75" customHeight="1">
      <c r="A157" s="63" t="str">
        <f t="array" ref="A157">IF(C157&lt;&gt;0,SUM(($C$11:C157&lt;&gt;0)*1),"")</f>
        <v/>
      </c>
      <c r="B157" s="315"/>
      <c r="C157" s="315"/>
      <c r="D157" s="315"/>
      <c r="E157" s="433"/>
      <c r="F157" s="371"/>
      <c r="G157" s="373"/>
      <c r="H157" s="373"/>
      <c r="I157" s="63" t="str">
        <f t="shared" si="91"/>
        <v/>
      </c>
      <c r="J157" s="317">
        <f t="shared" si="92"/>
        <v>0</v>
      </c>
      <c r="K157" s="317">
        <f t="shared" si="93"/>
        <v>0</v>
      </c>
      <c r="L157" s="317">
        <f t="shared" si="94"/>
        <v>0</v>
      </c>
      <c r="M157" s="317">
        <f t="shared" si="95"/>
        <v>0</v>
      </c>
      <c r="N157" s="317">
        <f t="shared" si="130"/>
        <v>0</v>
      </c>
      <c r="O157" s="317">
        <f t="shared" si="131"/>
        <v>0</v>
      </c>
      <c r="P157" s="317">
        <f t="shared" si="96"/>
        <v>0</v>
      </c>
      <c r="Q157" s="317">
        <f t="shared" si="97"/>
        <v>0</v>
      </c>
      <c r="R157" s="317">
        <f t="shared" si="98"/>
        <v>0</v>
      </c>
      <c r="S157" s="317">
        <f t="shared" si="99"/>
        <v>0</v>
      </c>
      <c r="T157" s="317">
        <f t="shared" si="132"/>
        <v>0</v>
      </c>
      <c r="U157" s="317">
        <f t="shared" si="133"/>
        <v>0</v>
      </c>
      <c r="V157" s="317">
        <f t="shared" si="100"/>
        <v>0</v>
      </c>
      <c r="W157" s="317">
        <f t="shared" si="101"/>
        <v>0</v>
      </c>
      <c r="X157" s="317">
        <f t="shared" si="102"/>
        <v>0</v>
      </c>
      <c r="Y157" s="317">
        <f t="shared" si="103"/>
        <v>0</v>
      </c>
      <c r="Z157" s="317">
        <f t="shared" si="104"/>
        <v>0</v>
      </c>
      <c r="AA157" s="317">
        <f t="shared" si="105"/>
        <v>0</v>
      </c>
      <c r="AB157" s="317">
        <f t="shared" si="106"/>
        <v>0</v>
      </c>
      <c r="AC157" s="317">
        <f t="shared" si="107"/>
        <v>0</v>
      </c>
      <c r="AD157" s="317">
        <f t="shared" si="108"/>
        <v>0</v>
      </c>
      <c r="AE157" s="317">
        <f t="shared" si="109"/>
        <v>0</v>
      </c>
      <c r="AF157" s="317">
        <f t="shared" si="134"/>
        <v>0</v>
      </c>
      <c r="AG157" s="317">
        <f t="shared" si="135"/>
        <v>0</v>
      </c>
      <c r="AH157" s="317">
        <f t="shared" si="110"/>
        <v>0</v>
      </c>
      <c r="AI157" s="317">
        <f t="shared" si="111"/>
        <v>0</v>
      </c>
      <c r="AJ157" s="317">
        <f t="shared" si="112"/>
        <v>0</v>
      </c>
      <c r="AK157" s="317">
        <f t="shared" si="113"/>
        <v>0</v>
      </c>
      <c r="AL157" s="317">
        <f t="shared" si="114"/>
        <v>0</v>
      </c>
      <c r="AM157" s="317">
        <f t="shared" si="115"/>
        <v>0</v>
      </c>
      <c r="AN157" s="317">
        <f t="shared" si="116"/>
        <v>0</v>
      </c>
      <c r="AO157" s="317">
        <f t="shared" si="117"/>
        <v>0</v>
      </c>
      <c r="AP157" s="317">
        <f t="shared" si="118"/>
        <v>0</v>
      </c>
      <c r="AQ157" s="317">
        <f t="shared" si="119"/>
        <v>0</v>
      </c>
      <c r="AR157" s="317">
        <f t="shared" si="120"/>
        <v>0</v>
      </c>
      <c r="AS157" s="317">
        <f t="shared" si="121"/>
        <v>0</v>
      </c>
      <c r="AT157" s="317">
        <f t="shared" si="122"/>
        <v>0</v>
      </c>
      <c r="AU157" s="317">
        <f t="shared" si="123"/>
        <v>0</v>
      </c>
      <c r="AV157" s="317">
        <f t="shared" si="124"/>
        <v>0</v>
      </c>
      <c r="AW157" s="317">
        <f t="shared" si="125"/>
        <v>0</v>
      </c>
      <c r="AX157" s="317">
        <f t="shared" si="126"/>
        <v>0</v>
      </c>
      <c r="AY157" s="317">
        <f t="shared" si="127"/>
        <v>0</v>
      </c>
      <c r="AZ157" s="317">
        <f t="shared" si="128"/>
        <v>0</v>
      </c>
      <c r="BA157" s="317">
        <f t="shared" si="129"/>
        <v>0</v>
      </c>
    </row>
    <row r="158" spans="1:53" s="314" customFormat="1" ht="15.75" customHeight="1">
      <c r="A158" s="63" t="str">
        <f t="array" ref="A158">IF(C158&lt;&gt;0,SUM(($C$11:C158&lt;&gt;0)*1),"")</f>
        <v/>
      </c>
      <c r="B158" s="315"/>
      <c r="C158" s="315"/>
      <c r="D158" s="315"/>
      <c r="E158" s="433"/>
      <c r="F158" s="371"/>
      <c r="G158" s="373"/>
      <c r="H158" s="373"/>
      <c r="I158" s="63" t="str">
        <f t="shared" si="91"/>
        <v/>
      </c>
      <c r="J158" s="317">
        <f t="shared" si="92"/>
        <v>0</v>
      </c>
      <c r="K158" s="317">
        <f t="shared" si="93"/>
        <v>0</v>
      </c>
      <c r="L158" s="317">
        <f t="shared" si="94"/>
        <v>0</v>
      </c>
      <c r="M158" s="317">
        <f t="shared" si="95"/>
        <v>0</v>
      </c>
      <c r="N158" s="317">
        <f t="shared" si="130"/>
        <v>0</v>
      </c>
      <c r="O158" s="317">
        <f t="shared" si="131"/>
        <v>0</v>
      </c>
      <c r="P158" s="317">
        <f t="shared" si="96"/>
        <v>0</v>
      </c>
      <c r="Q158" s="317">
        <f t="shared" si="97"/>
        <v>0</v>
      </c>
      <c r="R158" s="317">
        <f t="shared" si="98"/>
        <v>0</v>
      </c>
      <c r="S158" s="317">
        <f t="shared" si="99"/>
        <v>0</v>
      </c>
      <c r="T158" s="317">
        <f t="shared" si="132"/>
        <v>0</v>
      </c>
      <c r="U158" s="317">
        <f t="shared" si="133"/>
        <v>0</v>
      </c>
      <c r="V158" s="317">
        <f t="shared" si="100"/>
        <v>0</v>
      </c>
      <c r="W158" s="317">
        <f t="shared" si="101"/>
        <v>0</v>
      </c>
      <c r="X158" s="317">
        <f t="shared" si="102"/>
        <v>0</v>
      </c>
      <c r="Y158" s="317">
        <f t="shared" si="103"/>
        <v>0</v>
      </c>
      <c r="Z158" s="317">
        <f t="shared" si="104"/>
        <v>0</v>
      </c>
      <c r="AA158" s="317">
        <f t="shared" si="105"/>
        <v>0</v>
      </c>
      <c r="AB158" s="317">
        <f t="shared" si="106"/>
        <v>0</v>
      </c>
      <c r="AC158" s="317">
        <f t="shared" si="107"/>
        <v>0</v>
      </c>
      <c r="AD158" s="317">
        <f t="shared" si="108"/>
        <v>0</v>
      </c>
      <c r="AE158" s="317">
        <f t="shared" si="109"/>
        <v>0</v>
      </c>
      <c r="AF158" s="317">
        <f t="shared" si="134"/>
        <v>0</v>
      </c>
      <c r="AG158" s="317">
        <f t="shared" si="135"/>
        <v>0</v>
      </c>
      <c r="AH158" s="317">
        <f t="shared" si="110"/>
        <v>0</v>
      </c>
      <c r="AI158" s="317">
        <f t="shared" si="111"/>
        <v>0</v>
      </c>
      <c r="AJ158" s="317">
        <f t="shared" si="112"/>
        <v>0</v>
      </c>
      <c r="AK158" s="317">
        <f t="shared" si="113"/>
        <v>0</v>
      </c>
      <c r="AL158" s="317">
        <f t="shared" si="114"/>
        <v>0</v>
      </c>
      <c r="AM158" s="317">
        <f t="shared" si="115"/>
        <v>0</v>
      </c>
      <c r="AN158" s="317">
        <f t="shared" si="116"/>
        <v>0</v>
      </c>
      <c r="AO158" s="317">
        <f t="shared" si="117"/>
        <v>0</v>
      </c>
      <c r="AP158" s="317">
        <f t="shared" si="118"/>
        <v>0</v>
      </c>
      <c r="AQ158" s="317">
        <f t="shared" si="119"/>
        <v>0</v>
      </c>
      <c r="AR158" s="317">
        <f t="shared" si="120"/>
        <v>0</v>
      </c>
      <c r="AS158" s="317">
        <f t="shared" si="121"/>
        <v>0</v>
      </c>
      <c r="AT158" s="317">
        <f t="shared" si="122"/>
        <v>0</v>
      </c>
      <c r="AU158" s="317">
        <f t="shared" si="123"/>
        <v>0</v>
      </c>
      <c r="AV158" s="317">
        <f t="shared" si="124"/>
        <v>0</v>
      </c>
      <c r="AW158" s="317">
        <f t="shared" si="125"/>
        <v>0</v>
      </c>
      <c r="AX158" s="317">
        <f t="shared" si="126"/>
        <v>0</v>
      </c>
      <c r="AY158" s="317">
        <f t="shared" si="127"/>
        <v>0</v>
      </c>
      <c r="AZ158" s="317">
        <f t="shared" si="128"/>
        <v>0</v>
      </c>
      <c r="BA158" s="317">
        <f t="shared" si="129"/>
        <v>0</v>
      </c>
    </row>
    <row r="159" spans="1:53" s="314" customFormat="1" ht="15.75" customHeight="1">
      <c r="A159" s="63" t="str">
        <f t="array" ref="A159">IF(C159&lt;&gt;0,SUM(($C$11:C159&lt;&gt;0)*1),"")</f>
        <v/>
      </c>
      <c r="B159" s="315"/>
      <c r="C159" s="315"/>
      <c r="D159" s="315"/>
      <c r="E159" s="433"/>
      <c r="F159" s="371"/>
      <c r="G159" s="373"/>
      <c r="H159" s="373"/>
      <c r="I159" s="63" t="str">
        <f t="shared" si="91"/>
        <v/>
      </c>
      <c r="J159" s="317">
        <f t="shared" si="92"/>
        <v>0</v>
      </c>
      <c r="K159" s="317">
        <f t="shared" si="93"/>
        <v>0</v>
      </c>
      <c r="L159" s="317">
        <f t="shared" si="94"/>
        <v>0</v>
      </c>
      <c r="M159" s="317">
        <f t="shared" si="95"/>
        <v>0</v>
      </c>
      <c r="N159" s="317">
        <f t="shared" si="130"/>
        <v>0</v>
      </c>
      <c r="O159" s="317">
        <f t="shared" si="131"/>
        <v>0</v>
      </c>
      <c r="P159" s="317">
        <f t="shared" si="96"/>
        <v>0</v>
      </c>
      <c r="Q159" s="317">
        <f t="shared" si="97"/>
        <v>0</v>
      </c>
      <c r="R159" s="317">
        <f t="shared" si="98"/>
        <v>0</v>
      </c>
      <c r="S159" s="317">
        <f t="shared" si="99"/>
        <v>0</v>
      </c>
      <c r="T159" s="317">
        <f t="shared" si="132"/>
        <v>0</v>
      </c>
      <c r="U159" s="317">
        <f t="shared" si="133"/>
        <v>0</v>
      </c>
      <c r="V159" s="317">
        <f t="shared" si="100"/>
        <v>0</v>
      </c>
      <c r="W159" s="317">
        <f t="shared" si="101"/>
        <v>0</v>
      </c>
      <c r="X159" s="317">
        <f t="shared" si="102"/>
        <v>0</v>
      </c>
      <c r="Y159" s="317">
        <f t="shared" si="103"/>
        <v>0</v>
      </c>
      <c r="Z159" s="317">
        <f t="shared" si="104"/>
        <v>0</v>
      </c>
      <c r="AA159" s="317">
        <f t="shared" si="105"/>
        <v>0</v>
      </c>
      <c r="AB159" s="317">
        <f t="shared" si="106"/>
        <v>0</v>
      </c>
      <c r="AC159" s="317">
        <f t="shared" si="107"/>
        <v>0</v>
      </c>
      <c r="AD159" s="317">
        <f t="shared" si="108"/>
        <v>0</v>
      </c>
      <c r="AE159" s="317">
        <f t="shared" si="109"/>
        <v>0</v>
      </c>
      <c r="AF159" s="317">
        <f t="shared" si="134"/>
        <v>0</v>
      </c>
      <c r="AG159" s="317">
        <f t="shared" si="135"/>
        <v>0</v>
      </c>
      <c r="AH159" s="317">
        <f t="shared" si="110"/>
        <v>0</v>
      </c>
      <c r="AI159" s="317">
        <f t="shared" si="111"/>
        <v>0</v>
      </c>
      <c r="AJ159" s="317">
        <f t="shared" si="112"/>
        <v>0</v>
      </c>
      <c r="AK159" s="317">
        <f t="shared" si="113"/>
        <v>0</v>
      </c>
      <c r="AL159" s="317">
        <f t="shared" si="114"/>
        <v>0</v>
      </c>
      <c r="AM159" s="317">
        <f t="shared" si="115"/>
        <v>0</v>
      </c>
      <c r="AN159" s="317">
        <f t="shared" si="116"/>
        <v>0</v>
      </c>
      <c r="AO159" s="317">
        <f t="shared" si="117"/>
        <v>0</v>
      </c>
      <c r="AP159" s="317">
        <f t="shared" si="118"/>
        <v>0</v>
      </c>
      <c r="AQ159" s="317">
        <f t="shared" si="119"/>
        <v>0</v>
      </c>
      <c r="AR159" s="317">
        <f t="shared" si="120"/>
        <v>0</v>
      </c>
      <c r="AS159" s="317">
        <f t="shared" si="121"/>
        <v>0</v>
      </c>
      <c r="AT159" s="317">
        <f t="shared" si="122"/>
        <v>0</v>
      </c>
      <c r="AU159" s="317">
        <f t="shared" si="123"/>
        <v>0</v>
      </c>
      <c r="AV159" s="317">
        <f t="shared" si="124"/>
        <v>0</v>
      </c>
      <c r="AW159" s="317">
        <f t="shared" si="125"/>
        <v>0</v>
      </c>
      <c r="AX159" s="317">
        <f t="shared" si="126"/>
        <v>0</v>
      </c>
      <c r="AY159" s="317">
        <f t="shared" si="127"/>
        <v>0</v>
      </c>
      <c r="AZ159" s="317">
        <f t="shared" si="128"/>
        <v>0</v>
      </c>
      <c r="BA159" s="317">
        <f t="shared" si="129"/>
        <v>0</v>
      </c>
    </row>
    <row r="160" spans="1:53" s="314" customFormat="1" ht="15.75" customHeight="1">
      <c r="A160" s="63" t="str">
        <f t="array" ref="A160">IF(C160&lt;&gt;0,SUM(($C$11:C160&lt;&gt;0)*1),"")</f>
        <v/>
      </c>
      <c r="B160" s="315"/>
      <c r="C160" s="315"/>
      <c r="D160" s="315"/>
      <c r="E160" s="433"/>
      <c r="F160" s="371"/>
      <c r="G160" s="373"/>
      <c r="H160" s="373"/>
      <c r="I160" s="63" t="str">
        <f>A160</f>
        <v/>
      </c>
      <c r="J160" s="317">
        <f t="shared" si="92"/>
        <v>0</v>
      </c>
      <c r="K160" s="317">
        <f t="shared" si="93"/>
        <v>0</v>
      </c>
      <c r="L160" s="317">
        <f t="shared" si="94"/>
        <v>0</v>
      </c>
      <c r="M160" s="317">
        <f t="shared" si="95"/>
        <v>0</v>
      </c>
      <c r="N160" s="317">
        <f t="shared" si="130"/>
        <v>0</v>
      </c>
      <c r="O160" s="317">
        <f t="shared" si="131"/>
        <v>0</v>
      </c>
      <c r="P160" s="317">
        <f t="shared" si="96"/>
        <v>0</v>
      </c>
      <c r="Q160" s="317">
        <f t="shared" si="97"/>
        <v>0</v>
      </c>
      <c r="R160" s="317">
        <f t="shared" si="98"/>
        <v>0</v>
      </c>
      <c r="S160" s="317">
        <f t="shared" si="99"/>
        <v>0</v>
      </c>
      <c r="T160" s="317">
        <f t="shared" si="132"/>
        <v>0</v>
      </c>
      <c r="U160" s="317">
        <f t="shared" si="133"/>
        <v>0</v>
      </c>
      <c r="V160" s="317">
        <f t="shared" si="100"/>
        <v>0</v>
      </c>
      <c r="W160" s="317">
        <f t="shared" si="101"/>
        <v>0</v>
      </c>
      <c r="X160" s="317">
        <f t="shared" si="102"/>
        <v>0</v>
      </c>
      <c r="Y160" s="317">
        <f t="shared" si="103"/>
        <v>0</v>
      </c>
      <c r="Z160" s="317">
        <f t="shared" si="104"/>
        <v>0</v>
      </c>
      <c r="AA160" s="317">
        <f t="shared" si="105"/>
        <v>0</v>
      </c>
      <c r="AB160" s="317">
        <f t="shared" si="106"/>
        <v>0</v>
      </c>
      <c r="AC160" s="317">
        <f t="shared" si="107"/>
        <v>0</v>
      </c>
      <c r="AD160" s="317">
        <f t="shared" si="108"/>
        <v>0</v>
      </c>
      <c r="AE160" s="317">
        <f t="shared" si="109"/>
        <v>0</v>
      </c>
      <c r="AF160" s="317">
        <f t="shared" si="134"/>
        <v>0</v>
      </c>
      <c r="AG160" s="317">
        <f t="shared" si="135"/>
        <v>0</v>
      </c>
      <c r="AH160" s="317">
        <f t="shared" si="110"/>
        <v>0</v>
      </c>
      <c r="AI160" s="317">
        <f t="shared" si="111"/>
        <v>0</v>
      </c>
      <c r="AJ160" s="317">
        <f t="shared" si="112"/>
        <v>0</v>
      </c>
      <c r="AK160" s="317">
        <f t="shared" si="113"/>
        <v>0</v>
      </c>
      <c r="AL160" s="317">
        <f t="shared" si="114"/>
        <v>0</v>
      </c>
      <c r="AM160" s="317">
        <f t="shared" si="115"/>
        <v>0</v>
      </c>
      <c r="AN160" s="317">
        <f t="shared" si="116"/>
        <v>0</v>
      </c>
      <c r="AO160" s="317">
        <f t="shared" si="117"/>
        <v>0</v>
      </c>
      <c r="AP160" s="317">
        <f t="shared" si="118"/>
        <v>0</v>
      </c>
      <c r="AQ160" s="317">
        <f t="shared" si="119"/>
        <v>0</v>
      </c>
      <c r="AR160" s="317">
        <f t="shared" si="120"/>
        <v>0</v>
      </c>
      <c r="AS160" s="317">
        <f t="shared" si="121"/>
        <v>0</v>
      </c>
      <c r="AT160" s="317">
        <f t="shared" si="122"/>
        <v>0</v>
      </c>
      <c r="AU160" s="317">
        <f t="shared" si="123"/>
        <v>0</v>
      </c>
      <c r="AV160" s="317">
        <f t="shared" si="124"/>
        <v>0</v>
      </c>
      <c r="AW160" s="317">
        <f t="shared" si="125"/>
        <v>0</v>
      </c>
      <c r="AX160" s="317">
        <f t="shared" si="126"/>
        <v>0</v>
      </c>
      <c r="AY160" s="317">
        <f t="shared" si="127"/>
        <v>0</v>
      </c>
      <c r="AZ160" s="317">
        <f t="shared" si="128"/>
        <v>0</v>
      </c>
      <c r="BA160" s="317">
        <f t="shared" si="129"/>
        <v>0</v>
      </c>
    </row>
    <row r="161" spans="1:53" s="314" customFormat="1" ht="15.75" customHeight="1">
      <c r="A161" s="63" t="str">
        <f t="array" ref="A161">IF(C161&lt;&gt;0,SUM(($C$11:C161&lt;&gt;0)*1),"")</f>
        <v/>
      </c>
      <c r="B161" s="315"/>
      <c r="C161" s="315"/>
      <c r="D161" s="315"/>
      <c r="E161" s="433"/>
      <c r="F161" s="371"/>
      <c r="G161" s="373"/>
      <c r="H161" s="373"/>
      <c r="I161" s="63" t="str">
        <f>A161</f>
        <v/>
      </c>
      <c r="J161" s="317">
        <f t="shared" si="92"/>
        <v>0</v>
      </c>
      <c r="K161" s="317">
        <f t="shared" si="93"/>
        <v>0</v>
      </c>
      <c r="L161" s="317">
        <f t="shared" si="94"/>
        <v>0</v>
      </c>
      <c r="M161" s="317">
        <f t="shared" si="95"/>
        <v>0</v>
      </c>
      <c r="N161" s="317">
        <f t="shared" si="130"/>
        <v>0</v>
      </c>
      <c r="O161" s="317">
        <f t="shared" si="131"/>
        <v>0</v>
      </c>
      <c r="P161" s="317">
        <f t="shared" si="96"/>
        <v>0</v>
      </c>
      <c r="Q161" s="317">
        <f t="shared" si="97"/>
        <v>0</v>
      </c>
      <c r="R161" s="317">
        <f t="shared" si="98"/>
        <v>0</v>
      </c>
      <c r="S161" s="317">
        <f t="shared" si="99"/>
        <v>0</v>
      </c>
      <c r="T161" s="317">
        <f t="shared" si="132"/>
        <v>0</v>
      </c>
      <c r="U161" s="317">
        <f t="shared" si="133"/>
        <v>0</v>
      </c>
      <c r="V161" s="317">
        <f t="shared" si="100"/>
        <v>0</v>
      </c>
      <c r="W161" s="317">
        <f t="shared" si="101"/>
        <v>0</v>
      </c>
      <c r="X161" s="317">
        <f t="shared" si="102"/>
        <v>0</v>
      </c>
      <c r="Y161" s="317">
        <f t="shared" si="103"/>
        <v>0</v>
      </c>
      <c r="Z161" s="317">
        <f t="shared" si="104"/>
        <v>0</v>
      </c>
      <c r="AA161" s="317">
        <f t="shared" si="105"/>
        <v>0</v>
      </c>
      <c r="AB161" s="317">
        <f t="shared" si="106"/>
        <v>0</v>
      </c>
      <c r="AC161" s="317">
        <f t="shared" si="107"/>
        <v>0</v>
      </c>
      <c r="AD161" s="317">
        <f t="shared" si="108"/>
        <v>0</v>
      </c>
      <c r="AE161" s="317">
        <f t="shared" si="109"/>
        <v>0</v>
      </c>
      <c r="AF161" s="317">
        <f t="shared" si="134"/>
        <v>0</v>
      </c>
      <c r="AG161" s="317">
        <f t="shared" si="135"/>
        <v>0</v>
      </c>
      <c r="AH161" s="317">
        <f t="shared" si="110"/>
        <v>0</v>
      </c>
      <c r="AI161" s="317">
        <f t="shared" si="111"/>
        <v>0</v>
      </c>
      <c r="AJ161" s="317">
        <f t="shared" si="112"/>
        <v>0</v>
      </c>
      <c r="AK161" s="317">
        <f t="shared" si="113"/>
        <v>0</v>
      </c>
      <c r="AL161" s="317">
        <f t="shared" si="114"/>
        <v>0</v>
      </c>
      <c r="AM161" s="317">
        <f t="shared" si="115"/>
        <v>0</v>
      </c>
      <c r="AN161" s="317">
        <f t="shared" si="116"/>
        <v>0</v>
      </c>
      <c r="AO161" s="317">
        <f t="shared" si="117"/>
        <v>0</v>
      </c>
      <c r="AP161" s="317">
        <f t="shared" si="118"/>
        <v>0</v>
      </c>
      <c r="AQ161" s="317">
        <f t="shared" si="119"/>
        <v>0</v>
      </c>
      <c r="AR161" s="317">
        <f t="shared" si="120"/>
        <v>0</v>
      </c>
      <c r="AS161" s="317">
        <f t="shared" si="121"/>
        <v>0</v>
      </c>
      <c r="AT161" s="317">
        <f t="shared" si="122"/>
        <v>0</v>
      </c>
      <c r="AU161" s="317">
        <f t="shared" si="123"/>
        <v>0</v>
      </c>
      <c r="AV161" s="317">
        <f t="shared" si="124"/>
        <v>0</v>
      </c>
      <c r="AW161" s="317">
        <f t="shared" si="125"/>
        <v>0</v>
      </c>
      <c r="AX161" s="317">
        <f t="shared" si="126"/>
        <v>0</v>
      </c>
      <c r="AY161" s="317">
        <f t="shared" si="127"/>
        <v>0</v>
      </c>
      <c r="AZ161" s="317">
        <f t="shared" si="128"/>
        <v>0</v>
      </c>
      <c r="BA161" s="317">
        <f t="shared" si="129"/>
        <v>0</v>
      </c>
    </row>
    <row r="162" spans="1:53" s="314" customFormat="1" ht="15.75" customHeight="1">
      <c r="A162" s="63" t="str">
        <f t="array" ref="A162">IF(C162&lt;&gt;0,SUM(($C$11:C162&lt;&gt;0)*1),"")</f>
        <v/>
      </c>
      <c r="B162" s="315"/>
      <c r="C162" s="315"/>
      <c r="D162" s="315"/>
      <c r="E162" s="433"/>
      <c r="F162" s="371"/>
      <c r="G162" s="373"/>
      <c r="H162" s="373"/>
      <c r="I162" s="63" t="str">
        <f t="shared" ref="I162:I175" si="136">A162</f>
        <v/>
      </c>
      <c r="J162" s="317">
        <f t="shared" si="92"/>
        <v>0</v>
      </c>
      <c r="K162" s="317">
        <f t="shared" si="93"/>
        <v>0</v>
      </c>
      <c r="L162" s="317">
        <f t="shared" si="94"/>
        <v>0</v>
      </c>
      <c r="M162" s="317">
        <f t="shared" si="95"/>
        <v>0</v>
      </c>
      <c r="N162" s="317">
        <f t="shared" si="130"/>
        <v>0</v>
      </c>
      <c r="O162" s="317">
        <f t="shared" si="131"/>
        <v>0</v>
      </c>
      <c r="P162" s="317">
        <f t="shared" si="96"/>
        <v>0</v>
      </c>
      <c r="Q162" s="317">
        <f t="shared" si="97"/>
        <v>0</v>
      </c>
      <c r="R162" s="317">
        <f t="shared" si="98"/>
        <v>0</v>
      </c>
      <c r="S162" s="317">
        <f t="shared" si="99"/>
        <v>0</v>
      </c>
      <c r="T162" s="317">
        <f t="shared" si="132"/>
        <v>0</v>
      </c>
      <c r="U162" s="317">
        <f t="shared" si="133"/>
        <v>0</v>
      </c>
      <c r="V162" s="317">
        <f t="shared" si="100"/>
        <v>0</v>
      </c>
      <c r="W162" s="317">
        <f t="shared" si="101"/>
        <v>0</v>
      </c>
      <c r="X162" s="317">
        <f t="shared" si="102"/>
        <v>0</v>
      </c>
      <c r="Y162" s="317">
        <f t="shared" si="103"/>
        <v>0</v>
      </c>
      <c r="Z162" s="317">
        <f t="shared" si="104"/>
        <v>0</v>
      </c>
      <c r="AA162" s="317">
        <f t="shared" si="105"/>
        <v>0</v>
      </c>
      <c r="AB162" s="317">
        <f t="shared" si="106"/>
        <v>0</v>
      </c>
      <c r="AC162" s="317">
        <f t="shared" si="107"/>
        <v>0</v>
      </c>
      <c r="AD162" s="317">
        <f t="shared" si="108"/>
        <v>0</v>
      </c>
      <c r="AE162" s="317">
        <f t="shared" si="109"/>
        <v>0</v>
      </c>
      <c r="AF162" s="317">
        <f t="shared" si="134"/>
        <v>0</v>
      </c>
      <c r="AG162" s="317">
        <f t="shared" si="135"/>
        <v>0</v>
      </c>
      <c r="AH162" s="317">
        <f t="shared" si="110"/>
        <v>0</v>
      </c>
      <c r="AI162" s="317">
        <f t="shared" si="111"/>
        <v>0</v>
      </c>
      <c r="AJ162" s="317">
        <f t="shared" si="112"/>
        <v>0</v>
      </c>
      <c r="AK162" s="317">
        <f t="shared" si="113"/>
        <v>0</v>
      </c>
      <c r="AL162" s="317">
        <f t="shared" si="114"/>
        <v>0</v>
      </c>
      <c r="AM162" s="317">
        <f t="shared" si="115"/>
        <v>0</v>
      </c>
      <c r="AN162" s="317">
        <f t="shared" si="116"/>
        <v>0</v>
      </c>
      <c r="AO162" s="317">
        <f t="shared" si="117"/>
        <v>0</v>
      </c>
      <c r="AP162" s="317">
        <f t="shared" si="118"/>
        <v>0</v>
      </c>
      <c r="AQ162" s="317">
        <f t="shared" si="119"/>
        <v>0</v>
      </c>
      <c r="AR162" s="317">
        <f t="shared" si="120"/>
        <v>0</v>
      </c>
      <c r="AS162" s="317">
        <f t="shared" si="121"/>
        <v>0</v>
      </c>
      <c r="AT162" s="317">
        <f t="shared" si="122"/>
        <v>0</v>
      </c>
      <c r="AU162" s="317">
        <f t="shared" si="123"/>
        <v>0</v>
      </c>
      <c r="AV162" s="317">
        <f t="shared" si="124"/>
        <v>0</v>
      </c>
      <c r="AW162" s="317">
        <f t="shared" si="125"/>
        <v>0</v>
      </c>
      <c r="AX162" s="317">
        <f t="shared" si="126"/>
        <v>0</v>
      </c>
      <c r="AY162" s="317">
        <f t="shared" si="127"/>
        <v>0</v>
      </c>
      <c r="AZ162" s="317">
        <f t="shared" si="128"/>
        <v>0</v>
      </c>
      <c r="BA162" s="317">
        <f t="shared" si="129"/>
        <v>0</v>
      </c>
    </row>
    <row r="163" spans="1:53" s="314" customFormat="1" ht="15.75" customHeight="1">
      <c r="A163" s="63" t="str">
        <f t="array" ref="A163">IF(C163&lt;&gt;0,SUM(($C$11:C163&lt;&gt;0)*1),"")</f>
        <v/>
      </c>
      <c r="B163" s="315"/>
      <c r="C163" s="315"/>
      <c r="D163" s="315"/>
      <c r="E163" s="433"/>
      <c r="F163" s="371"/>
      <c r="G163" s="373"/>
      <c r="H163" s="373"/>
      <c r="I163" s="63" t="str">
        <f t="shared" si="136"/>
        <v/>
      </c>
      <c r="J163" s="317">
        <f t="shared" si="92"/>
        <v>0</v>
      </c>
      <c r="K163" s="317">
        <f t="shared" si="93"/>
        <v>0</v>
      </c>
      <c r="L163" s="317">
        <f t="shared" si="94"/>
        <v>0</v>
      </c>
      <c r="M163" s="317">
        <f t="shared" si="95"/>
        <v>0</v>
      </c>
      <c r="N163" s="317">
        <f t="shared" si="130"/>
        <v>0</v>
      </c>
      <c r="O163" s="317">
        <f t="shared" si="131"/>
        <v>0</v>
      </c>
      <c r="P163" s="317">
        <f t="shared" si="96"/>
        <v>0</v>
      </c>
      <c r="Q163" s="317">
        <f t="shared" si="97"/>
        <v>0</v>
      </c>
      <c r="R163" s="317">
        <f t="shared" si="98"/>
        <v>0</v>
      </c>
      <c r="S163" s="317">
        <f t="shared" si="99"/>
        <v>0</v>
      </c>
      <c r="T163" s="317">
        <f t="shared" si="132"/>
        <v>0</v>
      </c>
      <c r="U163" s="317">
        <f t="shared" si="133"/>
        <v>0</v>
      </c>
      <c r="V163" s="317">
        <f t="shared" si="100"/>
        <v>0</v>
      </c>
      <c r="W163" s="317">
        <f t="shared" si="101"/>
        <v>0</v>
      </c>
      <c r="X163" s="317">
        <f t="shared" si="102"/>
        <v>0</v>
      </c>
      <c r="Y163" s="317">
        <f t="shared" si="103"/>
        <v>0</v>
      </c>
      <c r="Z163" s="317">
        <f t="shared" si="104"/>
        <v>0</v>
      </c>
      <c r="AA163" s="317">
        <f t="shared" si="105"/>
        <v>0</v>
      </c>
      <c r="AB163" s="317">
        <f t="shared" si="106"/>
        <v>0</v>
      </c>
      <c r="AC163" s="317">
        <f t="shared" si="107"/>
        <v>0</v>
      </c>
      <c r="AD163" s="317">
        <f t="shared" si="108"/>
        <v>0</v>
      </c>
      <c r="AE163" s="317">
        <f t="shared" si="109"/>
        <v>0</v>
      </c>
      <c r="AF163" s="317">
        <f t="shared" si="134"/>
        <v>0</v>
      </c>
      <c r="AG163" s="317">
        <f t="shared" si="135"/>
        <v>0</v>
      </c>
      <c r="AH163" s="317">
        <f t="shared" si="110"/>
        <v>0</v>
      </c>
      <c r="AI163" s="317">
        <f t="shared" si="111"/>
        <v>0</v>
      </c>
      <c r="AJ163" s="317">
        <f t="shared" si="112"/>
        <v>0</v>
      </c>
      <c r="AK163" s="317">
        <f t="shared" si="113"/>
        <v>0</v>
      </c>
      <c r="AL163" s="317">
        <f t="shared" si="114"/>
        <v>0</v>
      </c>
      <c r="AM163" s="317">
        <f t="shared" si="115"/>
        <v>0</v>
      </c>
      <c r="AN163" s="317">
        <f t="shared" si="116"/>
        <v>0</v>
      </c>
      <c r="AO163" s="317">
        <f t="shared" si="117"/>
        <v>0</v>
      </c>
      <c r="AP163" s="317">
        <f t="shared" si="118"/>
        <v>0</v>
      </c>
      <c r="AQ163" s="317">
        <f t="shared" si="119"/>
        <v>0</v>
      </c>
      <c r="AR163" s="317">
        <f t="shared" si="120"/>
        <v>0</v>
      </c>
      <c r="AS163" s="317">
        <f t="shared" si="121"/>
        <v>0</v>
      </c>
      <c r="AT163" s="317">
        <f t="shared" si="122"/>
        <v>0</v>
      </c>
      <c r="AU163" s="317">
        <f t="shared" si="123"/>
        <v>0</v>
      </c>
      <c r="AV163" s="317">
        <f t="shared" si="124"/>
        <v>0</v>
      </c>
      <c r="AW163" s="317">
        <f t="shared" si="125"/>
        <v>0</v>
      </c>
      <c r="AX163" s="317">
        <f t="shared" si="126"/>
        <v>0</v>
      </c>
      <c r="AY163" s="317">
        <f t="shared" si="127"/>
        <v>0</v>
      </c>
      <c r="AZ163" s="317">
        <f t="shared" si="128"/>
        <v>0</v>
      </c>
      <c r="BA163" s="317">
        <f t="shared" si="129"/>
        <v>0</v>
      </c>
    </row>
    <row r="164" spans="1:53" s="314" customFormat="1" ht="15.75" customHeight="1">
      <c r="A164" s="63" t="str">
        <f t="array" ref="A164">IF(C164&lt;&gt;0,SUM(($C$11:C164&lt;&gt;0)*1),"")</f>
        <v/>
      </c>
      <c r="B164" s="315"/>
      <c r="C164" s="315"/>
      <c r="D164" s="315"/>
      <c r="E164" s="433"/>
      <c r="F164" s="371"/>
      <c r="G164" s="373"/>
      <c r="H164" s="373"/>
      <c r="I164" s="63" t="str">
        <f t="shared" si="136"/>
        <v/>
      </c>
      <c r="J164" s="317">
        <f t="shared" si="92"/>
        <v>0</v>
      </c>
      <c r="K164" s="317">
        <f t="shared" si="93"/>
        <v>0</v>
      </c>
      <c r="L164" s="317">
        <f t="shared" si="94"/>
        <v>0</v>
      </c>
      <c r="M164" s="317">
        <f t="shared" si="95"/>
        <v>0</v>
      </c>
      <c r="N164" s="317">
        <f t="shared" si="130"/>
        <v>0</v>
      </c>
      <c r="O164" s="317">
        <f t="shared" si="131"/>
        <v>0</v>
      </c>
      <c r="P164" s="317">
        <f t="shared" si="96"/>
        <v>0</v>
      </c>
      <c r="Q164" s="317">
        <f t="shared" si="97"/>
        <v>0</v>
      </c>
      <c r="R164" s="317">
        <f t="shared" si="98"/>
        <v>0</v>
      </c>
      <c r="S164" s="317">
        <f t="shared" si="99"/>
        <v>0</v>
      </c>
      <c r="T164" s="317">
        <f t="shared" si="132"/>
        <v>0</v>
      </c>
      <c r="U164" s="317">
        <f t="shared" si="133"/>
        <v>0</v>
      </c>
      <c r="V164" s="317">
        <f t="shared" si="100"/>
        <v>0</v>
      </c>
      <c r="W164" s="317">
        <f t="shared" si="101"/>
        <v>0</v>
      </c>
      <c r="X164" s="317">
        <f t="shared" si="102"/>
        <v>0</v>
      </c>
      <c r="Y164" s="317">
        <f t="shared" si="103"/>
        <v>0</v>
      </c>
      <c r="Z164" s="317">
        <f t="shared" si="104"/>
        <v>0</v>
      </c>
      <c r="AA164" s="317">
        <f t="shared" si="105"/>
        <v>0</v>
      </c>
      <c r="AB164" s="317">
        <f t="shared" si="106"/>
        <v>0</v>
      </c>
      <c r="AC164" s="317">
        <f t="shared" si="107"/>
        <v>0</v>
      </c>
      <c r="AD164" s="317">
        <f t="shared" si="108"/>
        <v>0</v>
      </c>
      <c r="AE164" s="317">
        <f t="shared" si="109"/>
        <v>0</v>
      </c>
      <c r="AF164" s="317">
        <f t="shared" si="134"/>
        <v>0</v>
      </c>
      <c r="AG164" s="317">
        <f t="shared" si="135"/>
        <v>0</v>
      </c>
      <c r="AH164" s="317">
        <f t="shared" si="110"/>
        <v>0</v>
      </c>
      <c r="AI164" s="317">
        <f t="shared" si="111"/>
        <v>0</v>
      </c>
      <c r="AJ164" s="317">
        <f t="shared" si="112"/>
        <v>0</v>
      </c>
      <c r="AK164" s="317">
        <f t="shared" si="113"/>
        <v>0</v>
      </c>
      <c r="AL164" s="317">
        <f t="shared" si="114"/>
        <v>0</v>
      </c>
      <c r="AM164" s="317">
        <f t="shared" si="115"/>
        <v>0</v>
      </c>
      <c r="AN164" s="317">
        <f t="shared" si="116"/>
        <v>0</v>
      </c>
      <c r="AO164" s="317">
        <f t="shared" si="117"/>
        <v>0</v>
      </c>
      <c r="AP164" s="317">
        <f t="shared" si="118"/>
        <v>0</v>
      </c>
      <c r="AQ164" s="317">
        <f t="shared" si="119"/>
        <v>0</v>
      </c>
      <c r="AR164" s="317">
        <f t="shared" si="120"/>
        <v>0</v>
      </c>
      <c r="AS164" s="317">
        <f t="shared" si="121"/>
        <v>0</v>
      </c>
      <c r="AT164" s="317">
        <f t="shared" si="122"/>
        <v>0</v>
      </c>
      <c r="AU164" s="317">
        <f t="shared" si="123"/>
        <v>0</v>
      </c>
      <c r="AV164" s="317">
        <f t="shared" si="124"/>
        <v>0</v>
      </c>
      <c r="AW164" s="317">
        <f t="shared" si="125"/>
        <v>0</v>
      </c>
      <c r="AX164" s="317">
        <f t="shared" si="126"/>
        <v>0</v>
      </c>
      <c r="AY164" s="317">
        <f t="shared" si="127"/>
        <v>0</v>
      </c>
      <c r="AZ164" s="317">
        <f t="shared" si="128"/>
        <v>0</v>
      </c>
      <c r="BA164" s="317">
        <f t="shared" si="129"/>
        <v>0</v>
      </c>
    </row>
    <row r="165" spans="1:53" s="314" customFormat="1" ht="15.75" customHeight="1">
      <c r="A165" s="63" t="str">
        <f t="array" ref="A165">IF(C165&lt;&gt;0,SUM(($C$11:C165&lt;&gt;0)*1),"")</f>
        <v/>
      </c>
      <c r="B165" s="315"/>
      <c r="C165" s="315"/>
      <c r="D165" s="315"/>
      <c r="E165" s="433"/>
      <c r="F165" s="371"/>
      <c r="G165" s="373"/>
      <c r="H165" s="373"/>
      <c r="I165" s="63" t="str">
        <f t="shared" si="136"/>
        <v/>
      </c>
      <c r="J165" s="317">
        <f t="shared" si="92"/>
        <v>0</v>
      </c>
      <c r="K165" s="317">
        <f t="shared" si="93"/>
        <v>0</v>
      </c>
      <c r="L165" s="317">
        <f t="shared" si="94"/>
        <v>0</v>
      </c>
      <c r="M165" s="317">
        <f t="shared" si="95"/>
        <v>0</v>
      </c>
      <c r="N165" s="317">
        <f t="shared" si="130"/>
        <v>0</v>
      </c>
      <c r="O165" s="317">
        <f t="shared" si="131"/>
        <v>0</v>
      </c>
      <c r="P165" s="317">
        <f t="shared" si="96"/>
        <v>0</v>
      </c>
      <c r="Q165" s="317">
        <f t="shared" si="97"/>
        <v>0</v>
      </c>
      <c r="R165" s="317">
        <f t="shared" si="98"/>
        <v>0</v>
      </c>
      <c r="S165" s="317">
        <f t="shared" si="99"/>
        <v>0</v>
      </c>
      <c r="T165" s="317">
        <f t="shared" si="132"/>
        <v>0</v>
      </c>
      <c r="U165" s="317">
        <f t="shared" si="133"/>
        <v>0</v>
      </c>
      <c r="V165" s="317">
        <f t="shared" si="100"/>
        <v>0</v>
      </c>
      <c r="W165" s="317">
        <f t="shared" si="101"/>
        <v>0</v>
      </c>
      <c r="X165" s="317">
        <f t="shared" si="102"/>
        <v>0</v>
      </c>
      <c r="Y165" s="317">
        <f t="shared" si="103"/>
        <v>0</v>
      </c>
      <c r="Z165" s="317">
        <f t="shared" si="104"/>
        <v>0</v>
      </c>
      <c r="AA165" s="317">
        <f t="shared" si="105"/>
        <v>0</v>
      </c>
      <c r="AB165" s="317">
        <f t="shared" si="106"/>
        <v>0</v>
      </c>
      <c r="AC165" s="317">
        <f t="shared" si="107"/>
        <v>0</v>
      </c>
      <c r="AD165" s="317">
        <f t="shared" si="108"/>
        <v>0</v>
      </c>
      <c r="AE165" s="317">
        <f t="shared" si="109"/>
        <v>0</v>
      </c>
      <c r="AF165" s="317">
        <f t="shared" si="134"/>
        <v>0</v>
      </c>
      <c r="AG165" s="317">
        <f t="shared" si="135"/>
        <v>0</v>
      </c>
      <c r="AH165" s="317">
        <f t="shared" si="110"/>
        <v>0</v>
      </c>
      <c r="AI165" s="317">
        <f t="shared" si="111"/>
        <v>0</v>
      </c>
      <c r="AJ165" s="317">
        <f t="shared" si="112"/>
        <v>0</v>
      </c>
      <c r="AK165" s="317">
        <f t="shared" si="113"/>
        <v>0</v>
      </c>
      <c r="AL165" s="317">
        <f t="shared" si="114"/>
        <v>0</v>
      </c>
      <c r="AM165" s="317">
        <f t="shared" si="115"/>
        <v>0</v>
      </c>
      <c r="AN165" s="317">
        <f t="shared" si="116"/>
        <v>0</v>
      </c>
      <c r="AO165" s="317">
        <f t="shared" si="117"/>
        <v>0</v>
      </c>
      <c r="AP165" s="317">
        <f t="shared" si="118"/>
        <v>0</v>
      </c>
      <c r="AQ165" s="317">
        <f t="shared" si="119"/>
        <v>0</v>
      </c>
      <c r="AR165" s="317">
        <f t="shared" si="120"/>
        <v>0</v>
      </c>
      <c r="AS165" s="317">
        <f t="shared" si="121"/>
        <v>0</v>
      </c>
      <c r="AT165" s="317">
        <f t="shared" si="122"/>
        <v>0</v>
      </c>
      <c r="AU165" s="317">
        <f t="shared" si="123"/>
        <v>0</v>
      </c>
      <c r="AV165" s="317">
        <f t="shared" si="124"/>
        <v>0</v>
      </c>
      <c r="AW165" s="317">
        <f t="shared" si="125"/>
        <v>0</v>
      </c>
      <c r="AX165" s="317">
        <f t="shared" si="126"/>
        <v>0</v>
      </c>
      <c r="AY165" s="317">
        <f t="shared" si="127"/>
        <v>0</v>
      </c>
      <c r="AZ165" s="317">
        <f t="shared" si="128"/>
        <v>0</v>
      </c>
      <c r="BA165" s="317">
        <f t="shared" si="129"/>
        <v>0</v>
      </c>
    </row>
    <row r="166" spans="1:53" s="314" customFormat="1" ht="15.75" customHeight="1">
      <c r="A166" s="63" t="str">
        <f t="array" ref="A166">IF(C166&lt;&gt;0,SUM(($C$11:C166&lt;&gt;0)*1),"")</f>
        <v/>
      </c>
      <c r="B166" s="315"/>
      <c r="C166" s="315"/>
      <c r="D166" s="315"/>
      <c r="E166" s="433"/>
      <c r="F166" s="371"/>
      <c r="G166" s="373"/>
      <c r="H166" s="373"/>
      <c r="I166" s="63" t="str">
        <f t="shared" si="136"/>
        <v/>
      </c>
      <c r="J166" s="317">
        <f t="shared" si="92"/>
        <v>0</v>
      </c>
      <c r="K166" s="317">
        <f t="shared" si="93"/>
        <v>0</v>
      </c>
      <c r="L166" s="317">
        <f t="shared" si="94"/>
        <v>0</v>
      </c>
      <c r="M166" s="317">
        <f t="shared" si="95"/>
        <v>0</v>
      </c>
      <c r="N166" s="317">
        <f t="shared" si="130"/>
        <v>0</v>
      </c>
      <c r="O166" s="317">
        <f t="shared" si="131"/>
        <v>0</v>
      </c>
      <c r="P166" s="317">
        <f t="shared" si="96"/>
        <v>0</v>
      </c>
      <c r="Q166" s="317">
        <f t="shared" si="97"/>
        <v>0</v>
      </c>
      <c r="R166" s="317">
        <f t="shared" si="98"/>
        <v>0</v>
      </c>
      <c r="S166" s="317">
        <f t="shared" si="99"/>
        <v>0</v>
      </c>
      <c r="T166" s="317">
        <f t="shared" si="132"/>
        <v>0</v>
      </c>
      <c r="U166" s="317">
        <f t="shared" si="133"/>
        <v>0</v>
      </c>
      <c r="V166" s="317">
        <f t="shared" si="100"/>
        <v>0</v>
      </c>
      <c r="W166" s="317">
        <f t="shared" si="101"/>
        <v>0</v>
      </c>
      <c r="X166" s="317">
        <f t="shared" si="102"/>
        <v>0</v>
      </c>
      <c r="Y166" s="317">
        <f t="shared" si="103"/>
        <v>0</v>
      </c>
      <c r="Z166" s="317">
        <f t="shared" si="104"/>
        <v>0</v>
      </c>
      <c r="AA166" s="317">
        <f t="shared" si="105"/>
        <v>0</v>
      </c>
      <c r="AB166" s="317">
        <f t="shared" si="106"/>
        <v>0</v>
      </c>
      <c r="AC166" s="317">
        <f t="shared" si="107"/>
        <v>0</v>
      </c>
      <c r="AD166" s="317">
        <f t="shared" si="108"/>
        <v>0</v>
      </c>
      <c r="AE166" s="317">
        <f t="shared" si="109"/>
        <v>0</v>
      </c>
      <c r="AF166" s="317">
        <f t="shared" si="134"/>
        <v>0</v>
      </c>
      <c r="AG166" s="317">
        <f t="shared" si="135"/>
        <v>0</v>
      </c>
      <c r="AH166" s="317">
        <f t="shared" si="110"/>
        <v>0</v>
      </c>
      <c r="AI166" s="317">
        <f t="shared" si="111"/>
        <v>0</v>
      </c>
      <c r="AJ166" s="317">
        <f t="shared" si="112"/>
        <v>0</v>
      </c>
      <c r="AK166" s="317">
        <f t="shared" si="113"/>
        <v>0</v>
      </c>
      <c r="AL166" s="317">
        <f t="shared" si="114"/>
        <v>0</v>
      </c>
      <c r="AM166" s="317">
        <f t="shared" si="115"/>
        <v>0</v>
      </c>
      <c r="AN166" s="317">
        <f t="shared" si="116"/>
        <v>0</v>
      </c>
      <c r="AO166" s="317">
        <f t="shared" si="117"/>
        <v>0</v>
      </c>
      <c r="AP166" s="317">
        <f t="shared" si="118"/>
        <v>0</v>
      </c>
      <c r="AQ166" s="317">
        <f t="shared" si="119"/>
        <v>0</v>
      </c>
      <c r="AR166" s="317">
        <f t="shared" si="120"/>
        <v>0</v>
      </c>
      <c r="AS166" s="317">
        <f t="shared" si="121"/>
        <v>0</v>
      </c>
      <c r="AT166" s="317">
        <f t="shared" si="122"/>
        <v>0</v>
      </c>
      <c r="AU166" s="317">
        <f t="shared" si="123"/>
        <v>0</v>
      </c>
      <c r="AV166" s="317">
        <f t="shared" si="124"/>
        <v>0</v>
      </c>
      <c r="AW166" s="317">
        <f t="shared" si="125"/>
        <v>0</v>
      </c>
      <c r="AX166" s="317">
        <f t="shared" si="126"/>
        <v>0</v>
      </c>
      <c r="AY166" s="317">
        <f t="shared" si="127"/>
        <v>0</v>
      </c>
      <c r="AZ166" s="317">
        <f t="shared" si="128"/>
        <v>0</v>
      </c>
      <c r="BA166" s="317">
        <f t="shared" si="129"/>
        <v>0</v>
      </c>
    </row>
    <row r="167" spans="1:53" s="314" customFormat="1" ht="15.75" customHeight="1">
      <c r="A167" s="63" t="str">
        <f t="array" ref="A167">IF(C167&lt;&gt;0,SUM(($C$11:C167&lt;&gt;0)*1),"")</f>
        <v/>
      </c>
      <c r="B167" s="315"/>
      <c r="C167" s="315"/>
      <c r="D167" s="315"/>
      <c r="E167" s="433"/>
      <c r="F167" s="371"/>
      <c r="G167" s="373"/>
      <c r="H167" s="373"/>
      <c r="I167" s="63" t="str">
        <f t="shared" si="136"/>
        <v/>
      </c>
      <c r="J167" s="317">
        <f t="shared" si="92"/>
        <v>0</v>
      </c>
      <c r="K167" s="317">
        <f t="shared" si="93"/>
        <v>0</v>
      </c>
      <c r="L167" s="317">
        <f t="shared" si="94"/>
        <v>0</v>
      </c>
      <c r="M167" s="317">
        <f t="shared" si="95"/>
        <v>0</v>
      </c>
      <c r="N167" s="317">
        <f t="shared" si="130"/>
        <v>0</v>
      </c>
      <c r="O167" s="317">
        <f t="shared" si="131"/>
        <v>0</v>
      </c>
      <c r="P167" s="317">
        <f t="shared" si="96"/>
        <v>0</v>
      </c>
      <c r="Q167" s="317">
        <f t="shared" si="97"/>
        <v>0</v>
      </c>
      <c r="R167" s="317">
        <f t="shared" si="98"/>
        <v>0</v>
      </c>
      <c r="S167" s="317">
        <f t="shared" si="99"/>
        <v>0</v>
      </c>
      <c r="T167" s="317">
        <f t="shared" si="132"/>
        <v>0</v>
      </c>
      <c r="U167" s="317">
        <f t="shared" si="133"/>
        <v>0</v>
      </c>
      <c r="V167" s="317">
        <f t="shared" si="100"/>
        <v>0</v>
      </c>
      <c r="W167" s="317">
        <f t="shared" si="101"/>
        <v>0</v>
      </c>
      <c r="X167" s="317">
        <f t="shared" si="102"/>
        <v>0</v>
      </c>
      <c r="Y167" s="317">
        <f t="shared" si="103"/>
        <v>0</v>
      </c>
      <c r="Z167" s="317">
        <f t="shared" si="104"/>
        <v>0</v>
      </c>
      <c r="AA167" s="317">
        <f t="shared" si="105"/>
        <v>0</v>
      </c>
      <c r="AB167" s="317">
        <f t="shared" si="106"/>
        <v>0</v>
      </c>
      <c r="AC167" s="317">
        <f t="shared" si="107"/>
        <v>0</v>
      </c>
      <c r="AD167" s="317">
        <f t="shared" si="108"/>
        <v>0</v>
      </c>
      <c r="AE167" s="317">
        <f t="shared" si="109"/>
        <v>0</v>
      </c>
      <c r="AF167" s="317">
        <f t="shared" si="134"/>
        <v>0</v>
      </c>
      <c r="AG167" s="317">
        <f t="shared" si="135"/>
        <v>0</v>
      </c>
      <c r="AH167" s="317">
        <f t="shared" si="110"/>
        <v>0</v>
      </c>
      <c r="AI167" s="317">
        <f t="shared" si="111"/>
        <v>0</v>
      </c>
      <c r="AJ167" s="317">
        <f t="shared" si="112"/>
        <v>0</v>
      </c>
      <c r="AK167" s="317">
        <f t="shared" si="113"/>
        <v>0</v>
      </c>
      <c r="AL167" s="317">
        <f t="shared" si="114"/>
        <v>0</v>
      </c>
      <c r="AM167" s="317">
        <f t="shared" si="115"/>
        <v>0</v>
      </c>
      <c r="AN167" s="317">
        <f t="shared" si="116"/>
        <v>0</v>
      </c>
      <c r="AO167" s="317">
        <f t="shared" si="117"/>
        <v>0</v>
      </c>
      <c r="AP167" s="317">
        <f t="shared" si="118"/>
        <v>0</v>
      </c>
      <c r="AQ167" s="317">
        <f t="shared" si="119"/>
        <v>0</v>
      </c>
      <c r="AR167" s="317">
        <f t="shared" si="120"/>
        <v>0</v>
      </c>
      <c r="AS167" s="317">
        <f t="shared" si="121"/>
        <v>0</v>
      </c>
      <c r="AT167" s="317">
        <f t="shared" si="122"/>
        <v>0</v>
      </c>
      <c r="AU167" s="317">
        <f t="shared" si="123"/>
        <v>0</v>
      </c>
      <c r="AV167" s="317">
        <f t="shared" si="124"/>
        <v>0</v>
      </c>
      <c r="AW167" s="317">
        <f t="shared" si="125"/>
        <v>0</v>
      </c>
      <c r="AX167" s="317">
        <f t="shared" si="126"/>
        <v>0</v>
      </c>
      <c r="AY167" s="317">
        <f t="shared" si="127"/>
        <v>0</v>
      </c>
      <c r="AZ167" s="317">
        <f t="shared" si="128"/>
        <v>0</v>
      </c>
      <c r="BA167" s="317">
        <f t="shared" si="129"/>
        <v>0</v>
      </c>
    </row>
    <row r="168" spans="1:53" s="314" customFormat="1" ht="15.75" customHeight="1">
      <c r="A168" s="63" t="str">
        <f t="array" ref="A168">IF(C168&lt;&gt;0,SUM(($C$11:C168&lt;&gt;0)*1),"")</f>
        <v/>
      </c>
      <c r="B168" s="315"/>
      <c r="C168" s="315"/>
      <c r="D168" s="315"/>
      <c r="E168" s="433"/>
      <c r="F168" s="371"/>
      <c r="G168" s="373"/>
      <c r="H168" s="373"/>
      <c r="I168" s="63" t="str">
        <f t="shared" si="136"/>
        <v/>
      </c>
      <c r="J168" s="317">
        <f t="shared" si="92"/>
        <v>0</v>
      </c>
      <c r="K168" s="317">
        <f t="shared" si="93"/>
        <v>0</v>
      </c>
      <c r="L168" s="317">
        <f t="shared" si="94"/>
        <v>0</v>
      </c>
      <c r="M168" s="317">
        <f t="shared" si="95"/>
        <v>0</v>
      </c>
      <c r="N168" s="317">
        <f t="shared" si="130"/>
        <v>0</v>
      </c>
      <c r="O168" s="317">
        <f t="shared" si="131"/>
        <v>0</v>
      </c>
      <c r="P168" s="317">
        <f t="shared" si="96"/>
        <v>0</v>
      </c>
      <c r="Q168" s="317">
        <f t="shared" si="97"/>
        <v>0</v>
      </c>
      <c r="R168" s="317">
        <f t="shared" si="98"/>
        <v>0</v>
      </c>
      <c r="S168" s="317">
        <f t="shared" si="99"/>
        <v>0</v>
      </c>
      <c r="T168" s="317">
        <f t="shared" si="132"/>
        <v>0</v>
      </c>
      <c r="U168" s="317">
        <f t="shared" si="133"/>
        <v>0</v>
      </c>
      <c r="V168" s="317">
        <f t="shared" si="100"/>
        <v>0</v>
      </c>
      <c r="W168" s="317">
        <f t="shared" si="101"/>
        <v>0</v>
      </c>
      <c r="X168" s="317">
        <f t="shared" si="102"/>
        <v>0</v>
      </c>
      <c r="Y168" s="317">
        <f t="shared" si="103"/>
        <v>0</v>
      </c>
      <c r="Z168" s="317">
        <f t="shared" si="104"/>
        <v>0</v>
      </c>
      <c r="AA168" s="317">
        <f t="shared" si="105"/>
        <v>0</v>
      </c>
      <c r="AB168" s="317">
        <f t="shared" si="106"/>
        <v>0</v>
      </c>
      <c r="AC168" s="317">
        <f t="shared" si="107"/>
        <v>0</v>
      </c>
      <c r="AD168" s="317">
        <f t="shared" si="108"/>
        <v>0</v>
      </c>
      <c r="AE168" s="317">
        <f t="shared" si="109"/>
        <v>0</v>
      </c>
      <c r="AF168" s="317">
        <f t="shared" si="134"/>
        <v>0</v>
      </c>
      <c r="AG168" s="317">
        <f t="shared" si="135"/>
        <v>0</v>
      </c>
      <c r="AH168" s="317">
        <f t="shared" si="110"/>
        <v>0</v>
      </c>
      <c r="AI168" s="317">
        <f t="shared" si="111"/>
        <v>0</v>
      </c>
      <c r="AJ168" s="317">
        <f t="shared" si="112"/>
        <v>0</v>
      </c>
      <c r="AK168" s="317">
        <f t="shared" si="113"/>
        <v>0</v>
      </c>
      <c r="AL168" s="317">
        <f t="shared" si="114"/>
        <v>0</v>
      </c>
      <c r="AM168" s="317">
        <f t="shared" si="115"/>
        <v>0</v>
      </c>
      <c r="AN168" s="317">
        <f t="shared" si="116"/>
        <v>0</v>
      </c>
      <c r="AO168" s="317">
        <f t="shared" si="117"/>
        <v>0</v>
      </c>
      <c r="AP168" s="317">
        <f t="shared" si="118"/>
        <v>0</v>
      </c>
      <c r="AQ168" s="317">
        <f t="shared" si="119"/>
        <v>0</v>
      </c>
      <c r="AR168" s="317">
        <f t="shared" si="120"/>
        <v>0</v>
      </c>
      <c r="AS168" s="317">
        <f t="shared" si="121"/>
        <v>0</v>
      </c>
      <c r="AT168" s="317">
        <f t="shared" si="122"/>
        <v>0</v>
      </c>
      <c r="AU168" s="317">
        <f t="shared" si="123"/>
        <v>0</v>
      </c>
      <c r="AV168" s="317">
        <f t="shared" si="124"/>
        <v>0</v>
      </c>
      <c r="AW168" s="317">
        <f t="shared" si="125"/>
        <v>0</v>
      </c>
      <c r="AX168" s="317">
        <f t="shared" si="126"/>
        <v>0</v>
      </c>
      <c r="AY168" s="317">
        <f t="shared" si="127"/>
        <v>0</v>
      </c>
      <c r="AZ168" s="317">
        <f t="shared" si="128"/>
        <v>0</v>
      </c>
      <c r="BA168" s="317">
        <f t="shared" si="129"/>
        <v>0</v>
      </c>
    </row>
    <row r="169" spans="1:53" s="314" customFormat="1" ht="15.75" customHeight="1">
      <c r="A169" s="63" t="str">
        <f t="array" ref="A169">IF(C169&lt;&gt;0,SUM(($C$11:C169&lt;&gt;0)*1),"")</f>
        <v/>
      </c>
      <c r="B169" s="315"/>
      <c r="C169" s="315"/>
      <c r="D169" s="315"/>
      <c r="E169" s="433"/>
      <c r="F169" s="371"/>
      <c r="G169" s="373"/>
      <c r="H169" s="373"/>
      <c r="I169" s="63" t="str">
        <f t="shared" si="136"/>
        <v/>
      </c>
      <c r="J169" s="317">
        <f t="shared" si="92"/>
        <v>0</v>
      </c>
      <c r="K169" s="317">
        <f t="shared" si="93"/>
        <v>0</v>
      </c>
      <c r="L169" s="317">
        <f t="shared" si="94"/>
        <v>0</v>
      </c>
      <c r="M169" s="317">
        <f t="shared" si="95"/>
        <v>0</v>
      </c>
      <c r="N169" s="317">
        <f t="shared" si="130"/>
        <v>0</v>
      </c>
      <c r="O169" s="317">
        <f t="shared" si="131"/>
        <v>0</v>
      </c>
      <c r="P169" s="317">
        <f t="shared" si="96"/>
        <v>0</v>
      </c>
      <c r="Q169" s="317">
        <f t="shared" si="97"/>
        <v>0</v>
      </c>
      <c r="R169" s="317">
        <f t="shared" si="98"/>
        <v>0</v>
      </c>
      <c r="S169" s="317">
        <f t="shared" si="99"/>
        <v>0</v>
      </c>
      <c r="T169" s="317">
        <f t="shared" si="132"/>
        <v>0</v>
      </c>
      <c r="U169" s="317">
        <f t="shared" si="133"/>
        <v>0</v>
      </c>
      <c r="V169" s="317">
        <f t="shared" si="100"/>
        <v>0</v>
      </c>
      <c r="W169" s="317">
        <f t="shared" si="101"/>
        <v>0</v>
      </c>
      <c r="X169" s="317">
        <f t="shared" si="102"/>
        <v>0</v>
      </c>
      <c r="Y169" s="317">
        <f t="shared" si="103"/>
        <v>0</v>
      </c>
      <c r="Z169" s="317">
        <f t="shared" si="104"/>
        <v>0</v>
      </c>
      <c r="AA169" s="317">
        <f t="shared" si="105"/>
        <v>0</v>
      </c>
      <c r="AB169" s="317">
        <f t="shared" si="106"/>
        <v>0</v>
      </c>
      <c r="AC169" s="317">
        <f t="shared" si="107"/>
        <v>0</v>
      </c>
      <c r="AD169" s="317">
        <f t="shared" si="108"/>
        <v>0</v>
      </c>
      <c r="AE169" s="317">
        <f t="shared" si="109"/>
        <v>0</v>
      </c>
      <c r="AF169" s="317">
        <f t="shared" si="134"/>
        <v>0</v>
      </c>
      <c r="AG169" s="317">
        <f t="shared" si="135"/>
        <v>0</v>
      </c>
      <c r="AH169" s="317">
        <f t="shared" si="110"/>
        <v>0</v>
      </c>
      <c r="AI169" s="317">
        <f t="shared" si="111"/>
        <v>0</v>
      </c>
      <c r="AJ169" s="317">
        <f t="shared" si="112"/>
        <v>0</v>
      </c>
      <c r="AK169" s="317">
        <f t="shared" si="113"/>
        <v>0</v>
      </c>
      <c r="AL169" s="317">
        <f t="shared" si="114"/>
        <v>0</v>
      </c>
      <c r="AM169" s="317">
        <f t="shared" si="115"/>
        <v>0</v>
      </c>
      <c r="AN169" s="317">
        <f t="shared" si="116"/>
        <v>0</v>
      </c>
      <c r="AO169" s="317">
        <f t="shared" si="117"/>
        <v>0</v>
      </c>
      <c r="AP169" s="317">
        <f t="shared" si="118"/>
        <v>0</v>
      </c>
      <c r="AQ169" s="317">
        <f t="shared" si="119"/>
        <v>0</v>
      </c>
      <c r="AR169" s="317">
        <f t="shared" si="120"/>
        <v>0</v>
      </c>
      <c r="AS169" s="317">
        <f t="shared" si="121"/>
        <v>0</v>
      </c>
      <c r="AT169" s="317">
        <f t="shared" si="122"/>
        <v>0</v>
      </c>
      <c r="AU169" s="317">
        <f t="shared" si="123"/>
        <v>0</v>
      </c>
      <c r="AV169" s="317">
        <f t="shared" si="124"/>
        <v>0</v>
      </c>
      <c r="AW169" s="317">
        <f t="shared" si="125"/>
        <v>0</v>
      </c>
      <c r="AX169" s="317">
        <f t="shared" si="126"/>
        <v>0</v>
      </c>
      <c r="AY169" s="317">
        <f t="shared" si="127"/>
        <v>0</v>
      </c>
      <c r="AZ169" s="317">
        <f t="shared" si="128"/>
        <v>0</v>
      </c>
      <c r="BA169" s="317">
        <f t="shared" si="129"/>
        <v>0</v>
      </c>
    </row>
    <row r="170" spans="1:53" s="314" customFormat="1" ht="15.75" customHeight="1">
      <c r="A170" s="63" t="str">
        <f t="array" ref="A170">IF(C170&lt;&gt;0,SUM(($C$11:C170&lt;&gt;0)*1),"")</f>
        <v/>
      </c>
      <c r="B170" s="315"/>
      <c r="C170" s="315"/>
      <c r="D170" s="315"/>
      <c r="E170" s="433"/>
      <c r="F170" s="371"/>
      <c r="G170" s="373"/>
      <c r="H170" s="373"/>
      <c r="I170" s="63" t="str">
        <f t="shared" si="136"/>
        <v/>
      </c>
      <c r="J170" s="317">
        <f t="shared" si="92"/>
        <v>0</v>
      </c>
      <c r="K170" s="317">
        <f t="shared" si="93"/>
        <v>0</v>
      </c>
      <c r="L170" s="317">
        <f t="shared" si="94"/>
        <v>0</v>
      </c>
      <c r="M170" s="317">
        <f t="shared" si="95"/>
        <v>0</v>
      </c>
      <c r="N170" s="317">
        <f t="shared" si="130"/>
        <v>0</v>
      </c>
      <c r="O170" s="317">
        <f t="shared" si="131"/>
        <v>0</v>
      </c>
      <c r="P170" s="317">
        <f t="shared" si="96"/>
        <v>0</v>
      </c>
      <c r="Q170" s="317">
        <f t="shared" si="97"/>
        <v>0</v>
      </c>
      <c r="R170" s="317">
        <f t="shared" si="98"/>
        <v>0</v>
      </c>
      <c r="S170" s="317">
        <f t="shared" si="99"/>
        <v>0</v>
      </c>
      <c r="T170" s="317">
        <f t="shared" si="132"/>
        <v>0</v>
      </c>
      <c r="U170" s="317">
        <f t="shared" si="133"/>
        <v>0</v>
      </c>
      <c r="V170" s="317">
        <f t="shared" si="100"/>
        <v>0</v>
      </c>
      <c r="W170" s="317">
        <f t="shared" si="101"/>
        <v>0</v>
      </c>
      <c r="X170" s="317">
        <f t="shared" si="102"/>
        <v>0</v>
      </c>
      <c r="Y170" s="317">
        <f t="shared" si="103"/>
        <v>0</v>
      </c>
      <c r="Z170" s="317">
        <f t="shared" si="104"/>
        <v>0</v>
      </c>
      <c r="AA170" s="317">
        <f t="shared" si="105"/>
        <v>0</v>
      </c>
      <c r="AB170" s="317">
        <f t="shared" si="106"/>
        <v>0</v>
      </c>
      <c r="AC170" s="317">
        <f t="shared" si="107"/>
        <v>0</v>
      </c>
      <c r="AD170" s="317">
        <f t="shared" si="108"/>
        <v>0</v>
      </c>
      <c r="AE170" s="317">
        <f t="shared" si="109"/>
        <v>0</v>
      </c>
      <c r="AF170" s="317">
        <f t="shared" si="134"/>
        <v>0</v>
      </c>
      <c r="AG170" s="317">
        <f t="shared" si="135"/>
        <v>0</v>
      </c>
      <c r="AH170" s="317">
        <f t="shared" si="110"/>
        <v>0</v>
      </c>
      <c r="AI170" s="317">
        <f t="shared" si="111"/>
        <v>0</v>
      </c>
      <c r="AJ170" s="317">
        <f t="shared" si="112"/>
        <v>0</v>
      </c>
      <c r="AK170" s="317">
        <f t="shared" si="113"/>
        <v>0</v>
      </c>
      <c r="AL170" s="317">
        <f t="shared" si="114"/>
        <v>0</v>
      </c>
      <c r="AM170" s="317">
        <f t="shared" si="115"/>
        <v>0</v>
      </c>
      <c r="AN170" s="317">
        <f t="shared" si="116"/>
        <v>0</v>
      </c>
      <c r="AO170" s="317">
        <f t="shared" si="117"/>
        <v>0</v>
      </c>
      <c r="AP170" s="317">
        <f t="shared" si="118"/>
        <v>0</v>
      </c>
      <c r="AQ170" s="317">
        <f t="shared" si="119"/>
        <v>0</v>
      </c>
      <c r="AR170" s="317">
        <f t="shared" si="120"/>
        <v>0</v>
      </c>
      <c r="AS170" s="317">
        <f t="shared" si="121"/>
        <v>0</v>
      </c>
      <c r="AT170" s="317">
        <f t="shared" si="122"/>
        <v>0</v>
      </c>
      <c r="AU170" s="317">
        <f t="shared" si="123"/>
        <v>0</v>
      </c>
      <c r="AV170" s="317">
        <f t="shared" si="124"/>
        <v>0</v>
      </c>
      <c r="AW170" s="317">
        <f t="shared" si="125"/>
        <v>0</v>
      </c>
      <c r="AX170" s="317">
        <f t="shared" si="126"/>
        <v>0</v>
      </c>
      <c r="AY170" s="317">
        <f t="shared" si="127"/>
        <v>0</v>
      </c>
      <c r="AZ170" s="317">
        <f t="shared" si="128"/>
        <v>0</v>
      </c>
      <c r="BA170" s="317">
        <f t="shared" si="129"/>
        <v>0</v>
      </c>
    </row>
    <row r="171" spans="1:53" s="314" customFormat="1" ht="15.75" customHeight="1">
      <c r="A171" s="63" t="str">
        <f t="array" ref="A171">IF(C171&lt;&gt;0,SUM(($C$11:C171&lt;&gt;0)*1),"")</f>
        <v/>
      </c>
      <c r="B171" s="315"/>
      <c r="C171" s="315"/>
      <c r="D171" s="315"/>
      <c r="E171" s="433"/>
      <c r="F171" s="371"/>
      <c r="G171" s="373"/>
      <c r="H171" s="373"/>
      <c r="I171" s="63" t="str">
        <f t="shared" si="136"/>
        <v/>
      </c>
      <c r="J171" s="317">
        <f t="shared" si="92"/>
        <v>0</v>
      </c>
      <c r="K171" s="317">
        <f t="shared" si="93"/>
        <v>0</v>
      </c>
      <c r="L171" s="317">
        <f t="shared" si="94"/>
        <v>0</v>
      </c>
      <c r="M171" s="317">
        <f t="shared" si="95"/>
        <v>0</v>
      </c>
      <c r="N171" s="317">
        <f t="shared" si="130"/>
        <v>0</v>
      </c>
      <c r="O171" s="317">
        <f t="shared" si="131"/>
        <v>0</v>
      </c>
      <c r="P171" s="317">
        <f t="shared" si="96"/>
        <v>0</v>
      </c>
      <c r="Q171" s="317">
        <f t="shared" si="97"/>
        <v>0</v>
      </c>
      <c r="R171" s="317">
        <f t="shared" si="98"/>
        <v>0</v>
      </c>
      <c r="S171" s="317">
        <f t="shared" si="99"/>
        <v>0</v>
      </c>
      <c r="T171" s="317">
        <f t="shared" si="132"/>
        <v>0</v>
      </c>
      <c r="U171" s="317">
        <f t="shared" si="133"/>
        <v>0</v>
      </c>
      <c r="V171" s="317">
        <f t="shared" si="100"/>
        <v>0</v>
      </c>
      <c r="W171" s="317">
        <f t="shared" si="101"/>
        <v>0</v>
      </c>
      <c r="X171" s="317">
        <f t="shared" si="102"/>
        <v>0</v>
      </c>
      <c r="Y171" s="317">
        <f t="shared" si="103"/>
        <v>0</v>
      </c>
      <c r="Z171" s="317">
        <f t="shared" si="104"/>
        <v>0</v>
      </c>
      <c r="AA171" s="317">
        <f t="shared" si="105"/>
        <v>0</v>
      </c>
      <c r="AB171" s="317">
        <f t="shared" si="106"/>
        <v>0</v>
      </c>
      <c r="AC171" s="317">
        <f t="shared" si="107"/>
        <v>0</v>
      </c>
      <c r="AD171" s="317">
        <f t="shared" si="108"/>
        <v>0</v>
      </c>
      <c r="AE171" s="317">
        <f t="shared" si="109"/>
        <v>0</v>
      </c>
      <c r="AF171" s="317">
        <f t="shared" si="134"/>
        <v>0</v>
      </c>
      <c r="AG171" s="317">
        <f t="shared" si="135"/>
        <v>0</v>
      </c>
      <c r="AH171" s="317">
        <f t="shared" si="110"/>
        <v>0</v>
      </c>
      <c r="AI171" s="317">
        <f t="shared" si="111"/>
        <v>0</v>
      </c>
      <c r="AJ171" s="317">
        <f t="shared" si="112"/>
        <v>0</v>
      </c>
      <c r="AK171" s="317">
        <f t="shared" si="113"/>
        <v>0</v>
      </c>
      <c r="AL171" s="317">
        <f t="shared" si="114"/>
        <v>0</v>
      </c>
      <c r="AM171" s="317">
        <f t="shared" si="115"/>
        <v>0</v>
      </c>
      <c r="AN171" s="317">
        <f t="shared" si="116"/>
        <v>0</v>
      </c>
      <c r="AO171" s="317">
        <f t="shared" si="117"/>
        <v>0</v>
      </c>
      <c r="AP171" s="317">
        <f t="shared" si="118"/>
        <v>0</v>
      </c>
      <c r="AQ171" s="317">
        <f t="shared" si="119"/>
        <v>0</v>
      </c>
      <c r="AR171" s="317">
        <f t="shared" si="120"/>
        <v>0</v>
      </c>
      <c r="AS171" s="317">
        <f t="shared" si="121"/>
        <v>0</v>
      </c>
      <c r="AT171" s="317">
        <f t="shared" si="122"/>
        <v>0</v>
      </c>
      <c r="AU171" s="317">
        <f t="shared" si="123"/>
        <v>0</v>
      </c>
      <c r="AV171" s="317">
        <f t="shared" si="124"/>
        <v>0</v>
      </c>
      <c r="AW171" s="317">
        <f t="shared" si="125"/>
        <v>0</v>
      </c>
      <c r="AX171" s="317">
        <f t="shared" si="126"/>
        <v>0</v>
      </c>
      <c r="AY171" s="317">
        <f t="shared" si="127"/>
        <v>0</v>
      </c>
      <c r="AZ171" s="317">
        <f t="shared" si="128"/>
        <v>0</v>
      </c>
      <c r="BA171" s="317">
        <f t="shared" si="129"/>
        <v>0</v>
      </c>
    </row>
    <row r="172" spans="1:53" s="314" customFormat="1" ht="15.75" customHeight="1">
      <c r="A172" s="63" t="str">
        <f t="array" ref="A172">IF(C172&lt;&gt;0,SUM(($C$11:C172&lt;&gt;0)*1),"")</f>
        <v/>
      </c>
      <c r="B172" s="315"/>
      <c r="C172" s="315"/>
      <c r="D172" s="315"/>
      <c r="E172" s="433"/>
      <c r="F172" s="371"/>
      <c r="G172" s="373"/>
      <c r="H172" s="373"/>
      <c r="I172" s="63" t="str">
        <f t="shared" si="136"/>
        <v/>
      </c>
      <c r="J172" s="317">
        <f t="shared" si="92"/>
        <v>0</v>
      </c>
      <c r="K172" s="317">
        <f t="shared" si="93"/>
        <v>0</v>
      </c>
      <c r="L172" s="317">
        <f t="shared" si="94"/>
        <v>0</v>
      </c>
      <c r="M172" s="317">
        <f t="shared" si="95"/>
        <v>0</v>
      </c>
      <c r="N172" s="317">
        <f t="shared" si="130"/>
        <v>0</v>
      </c>
      <c r="O172" s="317">
        <f t="shared" si="131"/>
        <v>0</v>
      </c>
      <c r="P172" s="317">
        <f t="shared" si="96"/>
        <v>0</v>
      </c>
      <c r="Q172" s="317">
        <f t="shared" si="97"/>
        <v>0</v>
      </c>
      <c r="R172" s="317">
        <f t="shared" si="98"/>
        <v>0</v>
      </c>
      <c r="S172" s="317">
        <f t="shared" si="99"/>
        <v>0</v>
      </c>
      <c r="T172" s="317">
        <f t="shared" si="132"/>
        <v>0</v>
      </c>
      <c r="U172" s="317">
        <f t="shared" si="133"/>
        <v>0</v>
      </c>
      <c r="V172" s="317">
        <f t="shared" si="100"/>
        <v>0</v>
      </c>
      <c r="W172" s="317">
        <f t="shared" si="101"/>
        <v>0</v>
      </c>
      <c r="X172" s="317">
        <f t="shared" si="102"/>
        <v>0</v>
      </c>
      <c r="Y172" s="317">
        <f t="shared" si="103"/>
        <v>0</v>
      </c>
      <c r="Z172" s="317">
        <f t="shared" si="104"/>
        <v>0</v>
      </c>
      <c r="AA172" s="317">
        <f t="shared" si="105"/>
        <v>0</v>
      </c>
      <c r="AB172" s="317">
        <f t="shared" si="106"/>
        <v>0</v>
      </c>
      <c r="AC172" s="317">
        <f t="shared" si="107"/>
        <v>0</v>
      </c>
      <c r="AD172" s="317">
        <f t="shared" si="108"/>
        <v>0</v>
      </c>
      <c r="AE172" s="317">
        <f t="shared" si="109"/>
        <v>0</v>
      </c>
      <c r="AF172" s="317">
        <f t="shared" si="134"/>
        <v>0</v>
      </c>
      <c r="AG172" s="317">
        <f t="shared" si="135"/>
        <v>0</v>
      </c>
      <c r="AH172" s="317">
        <f t="shared" si="110"/>
        <v>0</v>
      </c>
      <c r="AI172" s="317">
        <f t="shared" si="111"/>
        <v>0</v>
      </c>
      <c r="AJ172" s="317">
        <f t="shared" si="112"/>
        <v>0</v>
      </c>
      <c r="AK172" s="317">
        <f t="shared" si="113"/>
        <v>0</v>
      </c>
      <c r="AL172" s="317">
        <f t="shared" si="114"/>
        <v>0</v>
      </c>
      <c r="AM172" s="317">
        <f t="shared" si="115"/>
        <v>0</v>
      </c>
      <c r="AN172" s="317">
        <f t="shared" si="116"/>
        <v>0</v>
      </c>
      <c r="AO172" s="317">
        <f t="shared" si="117"/>
        <v>0</v>
      </c>
      <c r="AP172" s="317">
        <f t="shared" si="118"/>
        <v>0</v>
      </c>
      <c r="AQ172" s="317">
        <f t="shared" si="119"/>
        <v>0</v>
      </c>
      <c r="AR172" s="317">
        <f t="shared" si="120"/>
        <v>0</v>
      </c>
      <c r="AS172" s="317">
        <f t="shared" si="121"/>
        <v>0</v>
      </c>
      <c r="AT172" s="317">
        <f t="shared" si="122"/>
        <v>0</v>
      </c>
      <c r="AU172" s="317">
        <f t="shared" si="123"/>
        <v>0</v>
      </c>
      <c r="AV172" s="317">
        <f t="shared" si="124"/>
        <v>0</v>
      </c>
      <c r="AW172" s="317">
        <f t="shared" si="125"/>
        <v>0</v>
      </c>
      <c r="AX172" s="317">
        <f t="shared" si="126"/>
        <v>0</v>
      </c>
      <c r="AY172" s="317">
        <f t="shared" si="127"/>
        <v>0</v>
      </c>
      <c r="AZ172" s="317">
        <f t="shared" si="128"/>
        <v>0</v>
      </c>
      <c r="BA172" s="317">
        <f t="shared" si="129"/>
        <v>0</v>
      </c>
    </row>
    <row r="173" spans="1:53" s="314" customFormat="1" ht="15.75" customHeight="1">
      <c r="A173" s="63" t="str">
        <f t="array" ref="A173">IF(C173&lt;&gt;0,SUM(($C$11:C173&lt;&gt;0)*1),"")</f>
        <v/>
      </c>
      <c r="B173" s="315"/>
      <c r="C173" s="315"/>
      <c r="D173" s="315"/>
      <c r="E173" s="433"/>
      <c r="F173" s="371"/>
      <c r="G173" s="373"/>
      <c r="H173" s="373"/>
      <c r="I173" s="63" t="str">
        <f t="shared" si="136"/>
        <v/>
      </c>
      <c r="J173" s="317">
        <f t="shared" si="92"/>
        <v>0</v>
      </c>
      <c r="K173" s="317">
        <f t="shared" si="93"/>
        <v>0</v>
      </c>
      <c r="L173" s="317">
        <f t="shared" si="94"/>
        <v>0</v>
      </c>
      <c r="M173" s="317">
        <f t="shared" si="95"/>
        <v>0</v>
      </c>
      <c r="N173" s="317">
        <f t="shared" si="130"/>
        <v>0</v>
      </c>
      <c r="O173" s="317">
        <f t="shared" si="131"/>
        <v>0</v>
      </c>
      <c r="P173" s="317">
        <f t="shared" si="96"/>
        <v>0</v>
      </c>
      <c r="Q173" s="317">
        <f t="shared" si="97"/>
        <v>0</v>
      </c>
      <c r="R173" s="317">
        <f t="shared" si="98"/>
        <v>0</v>
      </c>
      <c r="S173" s="317">
        <f t="shared" si="99"/>
        <v>0</v>
      </c>
      <c r="T173" s="317">
        <f t="shared" si="132"/>
        <v>0</v>
      </c>
      <c r="U173" s="317">
        <f t="shared" si="133"/>
        <v>0</v>
      </c>
      <c r="V173" s="317">
        <f t="shared" si="100"/>
        <v>0</v>
      </c>
      <c r="W173" s="317">
        <f t="shared" si="101"/>
        <v>0</v>
      </c>
      <c r="X173" s="317">
        <f t="shared" si="102"/>
        <v>0</v>
      </c>
      <c r="Y173" s="317">
        <f t="shared" si="103"/>
        <v>0</v>
      </c>
      <c r="Z173" s="317">
        <f t="shared" si="104"/>
        <v>0</v>
      </c>
      <c r="AA173" s="317">
        <f t="shared" si="105"/>
        <v>0</v>
      </c>
      <c r="AB173" s="317">
        <f t="shared" si="106"/>
        <v>0</v>
      </c>
      <c r="AC173" s="317">
        <f t="shared" si="107"/>
        <v>0</v>
      </c>
      <c r="AD173" s="317">
        <f t="shared" si="108"/>
        <v>0</v>
      </c>
      <c r="AE173" s="317">
        <f t="shared" si="109"/>
        <v>0</v>
      </c>
      <c r="AF173" s="317">
        <f t="shared" si="134"/>
        <v>0</v>
      </c>
      <c r="AG173" s="317">
        <f t="shared" si="135"/>
        <v>0</v>
      </c>
      <c r="AH173" s="317">
        <f t="shared" si="110"/>
        <v>0</v>
      </c>
      <c r="AI173" s="317">
        <f t="shared" si="111"/>
        <v>0</v>
      </c>
      <c r="AJ173" s="317">
        <f t="shared" si="112"/>
        <v>0</v>
      </c>
      <c r="AK173" s="317">
        <f t="shared" si="113"/>
        <v>0</v>
      </c>
      <c r="AL173" s="317">
        <f t="shared" si="114"/>
        <v>0</v>
      </c>
      <c r="AM173" s="317">
        <f t="shared" si="115"/>
        <v>0</v>
      </c>
      <c r="AN173" s="317">
        <f t="shared" si="116"/>
        <v>0</v>
      </c>
      <c r="AO173" s="317">
        <f t="shared" si="117"/>
        <v>0</v>
      </c>
      <c r="AP173" s="317">
        <f t="shared" si="118"/>
        <v>0</v>
      </c>
      <c r="AQ173" s="317">
        <f t="shared" si="119"/>
        <v>0</v>
      </c>
      <c r="AR173" s="317">
        <f t="shared" si="120"/>
        <v>0</v>
      </c>
      <c r="AS173" s="317">
        <f t="shared" si="121"/>
        <v>0</v>
      </c>
      <c r="AT173" s="317">
        <f t="shared" si="122"/>
        <v>0</v>
      </c>
      <c r="AU173" s="317">
        <f t="shared" si="123"/>
        <v>0</v>
      </c>
      <c r="AV173" s="317">
        <f t="shared" si="124"/>
        <v>0</v>
      </c>
      <c r="AW173" s="317">
        <f t="shared" si="125"/>
        <v>0</v>
      </c>
      <c r="AX173" s="317">
        <f t="shared" si="126"/>
        <v>0</v>
      </c>
      <c r="AY173" s="317">
        <f t="shared" si="127"/>
        <v>0</v>
      </c>
      <c r="AZ173" s="317">
        <f t="shared" si="128"/>
        <v>0</v>
      </c>
      <c r="BA173" s="317">
        <f t="shared" si="129"/>
        <v>0</v>
      </c>
    </row>
    <row r="174" spans="1:53" s="314" customFormat="1" ht="15.75" customHeight="1">
      <c r="A174" s="63" t="str">
        <f t="array" ref="A174">IF(C174&lt;&gt;0,SUM(($C$11:C174&lt;&gt;0)*1),"")</f>
        <v/>
      </c>
      <c r="B174" s="315"/>
      <c r="C174" s="315"/>
      <c r="D174" s="315"/>
      <c r="E174" s="433"/>
      <c r="F174" s="371"/>
      <c r="G174" s="373"/>
      <c r="H174" s="373"/>
      <c r="I174" s="63" t="str">
        <f t="shared" si="136"/>
        <v/>
      </c>
      <c r="J174" s="317">
        <f t="shared" si="92"/>
        <v>0</v>
      </c>
      <c r="K174" s="317">
        <f t="shared" si="93"/>
        <v>0</v>
      </c>
      <c r="L174" s="317">
        <f t="shared" si="94"/>
        <v>0</v>
      </c>
      <c r="M174" s="317">
        <f t="shared" si="95"/>
        <v>0</v>
      </c>
      <c r="N174" s="317">
        <f t="shared" si="130"/>
        <v>0</v>
      </c>
      <c r="O174" s="317">
        <f t="shared" si="131"/>
        <v>0</v>
      </c>
      <c r="P174" s="317">
        <f t="shared" si="96"/>
        <v>0</v>
      </c>
      <c r="Q174" s="317">
        <f t="shared" si="97"/>
        <v>0</v>
      </c>
      <c r="R174" s="317">
        <f t="shared" si="98"/>
        <v>0</v>
      </c>
      <c r="S174" s="317">
        <f t="shared" si="99"/>
        <v>0</v>
      </c>
      <c r="T174" s="317">
        <f t="shared" si="132"/>
        <v>0</v>
      </c>
      <c r="U174" s="317">
        <f t="shared" si="133"/>
        <v>0</v>
      </c>
      <c r="V174" s="317">
        <f t="shared" si="100"/>
        <v>0</v>
      </c>
      <c r="W174" s="317">
        <f t="shared" si="101"/>
        <v>0</v>
      </c>
      <c r="X174" s="317">
        <f t="shared" si="102"/>
        <v>0</v>
      </c>
      <c r="Y174" s="317">
        <f t="shared" si="103"/>
        <v>0</v>
      </c>
      <c r="Z174" s="317">
        <f t="shared" si="104"/>
        <v>0</v>
      </c>
      <c r="AA174" s="317">
        <f t="shared" si="105"/>
        <v>0</v>
      </c>
      <c r="AB174" s="317">
        <f t="shared" si="106"/>
        <v>0</v>
      </c>
      <c r="AC174" s="317">
        <f t="shared" si="107"/>
        <v>0</v>
      </c>
      <c r="AD174" s="317">
        <f t="shared" si="108"/>
        <v>0</v>
      </c>
      <c r="AE174" s="317">
        <f t="shared" si="109"/>
        <v>0</v>
      </c>
      <c r="AF174" s="317">
        <f t="shared" si="134"/>
        <v>0</v>
      </c>
      <c r="AG174" s="317">
        <f t="shared" si="135"/>
        <v>0</v>
      </c>
      <c r="AH174" s="317">
        <f t="shared" si="110"/>
        <v>0</v>
      </c>
      <c r="AI174" s="317">
        <f t="shared" si="111"/>
        <v>0</v>
      </c>
      <c r="AJ174" s="317">
        <f t="shared" si="112"/>
        <v>0</v>
      </c>
      <c r="AK174" s="317">
        <f t="shared" si="113"/>
        <v>0</v>
      </c>
      <c r="AL174" s="317">
        <f t="shared" si="114"/>
        <v>0</v>
      </c>
      <c r="AM174" s="317">
        <f t="shared" si="115"/>
        <v>0</v>
      </c>
      <c r="AN174" s="317">
        <f t="shared" si="116"/>
        <v>0</v>
      </c>
      <c r="AO174" s="317">
        <f t="shared" si="117"/>
        <v>0</v>
      </c>
      <c r="AP174" s="317">
        <f t="shared" si="118"/>
        <v>0</v>
      </c>
      <c r="AQ174" s="317">
        <f t="shared" si="119"/>
        <v>0</v>
      </c>
      <c r="AR174" s="317">
        <f t="shared" si="120"/>
        <v>0</v>
      </c>
      <c r="AS174" s="317">
        <f t="shared" si="121"/>
        <v>0</v>
      </c>
      <c r="AT174" s="317">
        <f t="shared" si="122"/>
        <v>0</v>
      </c>
      <c r="AU174" s="317">
        <f t="shared" si="123"/>
        <v>0</v>
      </c>
      <c r="AV174" s="317">
        <f t="shared" si="124"/>
        <v>0</v>
      </c>
      <c r="AW174" s="317">
        <f t="shared" si="125"/>
        <v>0</v>
      </c>
      <c r="AX174" s="317">
        <f t="shared" si="126"/>
        <v>0</v>
      </c>
      <c r="AY174" s="317">
        <f t="shared" si="127"/>
        <v>0</v>
      </c>
      <c r="AZ174" s="317">
        <f t="shared" si="128"/>
        <v>0</v>
      </c>
      <c r="BA174" s="317">
        <f t="shared" si="129"/>
        <v>0</v>
      </c>
    </row>
    <row r="175" spans="1:53" s="314" customFormat="1" ht="15.75" customHeight="1">
      <c r="A175" s="63" t="str">
        <f t="array" ref="A175">IF(C175&lt;&gt;0,SUM(($C$11:C175&lt;&gt;0)*1),"")</f>
        <v/>
      </c>
      <c r="B175" s="315"/>
      <c r="C175" s="315"/>
      <c r="D175" s="315"/>
      <c r="E175" s="433"/>
      <c r="F175" s="371"/>
      <c r="G175" s="373"/>
      <c r="H175" s="373"/>
      <c r="I175" s="63" t="str">
        <f t="shared" si="136"/>
        <v/>
      </c>
      <c r="J175" s="317">
        <f t="shared" si="92"/>
        <v>0</v>
      </c>
      <c r="K175" s="317">
        <f t="shared" si="93"/>
        <v>0</v>
      </c>
      <c r="L175" s="317">
        <f t="shared" si="94"/>
        <v>0</v>
      </c>
      <c r="M175" s="317">
        <f t="shared" si="95"/>
        <v>0</v>
      </c>
      <c r="N175" s="317">
        <f t="shared" si="130"/>
        <v>0</v>
      </c>
      <c r="O175" s="317">
        <f t="shared" si="131"/>
        <v>0</v>
      </c>
      <c r="P175" s="317">
        <f t="shared" si="96"/>
        <v>0</v>
      </c>
      <c r="Q175" s="317">
        <f t="shared" si="97"/>
        <v>0</v>
      </c>
      <c r="R175" s="317">
        <f t="shared" si="98"/>
        <v>0</v>
      </c>
      <c r="S175" s="317">
        <f t="shared" si="99"/>
        <v>0</v>
      </c>
      <c r="T175" s="317">
        <f t="shared" si="132"/>
        <v>0</v>
      </c>
      <c r="U175" s="317">
        <f t="shared" si="133"/>
        <v>0</v>
      </c>
      <c r="V175" s="317">
        <f t="shared" si="100"/>
        <v>0</v>
      </c>
      <c r="W175" s="317">
        <f t="shared" si="101"/>
        <v>0</v>
      </c>
      <c r="X175" s="317">
        <f t="shared" si="102"/>
        <v>0</v>
      </c>
      <c r="Y175" s="317">
        <f t="shared" si="103"/>
        <v>0</v>
      </c>
      <c r="Z175" s="317">
        <f t="shared" si="104"/>
        <v>0</v>
      </c>
      <c r="AA175" s="317">
        <f t="shared" si="105"/>
        <v>0</v>
      </c>
      <c r="AB175" s="317">
        <f t="shared" si="106"/>
        <v>0</v>
      </c>
      <c r="AC175" s="317">
        <f t="shared" si="107"/>
        <v>0</v>
      </c>
      <c r="AD175" s="317">
        <f t="shared" si="108"/>
        <v>0</v>
      </c>
      <c r="AE175" s="317">
        <f t="shared" si="109"/>
        <v>0</v>
      </c>
      <c r="AF175" s="317">
        <f t="shared" si="134"/>
        <v>0</v>
      </c>
      <c r="AG175" s="317">
        <f t="shared" si="135"/>
        <v>0</v>
      </c>
      <c r="AH175" s="317">
        <f t="shared" si="110"/>
        <v>0</v>
      </c>
      <c r="AI175" s="317">
        <f t="shared" si="111"/>
        <v>0</v>
      </c>
      <c r="AJ175" s="317">
        <f t="shared" si="112"/>
        <v>0</v>
      </c>
      <c r="AK175" s="317">
        <f t="shared" si="113"/>
        <v>0</v>
      </c>
      <c r="AL175" s="317">
        <f t="shared" si="114"/>
        <v>0</v>
      </c>
      <c r="AM175" s="317">
        <f t="shared" si="115"/>
        <v>0</v>
      </c>
      <c r="AN175" s="317">
        <f t="shared" si="116"/>
        <v>0</v>
      </c>
      <c r="AO175" s="317">
        <f t="shared" si="117"/>
        <v>0</v>
      </c>
      <c r="AP175" s="317">
        <f t="shared" si="118"/>
        <v>0</v>
      </c>
      <c r="AQ175" s="317">
        <f t="shared" si="119"/>
        <v>0</v>
      </c>
      <c r="AR175" s="317">
        <f t="shared" si="120"/>
        <v>0</v>
      </c>
      <c r="AS175" s="317">
        <f t="shared" si="121"/>
        <v>0</v>
      </c>
      <c r="AT175" s="317">
        <f t="shared" si="122"/>
        <v>0</v>
      </c>
      <c r="AU175" s="317">
        <f t="shared" si="123"/>
        <v>0</v>
      </c>
      <c r="AV175" s="317">
        <f t="shared" si="124"/>
        <v>0</v>
      </c>
      <c r="AW175" s="317">
        <f t="shared" si="125"/>
        <v>0</v>
      </c>
      <c r="AX175" s="317">
        <f t="shared" si="126"/>
        <v>0</v>
      </c>
      <c r="AY175" s="317">
        <f t="shared" si="127"/>
        <v>0</v>
      </c>
      <c r="AZ175" s="317">
        <f t="shared" si="128"/>
        <v>0</v>
      </c>
      <c r="BA175" s="317">
        <f t="shared" si="129"/>
        <v>0</v>
      </c>
    </row>
    <row r="176" spans="1:53" s="314" customFormat="1" ht="15.75" customHeight="1">
      <c r="A176" s="63" t="str">
        <f t="array" ref="A176">IF(C176&lt;&gt;0,SUM(($C$11:C176&lt;&gt;0)*1),"")</f>
        <v/>
      </c>
      <c r="B176" s="315"/>
      <c r="C176" s="315"/>
      <c r="D176" s="315"/>
      <c r="E176" s="433"/>
      <c r="F176" s="371"/>
      <c r="G176" s="373"/>
      <c r="H176" s="373"/>
      <c r="I176" s="63" t="str">
        <f>A176</f>
        <v/>
      </c>
      <c r="J176" s="317">
        <f t="shared" si="92"/>
        <v>0</v>
      </c>
      <c r="K176" s="317">
        <f t="shared" si="93"/>
        <v>0</v>
      </c>
      <c r="L176" s="317">
        <f t="shared" si="94"/>
        <v>0</v>
      </c>
      <c r="M176" s="317">
        <f t="shared" si="95"/>
        <v>0</v>
      </c>
      <c r="N176" s="317">
        <f t="shared" si="130"/>
        <v>0</v>
      </c>
      <c r="O176" s="317">
        <f t="shared" si="131"/>
        <v>0</v>
      </c>
      <c r="P176" s="317">
        <f t="shared" si="96"/>
        <v>0</v>
      </c>
      <c r="Q176" s="317">
        <f t="shared" si="97"/>
        <v>0</v>
      </c>
      <c r="R176" s="317">
        <f t="shared" si="98"/>
        <v>0</v>
      </c>
      <c r="S176" s="317">
        <f t="shared" si="99"/>
        <v>0</v>
      </c>
      <c r="T176" s="317">
        <f t="shared" si="132"/>
        <v>0</v>
      </c>
      <c r="U176" s="317">
        <f t="shared" si="133"/>
        <v>0</v>
      </c>
      <c r="V176" s="317">
        <f t="shared" si="100"/>
        <v>0</v>
      </c>
      <c r="W176" s="317">
        <f t="shared" si="101"/>
        <v>0</v>
      </c>
      <c r="X176" s="317">
        <f t="shared" si="102"/>
        <v>0</v>
      </c>
      <c r="Y176" s="317">
        <f t="shared" si="103"/>
        <v>0</v>
      </c>
      <c r="Z176" s="317">
        <f t="shared" si="104"/>
        <v>0</v>
      </c>
      <c r="AA176" s="317">
        <f t="shared" si="105"/>
        <v>0</v>
      </c>
      <c r="AB176" s="317">
        <f t="shared" si="106"/>
        <v>0</v>
      </c>
      <c r="AC176" s="317">
        <f t="shared" si="107"/>
        <v>0</v>
      </c>
      <c r="AD176" s="317">
        <f t="shared" si="108"/>
        <v>0</v>
      </c>
      <c r="AE176" s="317">
        <f t="shared" si="109"/>
        <v>0</v>
      </c>
      <c r="AF176" s="317">
        <f t="shared" si="134"/>
        <v>0</v>
      </c>
      <c r="AG176" s="317">
        <f t="shared" si="135"/>
        <v>0</v>
      </c>
      <c r="AH176" s="317">
        <f t="shared" si="110"/>
        <v>0</v>
      </c>
      <c r="AI176" s="317">
        <f t="shared" si="111"/>
        <v>0</v>
      </c>
      <c r="AJ176" s="317">
        <f t="shared" si="112"/>
        <v>0</v>
      </c>
      <c r="AK176" s="317">
        <f t="shared" si="113"/>
        <v>0</v>
      </c>
      <c r="AL176" s="317">
        <f t="shared" si="114"/>
        <v>0</v>
      </c>
      <c r="AM176" s="317">
        <f t="shared" si="115"/>
        <v>0</v>
      </c>
      <c r="AN176" s="317">
        <f t="shared" si="116"/>
        <v>0</v>
      </c>
      <c r="AO176" s="317">
        <f t="shared" si="117"/>
        <v>0</v>
      </c>
      <c r="AP176" s="317">
        <f t="shared" si="118"/>
        <v>0</v>
      </c>
      <c r="AQ176" s="317">
        <f t="shared" si="119"/>
        <v>0</v>
      </c>
      <c r="AR176" s="317">
        <f t="shared" si="120"/>
        <v>0</v>
      </c>
      <c r="AS176" s="317">
        <f t="shared" si="121"/>
        <v>0</v>
      </c>
      <c r="AT176" s="317">
        <f t="shared" si="122"/>
        <v>0</v>
      </c>
      <c r="AU176" s="317">
        <f t="shared" si="123"/>
        <v>0</v>
      </c>
      <c r="AV176" s="317">
        <f t="shared" si="124"/>
        <v>0</v>
      </c>
      <c r="AW176" s="317">
        <f t="shared" si="125"/>
        <v>0</v>
      </c>
      <c r="AX176" s="317">
        <f t="shared" si="126"/>
        <v>0</v>
      </c>
      <c r="AY176" s="317">
        <f t="shared" si="127"/>
        <v>0</v>
      </c>
      <c r="AZ176" s="317">
        <f t="shared" si="128"/>
        <v>0</v>
      </c>
      <c r="BA176" s="317">
        <f t="shared" si="129"/>
        <v>0</v>
      </c>
    </row>
    <row r="177" spans="1:53" s="314" customFormat="1" ht="15.75" customHeight="1">
      <c r="A177" s="63" t="str">
        <f t="array" ref="A177">IF(C177&lt;&gt;0,SUM(($C$11:C177&lt;&gt;0)*1),"")</f>
        <v/>
      </c>
      <c r="B177" s="315"/>
      <c r="C177" s="315"/>
      <c r="D177" s="315"/>
      <c r="E177" s="433"/>
      <c r="F177" s="371"/>
      <c r="G177" s="373"/>
      <c r="H177" s="373"/>
      <c r="I177" s="63" t="str">
        <f t="shared" ref="I177:I230" si="137">A177</f>
        <v/>
      </c>
      <c r="J177" s="317">
        <f t="shared" si="92"/>
        <v>0</v>
      </c>
      <c r="K177" s="317">
        <f t="shared" si="93"/>
        <v>0</v>
      </c>
      <c r="L177" s="317">
        <f t="shared" si="94"/>
        <v>0</v>
      </c>
      <c r="M177" s="317">
        <f t="shared" si="95"/>
        <v>0</v>
      </c>
      <c r="N177" s="317">
        <f t="shared" si="130"/>
        <v>0</v>
      </c>
      <c r="O177" s="317">
        <f t="shared" si="131"/>
        <v>0</v>
      </c>
      <c r="P177" s="317">
        <f t="shared" si="96"/>
        <v>0</v>
      </c>
      <c r="Q177" s="317">
        <f t="shared" si="97"/>
        <v>0</v>
      </c>
      <c r="R177" s="317">
        <f t="shared" si="98"/>
        <v>0</v>
      </c>
      <c r="S177" s="317">
        <f t="shared" si="99"/>
        <v>0</v>
      </c>
      <c r="T177" s="317">
        <f t="shared" si="132"/>
        <v>0</v>
      </c>
      <c r="U177" s="317">
        <f t="shared" si="133"/>
        <v>0</v>
      </c>
      <c r="V177" s="317">
        <f t="shared" si="100"/>
        <v>0</v>
      </c>
      <c r="W177" s="317">
        <f t="shared" si="101"/>
        <v>0</v>
      </c>
      <c r="X177" s="317">
        <f t="shared" si="102"/>
        <v>0</v>
      </c>
      <c r="Y177" s="317">
        <f t="shared" si="103"/>
        <v>0</v>
      </c>
      <c r="Z177" s="317">
        <f t="shared" si="104"/>
        <v>0</v>
      </c>
      <c r="AA177" s="317">
        <f t="shared" si="105"/>
        <v>0</v>
      </c>
      <c r="AB177" s="317">
        <f t="shared" si="106"/>
        <v>0</v>
      </c>
      <c r="AC177" s="317">
        <f t="shared" si="107"/>
        <v>0</v>
      </c>
      <c r="AD177" s="317">
        <f t="shared" si="108"/>
        <v>0</v>
      </c>
      <c r="AE177" s="317">
        <f t="shared" si="109"/>
        <v>0</v>
      </c>
      <c r="AF177" s="317">
        <f t="shared" si="134"/>
        <v>0</v>
      </c>
      <c r="AG177" s="317">
        <f t="shared" si="135"/>
        <v>0</v>
      </c>
      <c r="AH177" s="317">
        <f t="shared" si="110"/>
        <v>0</v>
      </c>
      <c r="AI177" s="317">
        <f t="shared" si="111"/>
        <v>0</v>
      </c>
      <c r="AJ177" s="317">
        <f t="shared" si="112"/>
        <v>0</v>
      </c>
      <c r="AK177" s="317">
        <f t="shared" si="113"/>
        <v>0</v>
      </c>
      <c r="AL177" s="317">
        <f t="shared" si="114"/>
        <v>0</v>
      </c>
      <c r="AM177" s="317">
        <f t="shared" si="115"/>
        <v>0</v>
      </c>
      <c r="AN177" s="317">
        <f t="shared" si="116"/>
        <v>0</v>
      </c>
      <c r="AO177" s="317">
        <f t="shared" si="117"/>
        <v>0</v>
      </c>
      <c r="AP177" s="317">
        <f t="shared" si="118"/>
        <v>0</v>
      </c>
      <c r="AQ177" s="317">
        <f t="shared" si="119"/>
        <v>0</v>
      </c>
      <c r="AR177" s="317">
        <f t="shared" si="120"/>
        <v>0</v>
      </c>
      <c r="AS177" s="317">
        <f t="shared" si="121"/>
        <v>0</v>
      </c>
      <c r="AT177" s="317">
        <f t="shared" si="122"/>
        <v>0</v>
      </c>
      <c r="AU177" s="317">
        <f t="shared" si="123"/>
        <v>0</v>
      </c>
      <c r="AV177" s="317">
        <f t="shared" si="124"/>
        <v>0</v>
      </c>
      <c r="AW177" s="317">
        <f t="shared" si="125"/>
        <v>0</v>
      </c>
      <c r="AX177" s="317">
        <f t="shared" si="126"/>
        <v>0</v>
      </c>
      <c r="AY177" s="317">
        <f t="shared" si="127"/>
        <v>0</v>
      </c>
      <c r="AZ177" s="317">
        <f t="shared" si="128"/>
        <v>0</v>
      </c>
      <c r="BA177" s="317">
        <f t="shared" si="129"/>
        <v>0</v>
      </c>
    </row>
    <row r="178" spans="1:53" s="314" customFormat="1" ht="15.75" customHeight="1">
      <c r="A178" s="63" t="str">
        <f t="array" ref="A178">IF(C178&lt;&gt;0,SUM(($C$11:C178&lt;&gt;0)*1),"")</f>
        <v/>
      </c>
      <c r="B178" s="315"/>
      <c r="C178" s="315"/>
      <c r="D178" s="315"/>
      <c r="E178" s="433"/>
      <c r="F178" s="371"/>
      <c r="G178" s="373"/>
      <c r="H178" s="373"/>
      <c r="I178" s="63" t="str">
        <f t="shared" si="137"/>
        <v/>
      </c>
      <c r="J178" s="317">
        <f t="shared" si="92"/>
        <v>0</v>
      </c>
      <c r="K178" s="317">
        <f t="shared" si="93"/>
        <v>0</v>
      </c>
      <c r="L178" s="317">
        <f t="shared" si="94"/>
        <v>0</v>
      </c>
      <c r="M178" s="317">
        <f t="shared" si="95"/>
        <v>0</v>
      </c>
      <c r="N178" s="317">
        <f t="shared" si="130"/>
        <v>0</v>
      </c>
      <c r="O178" s="317">
        <f t="shared" si="131"/>
        <v>0</v>
      </c>
      <c r="P178" s="317">
        <f t="shared" si="96"/>
        <v>0</v>
      </c>
      <c r="Q178" s="317">
        <f t="shared" si="97"/>
        <v>0</v>
      </c>
      <c r="R178" s="317">
        <f t="shared" si="98"/>
        <v>0</v>
      </c>
      <c r="S178" s="317">
        <f t="shared" si="99"/>
        <v>0</v>
      </c>
      <c r="T178" s="317">
        <f t="shared" si="132"/>
        <v>0</v>
      </c>
      <c r="U178" s="317">
        <f t="shared" si="133"/>
        <v>0</v>
      </c>
      <c r="V178" s="317">
        <f t="shared" si="100"/>
        <v>0</v>
      </c>
      <c r="W178" s="317">
        <f t="shared" si="101"/>
        <v>0</v>
      </c>
      <c r="X178" s="317">
        <f t="shared" si="102"/>
        <v>0</v>
      </c>
      <c r="Y178" s="317">
        <f t="shared" si="103"/>
        <v>0</v>
      </c>
      <c r="Z178" s="317">
        <f t="shared" si="104"/>
        <v>0</v>
      </c>
      <c r="AA178" s="317">
        <f t="shared" si="105"/>
        <v>0</v>
      </c>
      <c r="AB178" s="317">
        <f t="shared" si="106"/>
        <v>0</v>
      </c>
      <c r="AC178" s="317">
        <f t="shared" si="107"/>
        <v>0</v>
      </c>
      <c r="AD178" s="317">
        <f t="shared" si="108"/>
        <v>0</v>
      </c>
      <c r="AE178" s="317">
        <f t="shared" si="109"/>
        <v>0</v>
      </c>
      <c r="AF178" s="317">
        <f t="shared" si="134"/>
        <v>0</v>
      </c>
      <c r="AG178" s="317">
        <f t="shared" si="135"/>
        <v>0</v>
      </c>
      <c r="AH178" s="317">
        <f t="shared" si="110"/>
        <v>0</v>
      </c>
      <c r="AI178" s="317">
        <f t="shared" si="111"/>
        <v>0</v>
      </c>
      <c r="AJ178" s="317">
        <f t="shared" si="112"/>
        <v>0</v>
      </c>
      <c r="AK178" s="317">
        <f t="shared" si="113"/>
        <v>0</v>
      </c>
      <c r="AL178" s="317">
        <f t="shared" si="114"/>
        <v>0</v>
      </c>
      <c r="AM178" s="317">
        <f t="shared" si="115"/>
        <v>0</v>
      </c>
      <c r="AN178" s="317">
        <f t="shared" si="116"/>
        <v>0</v>
      </c>
      <c r="AO178" s="317">
        <f t="shared" si="117"/>
        <v>0</v>
      </c>
      <c r="AP178" s="317">
        <f t="shared" si="118"/>
        <v>0</v>
      </c>
      <c r="AQ178" s="317">
        <f t="shared" si="119"/>
        <v>0</v>
      </c>
      <c r="AR178" s="317">
        <f t="shared" si="120"/>
        <v>0</v>
      </c>
      <c r="AS178" s="317">
        <f t="shared" si="121"/>
        <v>0</v>
      </c>
      <c r="AT178" s="317">
        <f t="shared" si="122"/>
        <v>0</v>
      </c>
      <c r="AU178" s="317">
        <f t="shared" si="123"/>
        <v>0</v>
      </c>
      <c r="AV178" s="317">
        <f t="shared" si="124"/>
        <v>0</v>
      </c>
      <c r="AW178" s="317">
        <f t="shared" si="125"/>
        <v>0</v>
      </c>
      <c r="AX178" s="317">
        <f t="shared" si="126"/>
        <v>0</v>
      </c>
      <c r="AY178" s="317">
        <f t="shared" si="127"/>
        <v>0</v>
      </c>
      <c r="AZ178" s="317">
        <f t="shared" si="128"/>
        <v>0</v>
      </c>
      <c r="BA178" s="317">
        <f t="shared" si="129"/>
        <v>0</v>
      </c>
    </row>
    <row r="179" spans="1:53" s="314" customFormat="1" ht="15.75" customHeight="1">
      <c r="A179" s="63" t="str">
        <f t="array" ref="A179">IF(C179&lt;&gt;0,SUM(($C$11:C179&lt;&gt;0)*1),"")</f>
        <v/>
      </c>
      <c r="B179" s="315"/>
      <c r="C179" s="315"/>
      <c r="D179" s="315"/>
      <c r="E179" s="433"/>
      <c r="F179" s="371"/>
      <c r="G179" s="373"/>
      <c r="H179" s="373"/>
      <c r="I179" s="63" t="str">
        <f t="shared" si="137"/>
        <v/>
      </c>
      <c r="J179" s="317">
        <f t="shared" si="92"/>
        <v>0</v>
      </c>
      <c r="K179" s="317">
        <f t="shared" si="93"/>
        <v>0</v>
      </c>
      <c r="L179" s="317">
        <f t="shared" si="94"/>
        <v>0</v>
      </c>
      <c r="M179" s="317">
        <f t="shared" si="95"/>
        <v>0</v>
      </c>
      <c r="N179" s="317">
        <f t="shared" si="130"/>
        <v>0</v>
      </c>
      <c r="O179" s="317">
        <f t="shared" si="131"/>
        <v>0</v>
      </c>
      <c r="P179" s="317">
        <f t="shared" si="96"/>
        <v>0</v>
      </c>
      <c r="Q179" s="317">
        <f t="shared" si="97"/>
        <v>0</v>
      </c>
      <c r="R179" s="317">
        <f t="shared" si="98"/>
        <v>0</v>
      </c>
      <c r="S179" s="317">
        <f t="shared" si="99"/>
        <v>0</v>
      </c>
      <c r="T179" s="317">
        <f t="shared" si="132"/>
        <v>0</v>
      </c>
      <c r="U179" s="317">
        <f t="shared" si="133"/>
        <v>0</v>
      </c>
      <c r="V179" s="317">
        <f t="shared" si="100"/>
        <v>0</v>
      </c>
      <c r="W179" s="317">
        <f t="shared" si="101"/>
        <v>0</v>
      </c>
      <c r="X179" s="317">
        <f t="shared" si="102"/>
        <v>0</v>
      </c>
      <c r="Y179" s="317">
        <f t="shared" si="103"/>
        <v>0</v>
      </c>
      <c r="Z179" s="317">
        <f t="shared" si="104"/>
        <v>0</v>
      </c>
      <c r="AA179" s="317">
        <f t="shared" si="105"/>
        <v>0</v>
      </c>
      <c r="AB179" s="317">
        <f t="shared" si="106"/>
        <v>0</v>
      </c>
      <c r="AC179" s="317">
        <f t="shared" si="107"/>
        <v>0</v>
      </c>
      <c r="AD179" s="317">
        <f t="shared" si="108"/>
        <v>0</v>
      </c>
      <c r="AE179" s="317">
        <f t="shared" si="109"/>
        <v>0</v>
      </c>
      <c r="AF179" s="317">
        <f t="shared" si="134"/>
        <v>0</v>
      </c>
      <c r="AG179" s="317">
        <f t="shared" si="135"/>
        <v>0</v>
      </c>
      <c r="AH179" s="317">
        <f t="shared" si="110"/>
        <v>0</v>
      </c>
      <c r="AI179" s="317">
        <f t="shared" si="111"/>
        <v>0</v>
      </c>
      <c r="AJ179" s="317">
        <f t="shared" si="112"/>
        <v>0</v>
      </c>
      <c r="AK179" s="317">
        <f t="shared" si="113"/>
        <v>0</v>
      </c>
      <c r="AL179" s="317">
        <f t="shared" si="114"/>
        <v>0</v>
      </c>
      <c r="AM179" s="317">
        <f t="shared" si="115"/>
        <v>0</v>
      </c>
      <c r="AN179" s="317">
        <f t="shared" si="116"/>
        <v>0</v>
      </c>
      <c r="AO179" s="317">
        <f t="shared" si="117"/>
        <v>0</v>
      </c>
      <c r="AP179" s="317">
        <f t="shared" si="118"/>
        <v>0</v>
      </c>
      <c r="AQ179" s="317">
        <f t="shared" si="119"/>
        <v>0</v>
      </c>
      <c r="AR179" s="317">
        <f t="shared" si="120"/>
        <v>0</v>
      </c>
      <c r="AS179" s="317">
        <f t="shared" si="121"/>
        <v>0</v>
      </c>
      <c r="AT179" s="317">
        <f t="shared" si="122"/>
        <v>0</v>
      </c>
      <c r="AU179" s="317">
        <f t="shared" si="123"/>
        <v>0</v>
      </c>
      <c r="AV179" s="317">
        <f t="shared" si="124"/>
        <v>0</v>
      </c>
      <c r="AW179" s="317">
        <f t="shared" si="125"/>
        <v>0</v>
      </c>
      <c r="AX179" s="317">
        <f t="shared" si="126"/>
        <v>0</v>
      </c>
      <c r="AY179" s="317">
        <f t="shared" si="127"/>
        <v>0</v>
      </c>
      <c r="AZ179" s="317">
        <f t="shared" si="128"/>
        <v>0</v>
      </c>
      <c r="BA179" s="317">
        <f t="shared" si="129"/>
        <v>0</v>
      </c>
    </row>
    <row r="180" spans="1:53" s="314" customFormat="1" ht="15.75" customHeight="1">
      <c r="A180" s="63" t="str">
        <f t="array" ref="A180">IF(C180&lt;&gt;0,SUM(($C$11:C180&lt;&gt;0)*1),"")</f>
        <v/>
      </c>
      <c r="B180" s="315"/>
      <c r="C180" s="315"/>
      <c r="D180" s="315"/>
      <c r="E180" s="433"/>
      <c r="F180" s="371"/>
      <c r="G180" s="373"/>
      <c r="H180" s="373"/>
      <c r="I180" s="63" t="str">
        <f t="shared" si="137"/>
        <v/>
      </c>
      <c r="J180" s="317">
        <f t="shared" si="92"/>
        <v>0</v>
      </c>
      <c r="K180" s="317">
        <f t="shared" si="93"/>
        <v>0</v>
      </c>
      <c r="L180" s="317">
        <f t="shared" si="94"/>
        <v>0</v>
      </c>
      <c r="M180" s="317">
        <f t="shared" si="95"/>
        <v>0</v>
      </c>
      <c r="N180" s="317">
        <f t="shared" si="130"/>
        <v>0</v>
      </c>
      <c r="O180" s="317">
        <f t="shared" si="131"/>
        <v>0</v>
      </c>
      <c r="P180" s="317">
        <f t="shared" si="96"/>
        <v>0</v>
      </c>
      <c r="Q180" s="317">
        <f t="shared" si="97"/>
        <v>0</v>
      </c>
      <c r="R180" s="317">
        <f t="shared" si="98"/>
        <v>0</v>
      </c>
      <c r="S180" s="317">
        <f t="shared" si="99"/>
        <v>0</v>
      </c>
      <c r="T180" s="317">
        <f t="shared" si="132"/>
        <v>0</v>
      </c>
      <c r="U180" s="317">
        <f t="shared" si="133"/>
        <v>0</v>
      </c>
      <c r="V180" s="317">
        <f t="shared" si="100"/>
        <v>0</v>
      </c>
      <c r="W180" s="317">
        <f t="shared" si="101"/>
        <v>0</v>
      </c>
      <c r="X180" s="317">
        <f t="shared" si="102"/>
        <v>0</v>
      </c>
      <c r="Y180" s="317">
        <f t="shared" si="103"/>
        <v>0</v>
      </c>
      <c r="Z180" s="317">
        <f t="shared" si="104"/>
        <v>0</v>
      </c>
      <c r="AA180" s="317">
        <f t="shared" si="105"/>
        <v>0</v>
      </c>
      <c r="AB180" s="317">
        <f t="shared" si="106"/>
        <v>0</v>
      </c>
      <c r="AC180" s="317">
        <f t="shared" si="107"/>
        <v>0</v>
      </c>
      <c r="AD180" s="317">
        <f t="shared" si="108"/>
        <v>0</v>
      </c>
      <c r="AE180" s="317">
        <f t="shared" si="109"/>
        <v>0</v>
      </c>
      <c r="AF180" s="317">
        <f t="shared" si="134"/>
        <v>0</v>
      </c>
      <c r="AG180" s="317">
        <f t="shared" si="135"/>
        <v>0</v>
      </c>
      <c r="AH180" s="317">
        <f t="shared" si="110"/>
        <v>0</v>
      </c>
      <c r="AI180" s="317">
        <f t="shared" si="111"/>
        <v>0</v>
      </c>
      <c r="AJ180" s="317">
        <f t="shared" si="112"/>
        <v>0</v>
      </c>
      <c r="AK180" s="317">
        <f t="shared" si="113"/>
        <v>0</v>
      </c>
      <c r="AL180" s="317">
        <f t="shared" si="114"/>
        <v>0</v>
      </c>
      <c r="AM180" s="317">
        <f t="shared" si="115"/>
        <v>0</v>
      </c>
      <c r="AN180" s="317">
        <f t="shared" si="116"/>
        <v>0</v>
      </c>
      <c r="AO180" s="317">
        <f t="shared" si="117"/>
        <v>0</v>
      </c>
      <c r="AP180" s="317">
        <f t="shared" si="118"/>
        <v>0</v>
      </c>
      <c r="AQ180" s="317">
        <f t="shared" si="119"/>
        <v>0</v>
      </c>
      <c r="AR180" s="317">
        <f t="shared" si="120"/>
        <v>0</v>
      </c>
      <c r="AS180" s="317">
        <f t="shared" si="121"/>
        <v>0</v>
      </c>
      <c r="AT180" s="317">
        <f t="shared" si="122"/>
        <v>0</v>
      </c>
      <c r="AU180" s="317">
        <f t="shared" si="123"/>
        <v>0</v>
      </c>
      <c r="AV180" s="317">
        <f t="shared" si="124"/>
        <v>0</v>
      </c>
      <c r="AW180" s="317">
        <f t="shared" si="125"/>
        <v>0</v>
      </c>
      <c r="AX180" s="317">
        <f t="shared" si="126"/>
        <v>0</v>
      </c>
      <c r="AY180" s="317">
        <f t="shared" si="127"/>
        <v>0</v>
      </c>
      <c r="AZ180" s="317">
        <f t="shared" si="128"/>
        <v>0</v>
      </c>
      <c r="BA180" s="317">
        <f t="shared" si="129"/>
        <v>0</v>
      </c>
    </row>
    <row r="181" spans="1:53" s="314" customFormat="1" ht="15.75" customHeight="1">
      <c r="A181" s="63" t="str">
        <f t="array" ref="A181">IF(C181&lt;&gt;0,SUM(($C$11:C181&lt;&gt;0)*1),"")</f>
        <v/>
      </c>
      <c r="B181" s="315"/>
      <c r="C181" s="315"/>
      <c r="D181" s="315"/>
      <c r="E181" s="433"/>
      <c r="F181" s="371"/>
      <c r="G181" s="373"/>
      <c r="H181" s="373"/>
      <c r="I181" s="63" t="str">
        <f t="shared" si="137"/>
        <v/>
      </c>
      <c r="J181" s="317">
        <f t="shared" si="92"/>
        <v>0</v>
      </c>
      <c r="K181" s="317">
        <f t="shared" si="93"/>
        <v>0</v>
      </c>
      <c r="L181" s="317">
        <f t="shared" si="94"/>
        <v>0</v>
      </c>
      <c r="M181" s="317">
        <f t="shared" si="95"/>
        <v>0</v>
      </c>
      <c r="N181" s="317">
        <f t="shared" si="130"/>
        <v>0</v>
      </c>
      <c r="O181" s="317">
        <f t="shared" si="131"/>
        <v>0</v>
      </c>
      <c r="P181" s="317">
        <f t="shared" si="96"/>
        <v>0</v>
      </c>
      <c r="Q181" s="317">
        <f t="shared" si="97"/>
        <v>0</v>
      </c>
      <c r="R181" s="317">
        <f t="shared" si="98"/>
        <v>0</v>
      </c>
      <c r="S181" s="317">
        <f t="shared" si="99"/>
        <v>0</v>
      </c>
      <c r="T181" s="317">
        <f t="shared" si="132"/>
        <v>0</v>
      </c>
      <c r="U181" s="317">
        <f t="shared" si="133"/>
        <v>0</v>
      </c>
      <c r="V181" s="317">
        <f t="shared" si="100"/>
        <v>0</v>
      </c>
      <c r="W181" s="317">
        <f t="shared" si="101"/>
        <v>0</v>
      </c>
      <c r="X181" s="317">
        <f t="shared" si="102"/>
        <v>0</v>
      </c>
      <c r="Y181" s="317">
        <f t="shared" si="103"/>
        <v>0</v>
      </c>
      <c r="Z181" s="317">
        <f t="shared" si="104"/>
        <v>0</v>
      </c>
      <c r="AA181" s="317">
        <f t="shared" si="105"/>
        <v>0</v>
      </c>
      <c r="AB181" s="317">
        <f t="shared" si="106"/>
        <v>0</v>
      </c>
      <c r="AC181" s="317">
        <f t="shared" si="107"/>
        <v>0</v>
      </c>
      <c r="AD181" s="317">
        <f t="shared" si="108"/>
        <v>0</v>
      </c>
      <c r="AE181" s="317">
        <f t="shared" si="109"/>
        <v>0</v>
      </c>
      <c r="AF181" s="317">
        <f t="shared" si="134"/>
        <v>0</v>
      </c>
      <c r="AG181" s="317">
        <f t="shared" si="135"/>
        <v>0</v>
      </c>
      <c r="AH181" s="317">
        <f t="shared" si="110"/>
        <v>0</v>
      </c>
      <c r="AI181" s="317">
        <f t="shared" si="111"/>
        <v>0</v>
      </c>
      <c r="AJ181" s="317">
        <f t="shared" si="112"/>
        <v>0</v>
      </c>
      <c r="AK181" s="317">
        <f t="shared" si="113"/>
        <v>0</v>
      </c>
      <c r="AL181" s="317">
        <f t="shared" si="114"/>
        <v>0</v>
      </c>
      <c r="AM181" s="317">
        <f t="shared" si="115"/>
        <v>0</v>
      </c>
      <c r="AN181" s="317">
        <f t="shared" si="116"/>
        <v>0</v>
      </c>
      <c r="AO181" s="317">
        <f t="shared" si="117"/>
        <v>0</v>
      </c>
      <c r="AP181" s="317">
        <f t="shared" si="118"/>
        <v>0</v>
      </c>
      <c r="AQ181" s="317">
        <f t="shared" si="119"/>
        <v>0</v>
      </c>
      <c r="AR181" s="317">
        <f t="shared" si="120"/>
        <v>0</v>
      </c>
      <c r="AS181" s="317">
        <f t="shared" si="121"/>
        <v>0</v>
      </c>
      <c r="AT181" s="317">
        <f t="shared" si="122"/>
        <v>0</v>
      </c>
      <c r="AU181" s="317">
        <f t="shared" si="123"/>
        <v>0</v>
      </c>
      <c r="AV181" s="317">
        <f t="shared" si="124"/>
        <v>0</v>
      </c>
      <c r="AW181" s="317">
        <f t="shared" si="125"/>
        <v>0</v>
      </c>
      <c r="AX181" s="317">
        <f t="shared" si="126"/>
        <v>0</v>
      </c>
      <c r="AY181" s="317">
        <f t="shared" si="127"/>
        <v>0</v>
      </c>
      <c r="AZ181" s="317">
        <f t="shared" si="128"/>
        <v>0</v>
      </c>
      <c r="BA181" s="317">
        <f t="shared" si="129"/>
        <v>0</v>
      </c>
    </row>
    <row r="182" spans="1:53" s="314" customFormat="1" ht="15.75" customHeight="1">
      <c r="A182" s="63" t="str">
        <f t="array" ref="A182">IF(C182&lt;&gt;0,SUM(($C$11:C182&lt;&gt;0)*1),"")</f>
        <v/>
      </c>
      <c r="B182" s="315"/>
      <c r="C182" s="315"/>
      <c r="D182" s="315"/>
      <c r="E182" s="433"/>
      <c r="F182" s="371"/>
      <c r="G182" s="373"/>
      <c r="H182" s="373"/>
      <c r="I182" s="63" t="str">
        <f t="shared" si="137"/>
        <v/>
      </c>
      <c r="J182" s="317">
        <f t="shared" si="92"/>
        <v>0</v>
      </c>
      <c r="K182" s="317">
        <f t="shared" si="93"/>
        <v>0</v>
      </c>
      <c r="L182" s="317">
        <f t="shared" si="94"/>
        <v>0</v>
      </c>
      <c r="M182" s="317">
        <f t="shared" si="95"/>
        <v>0</v>
      </c>
      <c r="N182" s="317">
        <f t="shared" si="130"/>
        <v>0</v>
      </c>
      <c r="O182" s="317">
        <f t="shared" si="131"/>
        <v>0</v>
      </c>
      <c r="P182" s="317">
        <f t="shared" si="96"/>
        <v>0</v>
      </c>
      <c r="Q182" s="317">
        <f t="shared" si="97"/>
        <v>0</v>
      </c>
      <c r="R182" s="317">
        <f t="shared" si="98"/>
        <v>0</v>
      </c>
      <c r="S182" s="317">
        <f t="shared" si="99"/>
        <v>0</v>
      </c>
      <c r="T182" s="317">
        <f t="shared" si="132"/>
        <v>0</v>
      </c>
      <c r="U182" s="317">
        <f t="shared" si="133"/>
        <v>0</v>
      </c>
      <c r="V182" s="317">
        <f t="shared" si="100"/>
        <v>0</v>
      </c>
      <c r="W182" s="317">
        <f t="shared" si="101"/>
        <v>0</v>
      </c>
      <c r="X182" s="317">
        <f t="shared" si="102"/>
        <v>0</v>
      </c>
      <c r="Y182" s="317">
        <f t="shared" si="103"/>
        <v>0</v>
      </c>
      <c r="Z182" s="317">
        <f t="shared" si="104"/>
        <v>0</v>
      </c>
      <c r="AA182" s="317">
        <f t="shared" si="105"/>
        <v>0</v>
      </c>
      <c r="AB182" s="317">
        <f t="shared" si="106"/>
        <v>0</v>
      </c>
      <c r="AC182" s="317">
        <f t="shared" si="107"/>
        <v>0</v>
      </c>
      <c r="AD182" s="317">
        <f t="shared" si="108"/>
        <v>0</v>
      </c>
      <c r="AE182" s="317">
        <f t="shared" si="109"/>
        <v>0</v>
      </c>
      <c r="AF182" s="317">
        <f t="shared" si="134"/>
        <v>0</v>
      </c>
      <c r="AG182" s="317">
        <f t="shared" si="135"/>
        <v>0</v>
      </c>
      <c r="AH182" s="317">
        <f t="shared" si="110"/>
        <v>0</v>
      </c>
      <c r="AI182" s="317">
        <f t="shared" si="111"/>
        <v>0</v>
      </c>
      <c r="AJ182" s="317">
        <f t="shared" si="112"/>
        <v>0</v>
      </c>
      <c r="AK182" s="317">
        <f t="shared" si="113"/>
        <v>0</v>
      </c>
      <c r="AL182" s="317">
        <f t="shared" si="114"/>
        <v>0</v>
      </c>
      <c r="AM182" s="317">
        <f t="shared" si="115"/>
        <v>0</v>
      </c>
      <c r="AN182" s="317">
        <f t="shared" si="116"/>
        <v>0</v>
      </c>
      <c r="AO182" s="317">
        <f t="shared" si="117"/>
        <v>0</v>
      </c>
      <c r="AP182" s="317">
        <f t="shared" si="118"/>
        <v>0</v>
      </c>
      <c r="AQ182" s="317">
        <f t="shared" si="119"/>
        <v>0</v>
      </c>
      <c r="AR182" s="317">
        <f t="shared" si="120"/>
        <v>0</v>
      </c>
      <c r="AS182" s="317">
        <f t="shared" si="121"/>
        <v>0</v>
      </c>
      <c r="AT182" s="317">
        <f t="shared" si="122"/>
        <v>0</v>
      </c>
      <c r="AU182" s="317">
        <f t="shared" si="123"/>
        <v>0</v>
      </c>
      <c r="AV182" s="317">
        <f t="shared" si="124"/>
        <v>0</v>
      </c>
      <c r="AW182" s="317">
        <f t="shared" si="125"/>
        <v>0</v>
      </c>
      <c r="AX182" s="317">
        <f t="shared" si="126"/>
        <v>0</v>
      </c>
      <c r="AY182" s="317">
        <f t="shared" si="127"/>
        <v>0</v>
      </c>
      <c r="AZ182" s="317">
        <f t="shared" si="128"/>
        <v>0</v>
      </c>
      <c r="BA182" s="317">
        <f t="shared" si="129"/>
        <v>0</v>
      </c>
    </row>
    <row r="183" spans="1:53" s="314" customFormat="1" ht="15.75" customHeight="1">
      <c r="A183" s="63" t="str">
        <f t="array" ref="A183">IF(C183&lt;&gt;0,SUM(($C$11:C183&lt;&gt;0)*1),"")</f>
        <v/>
      </c>
      <c r="B183" s="315"/>
      <c r="C183" s="315"/>
      <c r="D183" s="315"/>
      <c r="E183" s="433"/>
      <c r="F183" s="371"/>
      <c r="G183" s="373"/>
      <c r="H183" s="373"/>
      <c r="I183" s="63" t="str">
        <f t="shared" si="137"/>
        <v/>
      </c>
      <c r="J183" s="317">
        <f t="shared" si="92"/>
        <v>0</v>
      </c>
      <c r="K183" s="317">
        <f t="shared" si="93"/>
        <v>0</v>
      </c>
      <c r="L183" s="317">
        <f t="shared" si="94"/>
        <v>0</v>
      </c>
      <c r="M183" s="317">
        <f t="shared" si="95"/>
        <v>0</v>
      </c>
      <c r="N183" s="317">
        <f t="shared" si="130"/>
        <v>0</v>
      </c>
      <c r="O183" s="317">
        <f t="shared" si="131"/>
        <v>0</v>
      </c>
      <c r="P183" s="317">
        <f t="shared" si="96"/>
        <v>0</v>
      </c>
      <c r="Q183" s="317">
        <f t="shared" si="97"/>
        <v>0</v>
      </c>
      <c r="R183" s="317">
        <f t="shared" si="98"/>
        <v>0</v>
      </c>
      <c r="S183" s="317">
        <f t="shared" si="99"/>
        <v>0</v>
      </c>
      <c r="T183" s="317">
        <f t="shared" si="132"/>
        <v>0</v>
      </c>
      <c r="U183" s="317">
        <f t="shared" si="133"/>
        <v>0</v>
      </c>
      <c r="V183" s="317">
        <f t="shared" si="100"/>
        <v>0</v>
      </c>
      <c r="W183" s="317">
        <f t="shared" si="101"/>
        <v>0</v>
      </c>
      <c r="X183" s="317">
        <f t="shared" si="102"/>
        <v>0</v>
      </c>
      <c r="Y183" s="317">
        <f t="shared" si="103"/>
        <v>0</v>
      </c>
      <c r="Z183" s="317">
        <f t="shared" si="104"/>
        <v>0</v>
      </c>
      <c r="AA183" s="317">
        <f t="shared" si="105"/>
        <v>0</v>
      </c>
      <c r="AB183" s="317">
        <f t="shared" si="106"/>
        <v>0</v>
      </c>
      <c r="AC183" s="317">
        <f t="shared" si="107"/>
        <v>0</v>
      </c>
      <c r="AD183" s="317">
        <f t="shared" si="108"/>
        <v>0</v>
      </c>
      <c r="AE183" s="317">
        <f t="shared" si="109"/>
        <v>0</v>
      </c>
      <c r="AF183" s="317">
        <f t="shared" si="134"/>
        <v>0</v>
      </c>
      <c r="AG183" s="317">
        <f t="shared" si="135"/>
        <v>0</v>
      </c>
      <c r="AH183" s="317">
        <f t="shared" si="110"/>
        <v>0</v>
      </c>
      <c r="AI183" s="317">
        <f t="shared" si="111"/>
        <v>0</v>
      </c>
      <c r="AJ183" s="317">
        <f t="shared" si="112"/>
        <v>0</v>
      </c>
      <c r="AK183" s="317">
        <f t="shared" si="113"/>
        <v>0</v>
      </c>
      <c r="AL183" s="317">
        <f t="shared" si="114"/>
        <v>0</v>
      </c>
      <c r="AM183" s="317">
        <f t="shared" si="115"/>
        <v>0</v>
      </c>
      <c r="AN183" s="317">
        <f t="shared" si="116"/>
        <v>0</v>
      </c>
      <c r="AO183" s="317">
        <f t="shared" si="117"/>
        <v>0</v>
      </c>
      <c r="AP183" s="317">
        <f t="shared" si="118"/>
        <v>0</v>
      </c>
      <c r="AQ183" s="317">
        <f t="shared" si="119"/>
        <v>0</v>
      </c>
      <c r="AR183" s="317">
        <f t="shared" si="120"/>
        <v>0</v>
      </c>
      <c r="AS183" s="317">
        <f t="shared" si="121"/>
        <v>0</v>
      </c>
      <c r="AT183" s="317">
        <f t="shared" si="122"/>
        <v>0</v>
      </c>
      <c r="AU183" s="317">
        <f t="shared" si="123"/>
        <v>0</v>
      </c>
      <c r="AV183" s="317">
        <f t="shared" si="124"/>
        <v>0</v>
      </c>
      <c r="AW183" s="317">
        <f t="shared" si="125"/>
        <v>0</v>
      </c>
      <c r="AX183" s="317">
        <f t="shared" si="126"/>
        <v>0</v>
      </c>
      <c r="AY183" s="317">
        <f t="shared" si="127"/>
        <v>0</v>
      </c>
      <c r="AZ183" s="317">
        <f t="shared" si="128"/>
        <v>0</v>
      </c>
      <c r="BA183" s="317">
        <f t="shared" si="129"/>
        <v>0</v>
      </c>
    </row>
    <row r="184" spans="1:53" s="314" customFormat="1" ht="15.75" customHeight="1">
      <c r="A184" s="63" t="str">
        <f t="array" ref="A184">IF(C184&lt;&gt;0,SUM(($C$11:C184&lt;&gt;0)*1),"")</f>
        <v/>
      </c>
      <c r="B184" s="315"/>
      <c r="C184" s="315"/>
      <c r="D184" s="315"/>
      <c r="E184" s="433"/>
      <c r="F184" s="371"/>
      <c r="G184" s="373"/>
      <c r="H184" s="373"/>
      <c r="I184" s="63" t="str">
        <f t="shared" si="137"/>
        <v/>
      </c>
      <c r="J184" s="317">
        <f t="shared" si="92"/>
        <v>0</v>
      </c>
      <c r="K184" s="317">
        <f t="shared" si="93"/>
        <v>0</v>
      </c>
      <c r="L184" s="317">
        <f t="shared" si="94"/>
        <v>0</v>
      </c>
      <c r="M184" s="317">
        <f t="shared" si="95"/>
        <v>0</v>
      </c>
      <c r="N184" s="317">
        <f t="shared" si="130"/>
        <v>0</v>
      </c>
      <c r="O184" s="317">
        <f t="shared" si="131"/>
        <v>0</v>
      </c>
      <c r="P184" s="317">
        <f t="shared" si="96"/>
        <v>0</v>
      </c>
      <c r="Q184" s="317">
        <f t="shared" si="97"/>
        <v>0</v>
      </c>
      <c r="R184" s="317">
        <f t="shared" si="98"/>
        <v>0</v>
      </c>
      <c r="S184" s="317">
        <f t="shared" si="99"/>
        <v>0</v>
      </c>
      <c r="T184" s="317">
        <f t="shared" si="132"/>
        <v>0</v>
      </c>
      <c r="U184" s="317">
        <f t="shared" si="133"/>
        <v>0</v>
      </c>
      <c r="V184" s="317">
        <f t="shared" si="100"/>
        <v>0</v>
      </c>
      <c r="W184" s="317">
        <f t="shared" si="101"/>
        <v>0</v>
      </c>
      <c r="X184" s="317">
        <f t="shared" si="102"/>
        <v>0</v>
      </c>
      <c r="Y184" s="317">
        <f t="shared" si="103"/>
        <v>0</v>
      </c>
      <c r="Z184" s="317">
        <f t="shared" si="104"/>
        <v>0</v>
      </c>
      <c r="AA184" s="317">
        <f t="shared" si="105"/>
        <v>0</v>
      </c>
      <c r="AB184" s="317">
        <f t="shared" si="106"/>
        <v>0</v>
      </c>
      <c r="AC184" s="317">
        <f t="shared" si="107"/>
        <v>0</v>
      </c>
      <c r="AD184" s="317">
        <f t="shared" si="108"/>
        <v>0</v>
      </c>
      <c r="AE184" s="317">
        <f t="shared" si="109"/>
        <v>0</v>
      </c>
      <c r="AF184" s="317">
        <f t="shared" si="134"/>
        <v>0</v>
      </c>
      <c r="AG184" s="317">
        <f t="shared" si="135"/>
        <v>0</v>
      </c>
      <c r="AH184" s="317">
        <f t="shared" si="110"/>
        <v>0</v>
      </c>
      <c r="AI184" s="317">
        <f t="shared" si="111"/>
        <v>0</v>
      </c>
      <c r="AJ184" s="317">
        <f t="shared" si="112"/>
        <v>0</v>
      </c>
      <c r="AK184" s="317">
        <f t="shared" si="113"/>
        <v>0</v>
      </c>
      <c r="AL184" s="317">
        <f t="shared" si="114"/>
        <v>0</v>
      </c>
      <c r="AM184" s="317">
        <f t="shared" si="115"/>
        <v>0</v>
      </c>
      <c r="AN184" s="317">
        <f t="shared" si="116"/>
        <v>0</v>
      </c>
      <c r="AO184" s="317">
        <f t="shared" si="117"/>
        <v>0</v>
      </c>
      <c r="AP184" s="317">
        <f t="shared" si="118"/>
        <v>0</v>
      </c>
      <c r="AQ184" s="317">
        <f t="shared" si="119"/>
        <v>0</v>
      </c>
      <c r="AR184" s="317">
        <f t="shared" si="120"/>
        <v>0</v>
      </c>
      <c r="AS184" s="317">
        <f t="shared" si="121"/>
        <v>0</v>
      </c>
      <c r="AT184" s="317">
        <f t="shared" si="122"/>
        <v>0</v>
      </c>
      <c r="AU184" s="317">
        <f t="shared" si="123"/>
        <v>0</v>
      </c>
      <c r="AV184" s="317">
        <f t="shared" si="124"/>
        <v>0</v>
      </c>
      <c r="AW184" s="317">
        <f t="shared" si="125"/>
        <v>0</v>
      </c>
      <c r="AX184" s="317">
        <f t="shared" si="126"/>
        <v>0</v>
      </c>
      <c r="AY184" s="317">
        <f t="shared" si="127"/>
        <v>0</v>
      </c>
      <c r="AZ184" s="317">
        <f t="shared" si="128"/>
        <v>0</v>
      </c>
      <c r="BA184" s="317">
        <f t="shared" si="129"/>
        <v>0</v>
      </c>
    </row>
    <row r="185" spans="1:53" s="314" customFormat="1" ht="15.75" customHeight="1">
      <c r="A185" s="63" t="str">
        <f t="array" ref="A185">IF(C185&lt;&gt;0,SUM(($C$11:C185&lt;&gt;0)*1),"")</f>
        <v/>
      </c>
      <c r="B185" s="315"/>
      <c r="C185" s="315"/>
      <c r="D185" s="315"/>
      <c r="E185" s="433"/>
      <c r="F185" s="371"/>
      <c r="G185" s="373"/>
      <c r="H185" s="373"/>
      <c r="I185" s="63" t="str">
        <f t="shared" si="137"/>
        <v/>
      </c>
      <c r="J185" s="317">
        <f t="shared" si="92"/>
        <v>0</v>
      </c>
      <c r="K185" s="317">
        <f t="shared" si="93"/>
        <v>0</v>
      </c>
      <c r="L185" s="317">
        <f t="shared" si="94"/>
        <v>0</v>
      </c>
      <c r="M185" s="317">
        <f t="shared" si="95"/>
        <v>0</v>
      </c>
      <c r="N185" s="317">
        <f t="shared" si="130"/>
        <v>0</v>
      </c>
      <c r="O185" s="317">
        <f t="shared" si="131"/>
        <v>0</v>
      </c>
      <c r="P185" s="317">
        <f t="shared" si="96"/>
        <v>0</v>
      </c>
      <c r="Q185" s="317">
        <f t="shared" si="97"/>
        <v>0</v>
      </c>
      <c r="R185" s="317">
        <f t="shared" si="98"/>
        <v>0</v>
      </c>
      <c r="S185" s="317">
        <f t="shared" si="99"/>
        <v>0</v>
      </c>
      <c r="T185" s="317">
        <f t="shared" si="132"/>
        <v>0</v>
      </c>
      <c r="U185" s="317">
        <f t="shared" si="133"/>
        <v>0</v>
      </c>
      <c r="V185" s="317">
        <f t="shared" si="100"/>
        <v>0</v>
      </c>
      <c r="W185" s="317">
        <f t="shared" si="101"/>
        <v>0</v>
      </c>
      <c r="X185" s="317">
        <f t="shared" si="102"/>
        <v>0</v>
      </c>
      <c r="Y185" s="317">
        <f t="shared" si="103"/>
        <v>0</v>
      </c>
      <c r="Z185" s="317">
        <f t="shared" si="104"/>
        <v>0</v>
      </c>
      <c r="AA185" s="317">
        <f t="shared" si="105"/>
        <v>0</v>
      </c>
      <c r="AB185" s="317">
        <f t="shared" si="106"/>
        <v>0</v>
      </c>
      <c r="AC185" s="317">
        <f t="shared" si="107"/>
        <v>0</v>
      </c>
      <c r="AD185" s="317">
        <f t="shared" si="108"/>
        <v>0</v>
      </c>
      <c r="AE185" s="317">
        <f t="shared" si="109"/>
        <v>0</v>
      </c>
      <c r="AF185" s="317">
        <f t="shared" si="134"/>
        <v>0</v>
      </c>
      <c r="AG185" s="317">
        <f t="shared" si="135"/>
        <v>0</v>
      </c>
      <c r="AH185" s="317">
        <f t="shared" si="110"/>
        <v>0</v>
      </c>
      <c r="AI185" s="317">
        <f t="shared" si="111"/>
        <v>0</v>
      </c>
      <c r="AJ185" s="317">
        <f t="shared" si="112"/>
        <v>0</v>
      </c>
      <c r="AK185" s="317">
        <f t="shared" si="113"/>
        <v>0</v>
      </c>
      <c r="AL185" s="317">
        <f t="shared" si="114"/>
        <v>0</v>
      </c>
      <c r="AM185" s="317">
        <f t="shared" si="115"/>
        <v>0</v>
      </c>
      <c r="AN185" s="317">
        <f t="shared" si="116"/>
        <v>0</v>
      </c>
      <c r="AO185" s="317">
        <f t="shared" si="117"/>
        <v>0</v>
      </c>
      <c r="AP185" s="317">
        <f t="shared" si="118"/>
        <v>0</v>
      </c>
      <c r="AQ185" s="317">
        <f t="shared" si="119"/>
        <v>0</v>
      </c>
      <c r="AR185" s="317">
        <f t="shared" si="120"/>
        <v>0</v>
      </c>
      <c r="AS185" s="317">
        <f t="shared" si="121"/>
        <v>0</v>
      </c>
      <c r="AT185" s="317">
        <f t="shared" si="122"/>
        <v>0</v>
      </c>
      <c r="AU185" s="317">
        <f t="shared" si="123"/>
        <v>0</v>
      </c>
      <c r="AV185" s="317">
        <f t="shared" si="124"/>
        <v>0</v>
      </c>
      <c r="AW185" s="317">
        <f t="shared" si="125"/>
        <v>0</v>
      </c>
      <c r="AX185" s="317">
        <f t="shared" si="126"/>
        <v>0</v>
      </c>
      <c r="AY185" s="317">
        <f t="shared" si="127"/>
        <v>0</v>
      </c>
      <c r="AZ185" s="317">
        <f t="shared" si="128"/>
        <v>0</v>
      </c>
      <c r="BA185" s="317">
        <f t="shared" si="129"/>
        <v>0</v>
      </c>
    </row>
    <row r="186" spans="1:53" s="314" customFormat="1" ht="15.75" customHeight="1">
      <c r="A186" s="63" t="str">
        <f t="array" ref="A186">IF(C186&lt;&gt;0,SUM(($C$11:C186&lt;&gt;0)*1),"")</f>
        <v/>
      </c>
      <c r="B186" s="315"/>
      <c r="C186" s="315"/>
      <c r="D186" s="315"/>
      <c r="E186" s="433"/>
      <c r="F186" s="371"/>
      <c r="G186" s="373"/>
      <c r="H186" s="373"/>
      <c r="I186" s="63" t="str">
        <f t="shared" si="137"/>
        <v/>
      </c>
      <c r="J186" s="317">
        <f t="shared" si="92"/>
        <v>0</v>
      </c>
      <c r="K186" s="317">
        <f t="shared" si="93"/>
        <v>0</v>
      </c>
      <c r="L186" s="317">
        <f t="shared" si="94"/>
        <v>0</v>
      </c>
      <c r="M186" s="317">
        <f t="shared" si="95"/>
        <v>0</v>
      </c>
      <c r="N186" s="317">
        <f t="shared" si="130"/>
        <v>0</v>
      </c>
      <c r="O186" s="317">
        <f t="shared" si="131"/>
        <v>0</v>
      </c>
      <c r="P186" s="317">
        <f t="shared" si="96"/>
        <v>0</v>
      </c>
      <c r="Q186" s="317">
        <f t="shared" si="97"/>
        <v>0</v>
      </c>
      <c r="R186" s="317">
        <f t="shared" si="98"/>
        <v>0</v>
      </c>
      <c r="S186" s="317">
        <f t="shared" si="99"/>
        <v>0</v>
      </c>
      <c r="T186" s="317">
        <f t="shared" si="132"/>
        <v>0</v>
      </c>
      <c r="U186" s="317">
        <f t="shared" si="133"/>
        <v>0</v>
      </c>
      <c r="V186" s="317">
        <f t="shared" si="100"/>
        <v>0</v>
      </c>
      <c r="W186" s="317">
        <f t="shared" si="101"/>
        <v>0</v>
      </c>
      <c r="X186" s="317">
        <f t="shared" si="102"/>
        <v>0</v>
      </c>
      <c r="Y186" s="317">
        <f t="shared" si="103"/>
        <v>0</v>
      </c>
      <c r="Z186" s="317">
        <f t="shared" si="104"/>
        <v>0</v>
      </c>
      <c r="AA186" s="317">
        <f t="shared" si="105"/>
        <v>0</v>
      </c>
      <c r="AB186" s="317">
        <f t="shared" si="106"/>
        <v>0</v>
      </c>
      <c r="AC186" s="317">
        <f t="shared" si="107"/>
        <v>0</v>
      </c>
      <c r="AD186" s="317">
        <f t="shared" si="108"/>
        <v>0</v>
      </c>
      <c r="AE186" s="317">
        <f t="shared" si="109"/>
        <v>0</v>
      </c>
      <c r="AF186" s="317">
        <f t="shared" si="134"/>
        <v>0</v>
      </c>
      <c r="AG186" s="317">
        <f t="shared" si="135"/>
        <v>0</v>
      </c>
      <c r="AH186" s="317">
        <f t="shared" si="110"/>
        <v>0</v>
      </c>
      <c r="AI186" s="317">
        <f t="shared" si="111"/>
        <v>0</v>
      </c>
      <c r="AJ186" s="317">
        <f t="shared" si="112"/>
        <v>0</v>
      </c>
      <c r="AK186" s="317">
        <f t="shared" si="113"/>
        <v>0</v>
      </c>
      <c r="AL186" s="317">
        <f t="shared" si="114"/>
        <v>0</v>
      </c>
      <c r="AM186" s="317">
        <f t="shared" si="115"/>
        <v>0</v>
      </c>
      <c r="AN186" s="317">
        <f t="shared" si="116"/>
        <v>0</v>
      </c>
      <c r="AO186" s="317">
        <f t="shared" si="117"/>
        <v>0</v>
      </c>
      <c r="AP186" s="317">
        <f t="shared" si="118"/>
        <v>0</v>
      </c>
      <c r="AQ186" s="317">
        <f t="shared" si="119"/>
        <v>0</v>
      </c>
      <c r="AR186" s="317">
        <f t="shared" si="120"/>
        <v>0</v>
      </c>
      <c r="AS186" s="317">
        <f t="shared" si="121"/>
        <v>0</v>
      </c>
      <c r="AT186" s="317">
        <f t="shared" si="122"/>
        <v>0</v>
      </c>
      <c r="AU186" s="317">
        <f t="shared" si="123"/>
        <v>0</v>
      </c>
      <c r="AV186" s="317">
        <f t="shared" si="124"/>
        <v>0</v>
      </c>
      <c r="AW186" s="317">
        <f t="shared" si="125"/>
        <v>0</v>
      </c>
      <c r="AX186" s="317">
        <f t="shared" si="126"/>
        <v>0</v>
      </c>
      <c r="AY186" s="317">
        <f t="shared" si="127"/>
        <v>0</v>
      </c>
      <c r="AZ186" s="317">
        <f t="shared" si="128"/>
        <v>0</v>
      </c>
      <c r="BA186" s="317">
        <f t="shared" si="129"/>
        <v>0</v>
      </c>
    </row>
    <row r="187" spans="1:53" s="314" customFormat="1" ht="15.75" customHeight="1">
      <c r="A187" s="63" t="str">
        <f t="array" ref="A187">IF(C187&lt;&gt;0,SUM(($C$11:C187&lt;&gt;0)*1),"")</f>
        <v/>
      </c>
      <c r="B187" s="315"/>
      <c r="C187" s="315"/>
      <c r="D187" s="315"/>
      <c r="E187" s="433"/>
      <c r="F187" s="371"/>
      <c r="G187" s="373"/>
      <c r="H187" s="373"/>
      <c r="I187" s="63" t="str">
        <f t="shared" si="137"/>
        <v/>
      </c>
      <c r="J187" s="317">
        <f t="shared" si="92"/>
        <v>0</v>
      </c>
      <c r="K187" s="317">
        <f t="shared" si="93"/>
        <v>0</v>
      </c>
      <c r="L187" s="317">
        <f t="shared" si="94"/>
        <v>0</v>
      </c>
      <c r="M187" s="317">
        <f t="shared" si="95"/>
        <v>0</v>
      </c>
      <c r="N187" s="317">
        <f t="shared" si="130"/>
        <v>0</v>
      </c>
      <c r="O187" s="317">
        <f t="shared" si="131"/>
        <v>0</v>
      </c>
      <c r="P187" s="317">
        <f t="shared" si="96"/>
        <v>0</v>
      </c>
      <c r="Q187" s="317">
        <f t="shared" si="97"/>
        <v>0</v>
      </c>
      <c r="R187" s="317">
        <f t="shared" si="98"/>
        <v>0</v>
      </c>
      <c r="S187" s="317">
        <f t="shared" si="99"/>
        <v>0</v>
      </c>
      <c r="T187" s="317">
        <f t="shared" si="132"/>
        <v>0</v>
      </c>
      <c r="U187" s="317">
        <f t="shared" si="133"/>
        <v>0</v>
      </c>
      <c r="V187" s="317">
        <f t="shared" si="100"/>
        <v>0</v>
      </c>
      <c r="W187" s="317">
        <f t="shared" si="101"/>
        <v>0</v>
      </c>
      <c r="X187" s="317">
        <f t="shared" si="102"/>
        <v>0</v>
      </c>
      <c r="Y187" s="317">
        <f t="shared" si="103"/>
        <v>0</v>
      </c>
      <c r="Z187" s="317">
        <f t="shared" si="104"/>
        <v>0</v>
      </c>
      <c r="AA187" s="317">
        <f t="shared" si="105"/>
        <v>0</v>
      </c>
      <c r="AB187" s="317">
        <f t="shared" si="106"/>
        <v>0</v>
      </c>
      <c r="AC187" s="317">
        <f t="shared" si="107"/>
        <v>0</v>
      </c>
      <c r="AD187" s="317">
        <f t="shared" si="108"/>
        <v>0</v>
      </c>
      <c r="AE187" s="317">
        <f t="shared" si="109"/>
        <v>0</v>
      </c>
      <c r="AF187" s="317">
        <f t="shared" si="134"/>
        <v>0</v>
      </c>
      <c r="AG187" s="317">
        <f t="shared" si="135"/>
        <v>0</v>
      </c>
      <c r="AH187" s="317">
        <f t="shared" si="110"/>
        <v>0</v>
      </c>
      <c r="AI187" s="317">
        <f t="shared" si="111"/>
        <v>0</v>
      </c>
      <c r="AJ187" s="317">
        <f t="shared" si="112"/>
        <v>0</v>
      </c>
      <c r="AK187" s="317">
        <f t="shared" si="113"/>
        <v>0</v>
      </c>
      <c r="AL187" s="317">
        <f t="shared" si="114"/>
        <v>0</v>
      </c>
      <c r="AM187" s="317">
        <f t="shared" si="115"/>
        <v>0</v>
      </c>
      <c r="AN187" s="317">
        <f t="shared" si="116"/>
        <v>0</v>
      </c>
      <c r="AO187" s="317">
        <f t="shared" si="117"/>
        <v>0</v>
      </c>
      <c r="AP187" s="317">
        <f t="shared" si="118"/>
        <v>0</v>
      </c>
      <c r="AQ187" s="317">
        <f t="shared" si="119"/>
        <v>0</v>
      </c>
      <c r="AR187" s="317">
        <f t="shared" si="120"/>
        <v>0</v>
      </c>
      <c r="AS187" s="317">
        <f t="shared" si="121"/>
        <v>0</v>
      </c>
      <c r="AT187" s="317">
        <f t="shared" si="122"/>
        <v>0</v>
      </c>
      <c r="AU187" s="317">
        <f t="shared" si="123"/>
        <v>0</v>
      </c>
      <c r="AV187" s="317">
        <f t="shared" si="124"/>
        <v>0</v>
      </c>
      <c r="AW187" s="317">
        <f t="shared" si="125"/>
        <v>0</v>
      </c>
      <c r="AX187" s="317">
        <f t="shared" si="126"/>
        <v>0</v>
      </c>
      <c r="AY187" s="317">
        <f t="shared" si="127"/>
        <v>0</v>
      </c>
      <c r="AZ187" s="317">
        <f t="shared" si="128"/>
        <v>0</v>
      </c>
      <c r="BA187" s="317">
        <f t="shared" si="129"/>
        <v>0</v>
      </c>
    </row>
    <row r="188" spans="1:53" s="314" customFormat="1" ht="15.75" customHeight="1">
      <c r="A188" s="63" t="str">
        <f t="array" ref="A188">IF(C188&lt;&gt;0,SUM(($C$11:C188&lt;&gt;0)*1),"")</f>
        <v/>
      </c>
      <c r="B188" s="315"/>
      <c r="C188" s="315"/>
      <c r="D188" s="315"/>
      <c r="E188" s="433"/>
      <c r="F188" s="371"/>
      <c r="G188" s="373"/>
      <c r="H188" s="373"/>
      <c r="I188" s="63" t="str">
        <f t="shared" si="137"/>
        <v/>
      </c>
      <c r="J188" s="317">
        <f t="shared" si="92"/>
        <v>0</v>
      </c>
      <c r="K188" s="317">
        <f t="shared" si="93"/>
        <v>0</v>
      </c>
      <c r="L188" s="317">
        <f t="shared" si="94"/>
        <v>0</v>
      </c>
      <c r="M188" s="317">
        <f t="shared" si="95"/>
        <v>0</v>
      </c>
      <c r="N188" s="317">
        <f t="shared" si="130"/>
        <v>0</v>
      </c>
      <c r="O188" s="317">
        <f t="shared" si="131"/>
        <v>0</v>
      </c>
      <c r="P188" s="317">
        <f t="shared" si="96"/>
        <v>0</v>
      </c>
      <c r="Q188" s="317">
        <f t="shared" si="97"/>
        <v>0</v>
      </c>
      <c r="R188" s="317">
        <f t="shared" si="98"/>
        <v>0</v>
      </c>
      <c r="S188" s="317">
        <f t="shared" si="99"/>
        <v>0</v>
      </c>
      <c r="T188" s="317">
        <f t="shared" si="132"/>
        <v>0</v>
      </c>
      <c r="U188" s="317">
        <f t="shared" si="133"/>
        <v>0</v>
      </c>
      <c r="V188" s="317">
        <f t="shared" si="100"/>
        <v>0</v>
      </c>
      <c r="W188" s="317">
        <f t="shared" si="101"/>
        <v>0</v>
      </c>
      <c r="X188" s="317">
        <f t="shared" si="102"/>
        <v>0</v>
      </c>
      <c r="Y188" s="317">
        <f t="shared" si="103"/>
        <v>0</v>
      </c>
      <c r="Z188" s="317">
        <f t="shared" si="104"/>
        <v>0</v>
      </c>
      <c r="AA188" s="317">
        <f t="shared" si="105"/>
        <v>0</v>
      </c>
      <c r="AB188" s="317">
        <f t="shared" si="106"/>
        <v>0</v>
      </c>
      <c r="AC188" s="317">
        <f t="shared" si="107"/>
        <v>0</v>
      </c>
      <c r="AD188" s="317">
        <f t="shared" si="108"/>
        <v>0</v>
      </c>
      <c r="AE188" s="317">
        <f t="shared" si="109"/>
        <v>0</v>
      </c>
      <c r="AF188" s="317">
        <f t="shared" si="134"/>
        <v>0</v>
      </c>
      <c r="AG188" s="317">
        <f t="shared" si="135"/>
        <v>0</v>
      </c>
      <c r="AH188" s="317">
        <f t="shared" si="110"/>
        <v>0</v>
      </c>
      <c r="AI188" s="317">
        <f t="shared" si="111"/>
        <v>0</v>
      </c>
      <c r="AJ188" s="317">
        <f t="shared" si="112"/>
        <v>0</v>
      </c>
      <c r="AK188" s="317">
        <f t="shared" si="113"/>
        <v>0</v>
      </c>
      <c r="AL188" s="317">
        <f t="shared" si="114"/>
        <v>0</v>
      </c>
      <c r="AM188" s="317">
        <f t="shared" si="115"/>
        <v>0</v>
      </c>
      <c r="AN188" s="317">
        <f t="shared" si="116"/>
        <v>0</v>
      </c>
      <c r="AO188" s="317">
        <f t="shared" si="117"/>
        <v>0</v>
      </c>
      <c r="AP188" s="317">
        <f t="shared" si="118"/>
        <v>0</v>
      </c>
      <c r="AQ188" s="317">
        <f t="shared" si="119"/>
        <v>0</v>
      </c>
      <c r="AR188" s="317">
        <f t="shared" si="120"/>
        <v>0</v>
      </c>
      <c r="AS188" s="317">
        <f t="shared" si="121"/>
        <v>0</v>
      </c>
      <c r="AT188" s="317">
        <f t="shared" si="122"/>
        <v>0</v>
      </c>
      <c r="AU188" s="317">
        <f t="shared" si="123"/>
        <v>0</v>
      </c>
      <c r="AV188" s="317">
        <f t="shared" si="124"/>
        <v>0</v>
      </c>
      <c r="AW188" s="317">
        <f t="shared" si="125"/>
        <v>0</v>
      </c>
      <c r="AX188" s="317">
        <f t="shared" si="126"/>
        <v>0</v>
      </c>
      <c r="AY188" s="317">
        <f t="shared" si="127"/>
        <v>0</v>
      </c>
      <c r="AZ188" s="317">
        <f t="shared" si="128"/>
        <v>0</v>
      </c>
      <c r="BA188" s="317">
        <f t="shared" si="129"/>
        <v>0</v>
      </c>
    </row>
    <row r="189" spans="1:53" s="314" customFormat="1" ht="15.75" customHeight="1">
      <c r="A189" s="63" t="str">
        <f t="array" ref="A189">IF(C189&lt;&gt;0,SUM(($C$11:C189&lt;&gt;0)*1),"")</f>
        <v/>
      </c>
      <c r="B189" s="315"/>
      <c r="C189" s="315"/>
      <c r="D189" s="315"/>
      <c r="E189" s="433"/>
      <c r="F189" s="371"/>
      <c r="G189" s="373"/>
      <c r="H189" s="373"/>
      <c r="I189" s="63" t="str">
        <f t="shared" si="137"/>
        <v/>
      </c>
      <c r="J189" s="317">
        <f t="shared" si="92"/>
        <v>0</v>
      </c>
      <c r="K189" s="317">
        <f t="shared" si="93"/>
        <v>0</v>
      </c>
      <c r="L189" s="317">
        <f t="shared" si="94"/>
        <v>0</v>
      </c>
      <c r="M189" s="317">
        <f t="shared" si="95"/>
        <v>0</v>
      </c>
      <c r="N189" s="317">
        <f t="shared" si="130"/>
        <v>0</v>
      </c>
      <c r="O189" s="317">
        <f t="shared" si="131"/>
        <v>0</v>
      </c>
      <c r="P189" s="317">
        <f t="shared" si="96"/>
        <v>0</v>
      </c>
      <c r="Q189" s="317">
        <f t="shared" si="97"/>
        <v>0</v>
      </c>
      <c r="R189" s="317">
        <f t="shared" si="98"/>
        <v>0</v>
      </c>
      <c r="S189" s="317">
        <f t="shared" si="99"/>
        <v>0</v>
      </c>
      <c r="T189" s="317">
        <f t="shared" si="132"/>
        <v>0</v>
      </c>
      <c r="U189" s="317">
        <f t="shared" si="133"/>
        <v>0</v>
      </c>
      <c r="V189" s="317">
        <f t="shared" si="100"/>
        <v>0</v>
      </c>
      <c r="W189" s="317">
        <f t="shared" si="101"/>
        <v>0</v>
      </c>
      <c r="X189" s="317">
        <f t="shared" si="102"/>
        <v>0</v>
      </c>
      <c r="Y189" s="317">
        <f t="shared" si="103"/>
        <v>0</v>
      </c>
      <c r="Z189" s="317">
        <f t="shared" si="104"/>
        <v>0</v>
      </c>
      <c r="AA189" s="317">
        <f t="shared" si="105"/>
        <v>0</v>
      </c>
      <c r="AB189" s="317">
        <f t="shared" si="106"/>
        <v>0</v>
      </c>
      <c r="AC189" s="317">
        <f t="shared" si="107"/>
        <v>0</v>
      </c>
      <c r="AD189" s="317">
        <f t="shared" si="108"/>
        <v>0</v>
      </c>
      <c r="AE189" s="317">
        <f t="shared" si="109"/>
        <v>0</v>
      </c>
      <c r="AF189" s="317">
        <f t="shared" si="134"/>
        <v>0</v>
      </c>
      <c r="AG189" s="317">
        <f t="shared" si="135"/>
        <v>0</v>
      </c>
      <c r="AH189" s="317">
        <f t="shared" si="110"/>
        <v>0</v>
      </c>
      <c r="AI189" s="317">
        <f t="shared" si="111"/>
        <v>0</v>
      </c>
      <c r="AJ189" s="317">
        <f t="shared" si="112"/>
        <v>0</v>
      </c>
      <c r="AK189" s="317">
        <f t="shared" si="113"/>
        <v>0</v>
      </c>
      <c r="AL189" s="317">
        <f t="shared" si="114"/>
        <v>0</v>
      </c>
      <c r="AM189" s="317">
        <f t="shared" si="115"/>
        <v>0</v>
      </c>
      <c r="AN189" s="317">
        <f t="shared" si="116"/>
        <v>0</v>
      </c>
      <c r="AO189" s="317">
        <f t="shared" si="117"/>
        <v>0</v>
      </c>
      <c r="AP189" s="317">
        <f t="shared" si="118"/>
        <v>0</v>
      </c>
      <c r="AQ189" s="317">
        <f t="shared" si="119"/>
        <v>0</v>
      </c>
      <c r="AR189" s="317">
        <f t="shared" si="120"/>
        <v>0</v>
      </c>
      <c r="AS189" s="317">
        <f t="shared" si="121"/>
        <v>0</v>
      </c>
      <c r="AT189" s="317">
        <f t="shared" si="122"/>
        <v>0</v>
      </c>
      <c r="AU189" s="317">
        <f t="shared" si="123"/>
        <v>0</v>
      </c>
      <c r="AV189" s="317">
        <f t="shared" si="124"/>
        <v>0</v>
      </c>
      <c r="AW189" s="317">
        <f t="shared" si="125"/>
        <v>0</v>
      </c>
      <c r="AX189" s="317">
        <f t="shared" si="126"/>
        <v>0</v>
      </c>
      <c r="AY189" s="317">
        <f t="shared" si="127"/>
        <v>0</v>
      </c>
      <c r="AZ189" s="317">
        <f t="shared" si="128"/>
        <v>0</v>
      </c>
      <c r="BA189" s="317">
        <f t="shared" si="129"/>
        <v>0</v>
      </c>
    </row>
    <row r="190" spans="1:53" s="314" customFormat="1" ht="15.75" customHeight="1">
      <c r="A190" s="63" t="str">
        <f t="array" ref="A190">IF(C190&lt;&gt;0,SUM(($C$11:C190&lt;&gt;0)*1),"")</f>
        <v/>
      </c>
      <c r="B190" s="315"/>
      <c r="C190" s="315"/>
      <c r="D190" s="315"/>
      <c r="E190" s="433"/>
      <c r="F190" s="371"/>
      <c r="G190" s="373"/>
      <c r="H190" s="373"/>
      <c r="I190" s="63" t="str">
        <f t="shared" si="137"/>
        <v/>
      </c>
      <c r="J190" s="317">
        <f t="shared" si="92"/>
        <v>0</v>
      </c>
      <c r="K190" s="317">
        <f t="shared" si="93"/>
        <v>0</v>
      </c>
      <c r="L190" s="317">
        <f t="shared" si="94"/>
        <v>0</v>
      </c>
      <c r="M190" s="317">
        <f t="shared" si="95"/>
        <v>0</v>
      </c>
      <c r="N190" s="317">
        <f t="shared" si="130"/>
        <v>0</v>
      </c>
      <c r="O190" s="317">
        <f t="shared" si="131"/>
        <v>0</v>
      </c>
      <c r="P190" s="317">
        <f t="shared" si="96"/>
        <v>0</v>
      </c>
      <c r="Q190" s="317">
        <f t="shared" si="97"/>
        <v>0</v>
      </c>
      <c r="R190" s="317">
        <f t="shared" si="98"/>
        <v>0</v>
      </c>
      <c r="S190" s="317">
        <f t="shared" si="99"/>
        <v>0</v>
      </c>
      <c r="T190" s="317">
        <f t="shared" si="132"/>
        <v>0</v>
      </c>
      <c r="U190" s="317">
        <f t="shared" si="133"/>
        <v>0</v>
      </c>
      <c r="V190" s="317">
        <f t="shared" si="100"/>
        <v>0</v>
      </c>
      <c r="W190" s="317">
        <f t="shared" si="101"/>
        <v>0</v>
      </c>
      <c r="X190" s="317">
        <f t="shared" si="102"/>
        <v>0</v>
      </c>
      <c r="Y190" s="317">
        <f t="shared" si="103"/>
        <v>0</v>
      </c>
      <c r="Z190" s="317">
        <f t="shared" si="104"/>
        <v>0</v>
      </c>
      <c r="AA190" s="317">
        <f t="shared" si="105"/>
        <v>0</v>
      </c>
      <c r="AB190" s="317">
        <f t="shared" si="106"/>
        <v>0</v>
      </c>
      <c r="AC190" s="317">
        <f t="shared" si="107"/>
        <v>0</v>
      </c>
      <c r="AD190" s="317">
        <f t="shared" si="108"/>
        <v>0</v>
      </c>
      <c r="AE190" s="317">
        <f t="shared" si="109"/>
        <v>0</v>
      </c>
      <c r="AF190" s="317">
        <f t="shared" si="134"/>
        <v>0</v>
      </c>
      <c r="AG190" s="317">
        <f t="shared" si="135"/>
        <v>0</v>
      </c>
      <c r="AH190" s="317">
        <f t="shared" si="110"/>
        <v>0</v>
      </c>
      <c r="AI190" s="317">
        <f t="shared" si="111"/>
        <v>0</v>
      </c>
      <c r="AJ190" s="317">
        <f t="shared" si="112"/>
        <v>0</v>
      </c>
      <c r="AK190" s="317">
        <f t="shared" si="113"/>
        <v>0</v>
      </c>
      <c r="AL190" s="317">
        <f t="shared" si="114"/>
        <v>0</v>
      </c>
      <c r="AM190" s="317">
        <f t="shared" si="115"/>
        <v>0</v>
      </c>
      <c r="AN190" s="317">
        <f t="shared" si="116"/>
        <v>0</v>
      </c>
      <c r="AO190" s="317">
        <f t="shared" si="117"/>
        <v>0</v>
      </c>
      <c r="AP190" s="317">
        <f t="shared" si="118"/>
        <v>0</v>
      </c>
      <c r="AQ190" s="317">
        <f t="shared" si="119"/>
        <v>0</v>
      </c>
      <c r="AR190" s="317">
        <f t="shared" si="120"/>
        <v>0</v>
      </c>
      <c r="AS190" s="317">
        <f t="shared" si="121"/>
        <v>0</v>
      </c>
      <c r="AT190" s="317">
        <f t="shared" si="122"/>
        <v>0</v>
      </c>
      <c r="AU190" s="317">
        <f t="shared" si="123"/>
        <v>0</v>
      </c>
      <c r="AV190" s="317">
        <f t="shared" si="124"/>
        <v>0</v>
      </c>
      <c r="AW190" s="317">
        <f t="shared" si="125"/>
        <v>0</v>
      </c>
      <c r="AX190" s="317">
        <f t="shared" si="126"/>
        <v>0</v>
      </c>
      <c r="AY190" s="317">
        <f t="shared" si="127"/>
        <v>0</v>
      </c>
      <c r="AZ190" s="317">
        <f t="shared" si="128"/>
        <v>0</v>
      </c>
      <c r="BA190" s="317">
        <f t="shared" si="129"/>
        <v>0</v>
      </c>
    </row>
    <row r="191" spans="1:53" s="314" customFormat="1" ht="15.75" customHeight="1">
      <c r="A191" s="63" t="str">
        <f t="array" ref="A191">IF(C191&lt;&gt;0,SUM(($C$11:C191&lt;&gt;0)*1),"")</f>
        <v/>
      </c>
      <c r="B191" s="315"/>
      <c r="C191" s="315"/>
      <c r="D191" s="315"/>
      <c r="E191" s="433"/>
      <c r="F191" s="371"/>
      <c r="G191" s="373"/>
      <c r="H191" s="373"/>
      <c r="I191" s="63" t="str">
        <f t="shared" si="137"/>
        <v/>
      </c>
      <c r="J191" s="317">
        <f t="shared" si="92"/>
        <v>0</v>
      </c>
      <c r="K191" s="317">
        <f t="shared" si="93"/>
        <v>0</v>
      </c>
      <c r="L191" s="317">
        <f t="shared" si="94"/>
        <v>0</v>
      </c>
      <c r="M191" s="317">
        <f t="shared" si="95"/>
        <v>0</v>
      </c>
      <c r="N191" s="317">
        <f t="shared" si="130"/>
        <v>0</v>
      </c>
      <c r="O191" s="317">
        <f t="shared" si="131"/>
        <v>0</v>
      </c>
      <c r="P191" s="317">
        <f t="shared" si="96"/>
        <v>0</v>
      </c>
      <c r="Q191" s="317">
        <f t="shared" si="97"/>
        <v>0</v>
      </c>
      <c r="R191" s="317">
        <f t="shared" si="98"/>
        <v>0</v>
      </c>
      <c r="S191" s="317">
        <f t="shared" si="99"/>
        <v>0</v>
      </c>
      <c r="T191" s="317">
        <f t="shared" si="132"/>
        <v>0</v>
      </c>
      <c r="U191" s="317">
        <f t="shared" si="133"/>
        <v>0</v>
      </c>
      <c r="V191" s="317">
        <f t="shared" si="100"/>
        <v>0</v>
      </c>
      <c r="W191" s="317">
        <f t="shared" si="101"/>
        <v>0</v>
      </c>
      <c r="X191" s="317">
        <f t="shared" si="102"/>
        <v>0</v>
      </c>
      <c r="Y191" s="317">
        <f t="shared" si="103"/>
        <v>0</v>
      </c>
      <c r="Z191" s="317">
        <f t="shared" si="104"/>
        <v>0</v>
      </c>
      <c r="AA191" s="317">
        <f t="shared" si="105"/>
        <v>0</v>
      </c>
      <c r="AB191" s="317">
        <f t="shared" si="106"/>
        <v>0</v>
      </c>
      <c r="AC191" s="317">
        <f t="shared" si="107"/>
        <v>0</v>
      </c>
      <c r="AD191" s="317">
        <f t="shared" si="108"/>
        <v>0</v>
      </c>
      <c r="AE191" s="317">
        <f t="shared" si="109"/>
        <v>0</v>
      </c>
      <c r="AF191" s="317">
        <f t="shared" si="134"/>
        <v>0</v>
      </c>
      <c r="AG191" s="317">
        <f t="shared" si="135"/>
        <v>0</v>
      </c>
      <c r="AH191" s="317">
        <f t="shared" si="110"/>
        <v>0</v>
      </c>
      <c r="AI191" s="317">
        <f t="shared" si="111"/>
        <v>0</v>
      </c>
      <c r="AJ191" s="317">
        <f t="shared" si="112"/>
        <v>0</v>
      </c>
      <c r="AK191" s="317">
        <f t="shared" si="113"/>
        <v>0</v>
      </c>
      <c r="AL191" s="317">
        <f t="shared" si="114"/>
        <v>0</v>
      </c>
      <c r="AM191" s="317">
        <f t="shared" si="115"/>
        <v>0</v>
      </c>
      <c r="AN191" s="317">
        <f t="shared" si="116"/>
        <v>0</v>
      </c>
      <c r="AO191" s="317">
        <f t="shared" si="117"/>
        <v>0</v>
      </c>
      <c r="AP191" s="317">
        <f t="shared" si="118"/>
        <v>0</v>
      </c>
      <c r="AQ191" s="317">
        <f t="shared" si="119"/>
        <v>0</v>
      </c>
      <c r="AR191" s="317">
        <f t="shared" si="120"/>
        <v>0</v>
      </c>
      <c r="AS191" s="317">
        <f t="shared" si="121"/>
        <v>0</v>
      </c>
      <c r="AT191" s="317">
        <f t="shared" si="122"/>
        <v>0</v>
      </c>
      <c r="AU191" s="317">
        <f t="shared" si="123"/>
        <v>0</v>
      </c>
      <c r="AV191" s="317">
        <f t="shared" si="124"/>
        <v>0</v>
      </c>
      <c r="AW191" s="317">
        <f t="shared" si="125"/>
        <v>0</v>
      </c>
      <c r="AX191" s="317">
        <f t="shared" si="126"/>
        <v>0</v>
      </c>
      <c r="AY191" s="317">
        <f t="shared" si="127"/>
        <v>0</v>
      </c>
      <c r="AZ191" s="317">
        <f t="shared" si="128"/>
        <v>0</v>
      </c>
      <c r="BA191" s="317">
        <f t="shared" si="129"/>
        <v>0</v>
      </c>
    </row>
    <row r="192" spans="1:53" s="314" customFormat="1" ht="15.75" customHeight="1">
      <c r="A192" s="63" t="str">
        <f t="array" ref="A192">IF(C192&lt;&gt;0,SUM(($C$11:C192&lt;&gt;0)*1),"")</f>
        <v/>
      </c>
      <c r="B192" s="315"/>
      <c r="C192" s="315"/>
      <c r="D192" s="315"/>
      <c r="E192" s="433"/>
      <c r="F192" s="371"/>
      <c r="G192" s="373"/>
      <c r="H192" s="373"/>
      <c r="I192" s="63" t="str">
        <f t="shared" si="137"/>
        <v/>
      </c>
      <c r="J192" s="317">
        <f t="shared" si="92"/>
        <v>0</v>
      </c>
      <c r="K192" s="317">
        <f t="shared" si="93"/>
        <v>0</v>
      </c>
      <c r="L192" s="317">
        <f t="shared" si="94"/>
        <v>0</v>
      </c>
      <c r="M192" s="317">
        <f t="shared" si="95"/>
        <v>0</v>
      </c>
      <c r="N192" s="317">
        <f t="shared" si="130"/>
        <v>0</v>
      </c>
      <c r="O192" s="317">
        <f t="shared" si="131"/>
        <v>0</v>
      </c>
      <c r="P192" s="317">
        <f t="shared" si="96"/>
        <v>0</v>
      </c>
      <c r="Q192" s="317">
        <f t="shared" si="97"/>
        <v>0</v>
      </c>
      <c r="R192" s="317">
        <f t="shared" si="98"/>
        <v>0</v>
      </c>
      <c r="S192" s="317">
        <f t="shared" si="99"/>
        <v>0</v>
      </c>
      <c r="T192" s="317">
        <f t="shared" si="132"/>
        <v>0</v>
      </c>
      <c r="U192" s="317">
        <f t="shared" si="133"/>
        <v>0</v>
      </c>
      <c r="V192" s="317">
        <f t="shared" si="100"/>
        <v>0</v>
      </c>
      <c r="W192" s="317">
        <f t="shared" si="101"/>
        <v>0</v>
      </c>
      <c r="X192" s="317">
        <f t="shared" si="102"/>
        <v>0</v>
      </c>
      <c r="Y192" s="317">
        <f t="shared" si="103"/>
        <v>0</v>
      </c>
      <c r="Z192" s="317">
        <f t="shared" si="104"/>
        <v>0</v>
      </c>
      <c r="AA192" s="317">
        <f t="shared" si="105"/>
        <v>0</v>
      </c>
      <c r="AB192" s="317">
        <f t="shared" si="106"/>
        <v>0</v>
      </c>
      <c r="AC192" s="317">
        <f t="shared" si="107"/>
        <v>0</v>
      </c>
      <c r="AD192" s="317">
        <f t="shared" si="108"/>
        <v>0</v>
      </c>
      <c r="AE192" s="317">
        <f t="shared" si="109"/>
        <v>0</v>
      </c>
      <c r="AF192" s="317">
        <f t="shared" si="134"/>
        <v>0</v>
      </c>
      <c r="AG192" s="317">
        <f t="shared" si="135"/>
        <v>0</v>
      </c>
      <c r="AH192" s="317">
        <f t="shared" si="110"/>
        <v>0</v>
      </c>
      <c r="AI192" s="317">
        <f t="shared" si="111"/>
        <v>0</v>
      </c>
      <c r="AJ192" s="317">
        <f t="shared" si="112"/>
        <v>0</v>
      </c>
      <c r="AK192" s="317">
        <f t="shared" si="113"/>
        <v>0</v>
      </c>
      <c r="AL192" s="317">
        <f t="shared" si="114"/>
        <v>0</v>
      </c>
      <c r="AM192" s="317">
        <f t="shared" si="115"/>
        <v>0</v>
      </c>
      <c r="AN192" s="317">
        <f t="shared" si="116"/>
        <v>0</v>
      </c>
      <c r="AO192" s="317">
        <f t="shared" si="117"/>
        <v>0</v>
      </c>
      <c r="AP192" s="317">
        <f t="shared" si="118"/>
        <v>0</v>
      </c>
      <c r="AQ192" s="317">
        <f t="shared" si="119"/>
        <v>0</v>
      </c>
      <c r="AR192" s="317">
        <f t="shared" si="120"/>
        <v>0</v>
      </c>
      <c r="AS192" s="317">
        <f t="shared" si="121"/>
        <v>0</v>
      </c>
      <c r="AT192" s="317">
        <f t="shared" si="122"/>
        <v>0</v>
      </c>
      <c r="AU192" s="317">
        <f t="shared" si="123"/>
        <v>0</v>
      </c>
      <c r="AV192" s="317">
        <f t="shared" si="124"/>
        <v>0</v>
      </c>
      <c r="AW192" s="317">
        <f t="shared" si="125"/>
        <v>0</v>
      </c>
      <c r="AX192" s="317">
        <f t="shared" si="126"/>
        <v>0</v>
      </c>
      <c r="AY192" s="317">
        <f t="shared" si="127"/>
        <v>0</v>
      </c>
      <c r="AZ192" s="317">
        <f t="shared" si="128"/>
        <v>0</v>
      </c>
      <c r="BA192" s="317">
        <f t="shared" si="129"/>
        <v>0</v>
      </c>
    </row>
    <row r="193" spans="1:53" s="314" customFormat="1" ht="15.75" customHeight="1">
      <c r="A193" s="63" t="str">
        <f t="array" ref="A193">IF(C193&lt;&gt;0,SUM(($C$11:C193&lt;&gt;0)*1),"")</f>
        <v/>
      </c>
      <c r="B193" s="315"/>
      <c r="C193" s="315"/>
      <c r="D193" s="315"/>
      <c r="E193" s="433"/>
      <c r="F193" s="371"/>
      <c r="G193" s="373"/>
      <c r="H193" s="373"/>
      <c r="I193" s="63" t="str">
        <f t="shared" si="137"/>
        <v/>
      </c>
      <c r="J193" s="317">
        <f t="shared" si="92"/>
        <v>0</v>
      </c>
      <c r="K193" s="317">
        <f t="shared" si="93"/>
        <v>0</v>
      </c>
      <c r="L193" s="317">
        <f t="shared" si="94"/>
        <v>0</v>
      </c>
      <c r="M193" s="317">
        <f t="shared" si="95"/>
        <v>0</v>
      </c>
      <c r="N193" s="317">
        <f t="shared" si="130"/>
        <v>0</v>
      </c>
      <c r="O193" s="317">
        <f t="shared" si="131"/>
        <v>0</v>
      </c>
      <c r="P193" s="317">
        <f t="shared" si="96"/>
        <v>0</v>
      </c>
      <c r="Q193" s="317">
        <f t="shared" si="97"/>
        <v>0</v>
      </c>
      <c r="R193" s="317">
        <f t="shared" si="98"/>
        <v>0</v>
      </c>
      <c r="S193" s="317">
        <f t="shared" si="99"/>
        <v>0</v>
      </c>
      <c r="T193" s="317">
        <f t="shared" si="132"/>
        <v>0</v>
      </c>
      <c r="U193" s="317">
        <f t="shared" si="133"/>
        <v>0</v>
      </c>
      <c r="V193" s="317">
        <f t="shared" si="100"/>
        <v>0</v>
      </c>
      <c r="W193" s="317">
        <f t="shared" si="101"/>
        <v>0</v>
      </c>
      <c r="X193" s="317">
        <f t="shared" si="102"/>
        <v>0</v>
      </c>
      <c r="Y193" s="317">
        <f t="shared" si="103"/>
        <v>0</v>
      </c>
      <c r="Z193" s="317">
        <f t="shared" si="104"/>
        <v>0</v>
      </c>
      <c r="AA193" s="317">
        <f t="shared" si="105"/>
        <v>0</v>
      </c>
      <c r="AB193" s="317">
        <f t="shared" si="106"/>
        <v>0</v>
      </c>
      <c r="AC193" s="317">
        <f t="shared" si="107"/>
        <v>0</v>
      </c>
      <c r="AD193" s="317">
        <f t="shared" si="108"/>
        <v>0</v>
      </c>
      <c r="AE193" s="317">
        <f t="shared" si="109"/>
        <v>0</v>
      </c>
      <c r="AF193" s="317">
        <f t="shared" si="134"/>
        <v>0</v>
      </c>
      <c r="AG193" s="317">
        <f t="shared" si="135"/>
        <v>0</v>
      </c>
      <c r="AH193" s="317">
        <f t="shared" si="110"/>
        <v>0</v>
      </c>
      <c r="AI193" s="317">
        <f t="shared" si="111"/>
        <v>0</v>
      </c>
      <c r="AJ193" s="317">
        <f t="shared" si="112"/>
        <v>0</v>
      </c>
      <c r="AK193" s="317">
        <f t="shared" si="113"/>
        <v>0</v>
      </c>
      <c r="AL193" s="317">
        <f t="shared" si="114"/>
        <v>0</v>
      </c>
      <c r="AM193" s="317">
        <f t="shared" si="115"/>
        <v>0</v>
      </c>
      <c r="AN193" s="317">
        <f t="shared" si="116"/>
        <v>0</v>
      </c>
      <c r="AO193" s="317">
        <f t="shared" si="117"/>
        <v>0</v>
      </c>
      <c r="AP193" s="317">
        <f t="shared" si="118"/>
        <v>0</v>
      </c>
      <c r="AQ193" s="317">
        <f t="shared" si="119"/>
        <v>0</v>
      </c>
      <c r="AR193" s="317">
        <f t="shared" si="120"/>
        <v>0</v>
      </c>
      <c r="AS193" s="317">
        <f t="shared" si="121"/>
        <v>0</v>
      </c>
      <c r="AT193" s="317">
        <f t="shared" si="122"/>
        <v>0</v>
      </c>
      <c r="AU193" s="317">
        <f t="shared" si="123"/>
        <v>0</v>
      </c>
      <c r="AV193" s="317">
        <f t="shared" si="124"/>
        <v>0</v>
      </c>
      <c r="AW193" s="317">
        <f t="shared" si="125"/>
        <v>0</v>
      </c>
      <c r="AX193" s="317">
        <f t="shared" si="126"/>
        <v>0</v>
      </c>
      <c r="AY193" s="317">
        <f t="shared" si="127"/>
        <v>0</v>
      </c>
      <c r="AZ193" s="317">
        <f t="shared" si="128"/>
        <v>0</v>
      </c>
      <c r="BA193" s="317">
        <f t="shared" si="129"/>
        <v>0</v>
      </c>
    </row>
    <row r="194" spans="1:53" s="314" customFormat="1" ht="15.75" customHeight="1">
      <c r="A194" s="63" t="str">
        <f t="array" ref="A194">IF(C194&lt;&gt;0,SUM(($C$11:C194&lt;&gt;0)*1),"")</f>
        <v/>
      </c>
      <c r="B194" s="315"/>
      <c r="C194" s="315"/>
      <c r="D194" s="315"/>
      <c r="E194" s="433"/>
      <c r="F194" s="371"/>
      <c r="G194" s="373"/>
      <c r="H194" s="373"/>
      <c r="I194" s="63" t="str">
        <f t="shared" si="137"/>
        <v/>
      </c>
      <c r="J194" s="317">
        <f t="shared" si="92"/>
        <v>0</v>
      </c>
      <c r="K194" s="317">
        <f t="shared" si="93"/>
        <v>0</v>
      </c>
      <c r="L194" s="317">
        <f t="shared" si="94"/>
        <v>0</v>
      </c>
      <c r="M194" s="317">
        <f t="shared" si="95"/>
        <v>0</v>
      </c>
      <c r="N194" s="317">
        <f t="shared" si="130"/>
        <v>0</v>
      </c>
      <c r="O194" s="317">
        <f t="shared" si="131"/>
        <v>0</v>
      </c>
      <c r="P194" s="317">
        <f t="shared" si="96"/>
        <v>0</v>
      </c>
      <c r="Q194" s="317">
        <f t="shared" si="97"/>
        <v>0</v>
      </c>
      <c r="R194" s="317">
        <f t="shared" si="98"/>
        <v>0</v>
      </c>
      <c r="S194" s="317">
        <f t="shared" si="99"/>
        <v>0</v>
      </c>
      <c r="T194" s="317">
        <f t="shared" si="132"/>
        <v>0</v>
      </c>
      <c r="U194" s="317">
        <f t="shared" si="133"/>
        <v>0</v>
      </c>
      <c r="V194" s="317">
        <f t="shared" si="100"/>
        <v>0</v>
      </c>
      <c r="W194" s="317">
        <f t="shared" si="101"/>
        <v>0</v>
      </c>
      <c r="X194" s="317">
        <f t="shared" si="102"/>
        <v>0</v>
      </c>
      <c r="Y194" s="317">
        <f t="shared" si="103"/>
        <v>0</v>
      </c>
      <c r="Z194" s="317">
        <f t="shared" si="104"/>
        <v>0</v>
      </c>
      <c r="AA194" s="317">
        <f t="shared" si="105"/>
        <v>0</v>
      </c>
      <c r="AB194" s="317">
        <f t="shared" si="106"/>
        <v>0</v>
      </c>
      <c r="AC194" s="317">
        <f t="shared" si="107"/>
        <v>0</v>
      </c>
      <c r="AD194" s="317">
        <f t="shared" si="108"/>
        <v>0</v>
      </c>
      <c r="AE194" s="317">
        <f t="shared" si="109"/>
        <v>0</v>
      </c>
      <c r="AF194" s="317">
        <f t="shared" si="134"/>
        <v>0</v>
      </c>
      <c r="AG194" s="317">
        <f t="shared" si="135"/>
        <v>0</v>
      </c>
      <c r="AH194" s="317">
        <f t="shared" si="110"/>
        <v>0</v>
      </c>
      <c r="AI194" s="317">
        <f t="shared" si="111"/>
        <v>0</v>
      </c>
      <c r="AJ194" s="317">
        <f t="shared" si="112"/>
        <v>0</v>
      </c>
      <c r="AK194" s="317">
        <f t="shared" si="113"/>
        <v>0</v>
      </c>
      <c r="AL194" s="317">
        <f t="shared" si="114"/>
        <v>0</v>
      </c>
      <c r="AM194" s="317">
        <f t="shared" si="115"/>
        <v>0</v>
      </c>
      <c r="AN194" s="317">
        <f t="shared" si="116"/>
        <v>0</v>
      </c>
      <c r="AO194" s="317">
        <f t="shared" si="117"/>
        <v>0</v>
      </c>
      <c r="AP194" s="317">
        <f t="shared" si="118"/>
        <v>0</v>
      </c>
      <c r="AQ194" s="317">
        <f t="shared" si="119"/>
        <v>0</v>
      </c>
      <c r="AR194" s="317">
        <f t="shared" si="120"/>
        <v>0</v>
      </c>
      <c r="AS194" s="317">
        <f t="shared" si="121"/>
        <v>0</v>
      </c>
      <c r="AT194" s="317">
        <f t="shared" si="122"/>
        <v>0</v>
      </c>
      <c r="AU194" s="317">
        <f t="shared" si="123"/>
        <v>0</v>
      </c>
      <c r="AV194" s="317">
        <f t="shared" si="124"/>
        <v>0</v>
      </c>
      <c r="AW194" s="317">
        <f t="shared" si="125"/>
        <v>0</v>
      </c>
      <c r="AX194" s="317">
        <f t="shared" si="126"/>
        <v>0</v>
      </c>
      <c r="AY194" s="317">
        <f t="shared" si="127"/>
        <v>0</v>
      </c>
      <c r="AZ194" s="317">
        <f t="shared" si="128"/>
        <v>0</v>
      </c>
      <c r="BA194" s="317">
        <f t="shared" si="129"/>
        <v>0</v>
      </c>
    </row>
    <row r="195" spans="1:53" s="314" customFormat="1" ht="15.75" customHeight="1">
      <c r="A195" s="63" t="str">
        <f t="array" ref="A195">IF(C195&lt;&gt;0,SUM(($C$11:C195&lt;&gt;0)*1),"")</f>
        <v/>
      </c>
      <c r="B195" s="315"/>
      <c r="C195" s="315"/>
      <c r="D195" s="315"/>
      <c r="E195" s="433"/>
      <c r="F195" s="371"/>
      <c r="G195" s="373"/>
      <c r="H195" s="373"/>
      <c r="I195" s="63" t="str">
        <f t="shared" si="137"/>
        <v/>
      </c>
      <c r="J195" s="317">
        <f t="shared" si="92"/>
        <v>0</v>
      </c>
      <c r="K195" s="317">
        <f t="shared" si="93"/>
        <v>0</v>
      </c>
      <c r="L195" s="317">
        <f t="shared" si="94"/>
        <v>0</v>
      </c>
      <c r="M195" s="317">
        <f t="shared" si="95"/>
        <v>0</v>
      </c>
      <c r="N195" s="317">
        <f t="shared" si="130"/>
        <v>0</v>
      </c>
      <c r="O195" s="317">
        <f t="shared" si="131"/>
        <v>0</v>
      </c>
      <c r="P195" s="317">
        <f t="shared" si="96"/>
        <v>0</v>
      </c>
      <c r="Q195" s="317">
        <f t="shared" si="97"/>
        <v>0</v>
      </c>
      <c r="R195" s="317">
        <f t="shared" si="98"/>
        <v>0</v>
      </c>
      <c r="S195" s="317">
        <f t="shared" si="99"/>
        <v>0</v>
      </c>
      <c r="T195" s="317">
        <f t="shared" si="132"/>
        <v>0</v>
      </c>
      <c r="U195" s="317">
        <f t="shared" si="133"/>
        <v>0</v>
      </c>
      <c r="V195" s="317">
        <f t="shared" si="100"/>
        <v>0</v>
      </c>
      <c r="W195" s="317">
        <f t="shared" si="101"/>
        <v>0</v>
      </c>
      <c r="X195" s="317">
        <f t="shared" si="102"/>
        <v>0</v>
      </c>
      <c r="Y195" s="317">
        <f t="shared" si="103"/>
        <v>0</v>
      </c>
      <c r="Z195" s="317">
        <f t="shared" si="104"/>
        <v>0</v>
      </c>
      <c r="AA195" s="317">
        <f t="shared" si="105"/>
        <v>0</v>
      </c>
      <c r="AB195" s="317">
        <f t="shared" si="106"/>
        <v>0</v>
      </c>
      <c r="AC195" s="317">
        <f t="shared" si="107"/>
        <v>0</v>
      </c>
      <c r="AD195" s="317">
        <f t="shared" si="108"/>
        <v>0</v>
      </c>
      <c r="AE195" s="317">
        <f t="shared" si="109"/>
        <v>0</v>
      </c>
      <c r="AF195" s="317">
        <f t="shared" si="134"/>
        <v>0</v>
      </c>
      <c r="AG195" s="317">
        <f t="shared" si="135"/>
        <v>0</v>
      </c>
      <c r="AH195" s="317">
        <f t="shared" si="110"/>
        <v>0</v>
      </c>
      <c r="AI195" s="317">
        <f t="shared" si="111"/>
        <v>0</v>
      </c>
      <c r="AJ195" s="317">
        <f t="shared" si="112"/>
        <v>0</v>
      </c>
      <c r="AK195" s="317">
        <f t="shared" si="113"/>
        <v>0</v>
      </c>
      <c r="AL195" s="317">
        <f t="shared" si="114"/>
        <v>0</v>
      </c>
      <c r="AM195" s="317">
        <f t="shared" si="115"/>
        <v>0</v>
      </c>
      <c r="AN195" s="317">
        <f t="shared" si="116"/>
        <v>0</v>
      </c>
      <c r="AO195" s="317">
        <f t="shared" si="117"/>
        <v>0</v>
      </c>
      <c r="AP195" s="317">
        <f t="shared" si="118"/>
        <v>0</v>
      </c>
      <c r="AQ195" s="317">
        <f t="shared" si="119"/>
        <v>0</v>
      </c>
      <c r="AR195" s="317">
        <f t="shared" si="120"/>
        <v>0</v>
      </c>
      <c r="AS195" s="317">
        <f t="shared" si="121"/>
        <v>0</v>
      </c>
      <c r="AT195" s="317">
        <f t="shared" si="122"/>
        <v>0</v>
      </c>
      <c r="AU195" s="317">
        <f t="shared" si="123"/>
        <v>0</v>
      </c>
      <c r="AV195" s="317">
        <f t="shared" si="124"/>
        <v>0</v>
      </c>
      <c r="AW195" s="317">
        <f t="shared" si="125"/>
        <v>0</v>
      </c>
      <c r="AX195" s="317">
        <f t="shared" si="126"/>
        <v>0</v>
      </c>
      <c r="AY195" s="317">
        <f t="shared" si="127"/>
        <v>0</v>
      </c>
      <c r="AZ195" s="317">
        <f t="shared" si="128"/>
        <v>0</v>
      </c>
      <c r="BA195" s="317">
        <f t="shared" si="129"/>
        <v>0</v>
      </c>
    </row>
    <row r="196" spans="1:53" s="314" customFormat="1" ht="15.75" customHeight="1">
      <c r="A196" s="63" t="str">
        <f t="array" ref="A196">IF(C196&lt;&gt;0,SUM(($C$11:C196&lt;&gt;0)*1),"")</f>
        <v/>
      </c>
      <c r="B196" s="315"/>
      <c r="C196" s="315"/>
      <c r="D196" s="315"/>
      <c r="E196" s="433"/>
      <c r="F196" s="371"/>
      <c r="G196" s="373"/>
      <c r="H196" s="373"/>
      <c r="I196" s="63" t="str">
        <f t="shared" si="137"/>
        <v/>
      </c>
      <c r="J196" s="317">
        <f t="shared" si="92"/>
        <v>0</v>
      </c>
      <c r="K196" s="317">
        <f t="shared" si="93"/>
        <v>0</v>
      </c>
      <c r="L196" s="317">
        <f t="shared" si="94"/>
        <v>0</v>
      </c>
      <c r="M196" s="317">
        <f t="shared" si="95"/>
        <v>0</v>
      </c>
      <c r="N196" s="317">
        <f t="shared" si="130"/>
        <v>0</v>
      </c>
      <c r="O196" s="317">
        <f t="shared" si="131"/>
        <v>0</v>
      </c>
      <c r="P196" s="317">
        <f t="shared" si="96"/>
        <v>0</v>
      </c>
      <c r="Q196" s="317">
        <f t="shared" si="97"/>
        <v>0</v>
      </c>
      <c r="R196" s="317">
        <f t="shared" si="98"/>
        <v>0</v>
      </c>
      <c r="S196" s="317">
        <f t="shared" si="99"/>
        <v>0</v>
      </c>
      <c r="T196" s="317">
        <f t="shared" si="132"/>
        <v>0</v>
      </c>
      <c r="U196" s="317">
        <f t="shared" si="133"/>
        <v>0</v>
      </c>
      <c r="V196" s="317">
        <f t="shared" si="100"/>
        <v>0</v>
      </c>
      <c r="W196" s="317">
        <f t="shared" si="101"/>
        <v>0</v>
      </c>
      <c r="X196" s="317">
        <f t="shared" si="102"/>
        <v>0</v>
      </c>
      <c r="Y196" s="317">
        <f t="shared" si="103"/>
        <v>0</v>
      </c>
      <c r="Z196" s="317">
        <f t="shared" si="104"/>
        <v>0</v>
      </c>
      <c r="AA196" s="317">
        <f t="shared" si="105"/>
        <v>0</v>
      </c>
      <c r="AB196" s="317">
        <f t="shared" si="106"/>
        <v>0</v>
      </c>
      <c r="AC196" s="317">
        <f t="shared" si="107"/>
        <v>0</v>
      </c>
      <c r="AD196" s="317">
        <f t="shared" si="108"/>
        <v>0</v>
      </c>
      <c r="AE196" s="317">
        <f t="shared" si="109"/>
        <v>0</v>
      </c>
      <c r="AF196" s="317">
        <f t="shared" si="134"/>
        <v>0</v>
      </c>
      <c r="AG196" s="317">
        <f t="shared" si="135"/>
        <v>0</v>
      </c>
      <c r="AH196" s="317">
        <f t="shared" si="110"/>
        <v>0</v>
      </c>
      <c r="AI196" s="317">
        <f t="shared" si="111"/>
        <v>0</v>
      </c>
      <c r="AJ196" s="317">
        <f t="shared" si="112"/>
        <v>0</v>
      </c>
      <c r="AK196" s="317">
        <f t="shared" si="113"/>
        <v>0</v>
      </c>
      <c r="AL196" s="317">
        <f t="shared" si="114"/>
        <v>0</v>
      </c>
      <c r="AM196" s="317">
        <f t="shared" si="115"/>
        <v>0</v>
      </c>
      <c r="AN196" s="317">
        <f t="shared" si="116"/>
        <v>0</v>
      </c>
      <c r="AO196" s="317">
        <f t="shared" si="117"/>
        <v>0</v>
      </c>
      <c r="AP196" s="317">
        <f t="shared" si="118"/>
        <v>0</v>
      </c>
      <c r="AQ196" s="317">
        <f t="shared" si="119"/>
        <v>0</v>
      </c>
      <c r="AR196" s="317">
        <f t="shared" si="120"/>
        <v>0</v>
      </c>
      <c r="AS196" s="317">
        <f t="shared" si="121"/>
        <v>0</v>
      </c>
      <c r="AT196" s="317">
        <f t="shared" si="122"/>
        <v>0</v>
      </c>
      <c r="AU196" s="317">
        <f t="shared" si="123"/>
        <v>0</v>
      </c>
      <c r="AV196" s="317">
        <f t="shared" si="124"/>
        <v>0</v>
      </c>
      <c r="AW196" s="317">
        <f t="shared" si="125"/>
        <v>0</v>
      </c>
      <c r="AX196" s="317">
        <f t="shared" si="126"/>
        <v>0</v>
      </c>
      <c r="AY196" s="317">
        <f t="shared" si="127"/>
        <v>0</v>
      </c>
      <c r="AZ196" s="317">
        <f t="shared" si="128"/>
        <v>0</v>
      </c>
      <c r="BA196" s="317">
        <f t="shared" si="129"/>
        <v>0</v>
      </c>
    </row>
    <row r="197" spans="1:53" s="314" customFormat="1" ht="15.75" customHeight="1">
      <c r="A197" s="63" t="str">
        <f t="array" ref="A197">IF(C197&lt;&gt;0,SUM(($C$11:C197&lt;&gt;0)*1),"")</f>
        <v/>
      </c>
      <c r="B197" s="315"/>
      <c r="C197" s="315"/>
      <c r="D197" s="315"/>
      <c r="E197" s="433"/>
      <c r="F197" s="371"/>
      <c r="G197" s="373"/>
      <c r="H197" s="373"/>
      <c r="I197" s="63" t="str">
        <f t="shared" si="137"/>
        <v/>
      </c>
      <c r="J197" s="317">
        <f t="shared" si="92"/>
        <v>0</v>
      </c>
      <c r="K197" s="317">
        <f t="shared" si="93"/>
        <v>0</v>
      </c>
      <c r="L197" s="317">
        <f t="shared" si="94"/>
        <v>0</v>
      </c>
      <c r="M197" s="317">
        <f t="shared" si="95"/>
        <v>0</v>
      </c>
      <c r="N197" s="317">
        <f t="shared" si="130"/>
        <v>0</v>
      </c>
      <c r="O197" s="317">
        <f t="shared" si="131"/>
        <v>0</v>
      </c>
      <c r="P197" s="317">
        <f t="shared" si="96"/>
        <v>0</v>
      </c>
      <c r="Q197" s="317">
        <f t="shared" si="97"/>
        <v>0</v>
      </c>
      <c r="R197" s="317">
        <f t="shared" si="98"/>
        <v>0</v>
      </c>
      <c r="S197" s="317">
        <f t="shared" si="99"/>
        <v>0</v>
      </c>
      <c r="T197" s="317">
        <f t="shared" si="132"/>
        <v>0</v>
      </c>
      <c r="U197" s="317">
        <f t="shared" si="133"/>
        <v>0</v>
      </c>
      <c r="V197" s="317">
        <f t="shared" si="100"/>
        <v>0</v>
      </c>
      <c r="W197" s="317">
        <f t="shared" si="101"/>
        <v>0</v>
      </c>
      <c r="X197" s="317">
        <f t="shared" si="102"/>
        <v>0</v>
      </c>
      <c r="Y197" s="317">
        <f t="shared" si="103"/>
        <v>0</v>
      </c>
      <c r="Z197" s="317">
        <f t="shared" si="104"/>
        <v>0</v>
      </c>
      <c r="AA197" s="317">
        <f t="shared" si="105"/>
        <v>0</v>
      </c>
      <c r="AB197" s="317">
        <f t="shared" si="106"/>
        <v>0</v>
      </c>
      <c r="AC197" s="317">
        <f t="shared" si="107"/>
        <v>0</v>
      </c>
      <c r="AD197" s="317">
        <f t="shared" si="108"/>
        <v>0</v>
      </c>
      <c r="AE197" s="317">
        <f t="shared" si="109"/>
        <v>0</v>
      </c>
      <c r="AF197" s="317">
        <f t="shared" si="134"/>
        <v>0</v>
      </c>
      <c r="AG197" s="317">
        <f t="shared" si="135"/>
        <v>0</v>
      </c>
      <c r="AH197" s="317">
        <f t="shared" si="110"/>
        <v>0</v>
      </c>
      <c r="AI197" s="317">
        <f t="shared" si="111"/>
        <v>0</v>
      </c>
      <c r="AJ197" s="317">
        <f t="shared" si="112"/>
        <v>0</v>
      </c>
      <c r="AK197" s="317">
        <f t="shared" si="113"/>
        <v>0</v>
      </c>
      <c r="AL197" s="317">
        <f t="shared" si="114"/>
        <v>0</v>
      </c>
      <c r="AM197" s="317">
        <f t="shared" si="115"/>
        <v>0</v>
      </c>
      <c r="AN197" s="317">
        <f t="shared" si="116"/>
        <v>0</v>
      </c>
      <c r="AO197" s="317">
        <f t="shared" si="117"/>
        <v>0</v>
      </c>
      <c r="AP197" s="317">
        <f t="shared" si="118"/>
        <v>0</v>
      </c>
      <c r="AQ197" s="317">
        <f t="shared" si="119"/>
        <v>0</v>
      </c>
      <c r="AR197" s="317">
        <f t="shared" si="120"/>
        <v>0</v>
      </c>
      <c r="AS197" s="317">
        <f t="shared" si="121"/>
        <v>0</v>
      </c>
      <c r="AT197" s="317">
        <f t="shared" si="122"/>
        <v>0</v>
      </c>
      <c r="AU197" s="317">
        <f t="shared" si="123"/>
        <v>0</v>
      </c>
      <c r="AV197" s="317">
        <f t="shared" si="124"/>
        <v>0</v>
      </c>
      <c r="AW197" s="317">
        <f t="shared" si="125"/>
        <v>0</v>
      </c>
      <c r="AX197" s="317">
        <f t="shared" si="126"/>
        <v>0</v>
      </c>
      <c r="AY197" s="317">
        <f t="shared" si="127"/>
        <v>0</v>
      </c>
      <c r="AZ197" s="317">
        <f t="shared" si="128"/>
        <v>0</v>
      </c>
      <c r="BA197" s="317">
        <f t="shared" si="129"/>
        <v>0</v>
      </c>
    </row>
    <row r="198" spans="1:53" s="314" customFormat="1" ht="15.75" customHeight="1">
      <c r="A198" s="63" t="str">
        <f t="array" ref="A198">IF(C198&lt;&gt;0,SUM(($C$11:C198&lt;&gt;0)*1),"")</f>
        <v/>
      </c>
      <c r="B198" s="315"/>
      <c r="C198" s="315"/>
      <c r="D198" s="315"/>
      <c r="E198" s="433"/>
      <c r="F198" s="371"/>
      <c r="G198" s="373"/>
      <c r="H198" s="373"/>
      <c r="I198" s="63" t="str">
        <f t="shared" si="137"/>
        <v/>
      </c>
      <c r="J198" s="317">
        <f t="shared" si="92"/>
        <v>0</v>
      </c>
      <c r="K198" s="317">
        <f t="shared" si="93"/>
        <v>0</v>
      </c>
      <c r="L198" s="317">
        <f t="shared" si="94"/>
        <v>0</v>
      </c>
      <c r="M198" s="317">
        <f t="shared" si="95"/>
        <v>0</v>
      </c>
      <c r="N198" s="317">
        <f t="shared" si="130"/>
        <v>0</v>
      </c>
      <c r="O198" s="317">
        <f t="shared" si="131"/>
        <v>0</v>
      </c>
      <c r="P198" s="317">
        <f t="shared" si="96"/>
        <v>0</v>
      </c>
      <c r="Q198" s="317">
        <f t="shared" si="97"/>
        <v>0</v>
      </c>
      <c r="R198" s="317">
        <f t="shared" si="98"/>
        <v>0</v>
      </c>
      <c r="S198" s="317">
        <f t="shared" si="99"/>
        <v>0</v>
      </c>
      <c r="T198" s="317">
        <f t="shared" si="132"/>
        <v>0</v>
      </c>
      <c r="U198" s="317">
        <f t="shared" si="133"/>
        <v>0</v>
      </c>
      <c r="V198" s="317">
        <f t="shared" si="100"/>
        <v>0</v>
      </c>
      <c r="W198" s="317">
        <f t="shared" si="101"/>
        <v>0</v>
      </c>
      <c r="X198" s="317">
        <f t="shared" si="102"/>
        <v>0</v>
      </c>
      <c r="Y198" s="317">
        <f t="shared" si="103"/>
        <v>0</v>
      </c>
      <c r="Z198" s="317">
        <f t="shared" si="104"/>
        <v>0</v>
      </c>
      <c r="AA198" s="317">
        <f t="shared" si="105"/>
        <v>0</v>
      </c>
      <c r="AB198" s="317">
        <f t="shared" si="106"/>
        <v>0</v>
      </c>
      <c r="AC198" s="317">
        <f t="shared" si="107"/>
        <v>0</v>
      </c>
      <c r="AD198" s="317">
        <f t="shared" si="108"/>
        <v>0</v>
      </c>
      <c r="AE198" s="317">
        <f t="shared" si="109"/>
        <v>0</v>
      </c>
      <c r="AF198" s="317">
        <f t="shared" si="134"/>
        <v>0</v>
      </c>
      <c r="AG198" s="317">
        <f t="shared" si="135"/>
        <v>0</v>
      </c>
      <c r="AH198" s="317">
        <f t="shared" si="110"/>
        <v>0</v>
      </c>
      <c r="AI198" s="317">
        <f t="shared" si="111"/>
        <v>0</v>
      </c>
      <c r="AJ198" s="317">
        <f t="shared" si="112"/>
        <v>0</v>
      </c>
      <c r="AK198" s="317">
        <f t="shared" si="113"/>
        <v>0</v>
      </c>
      <c r="AL198" s="317">
        <f t="shared" si="114"/>
        <v>0</v>
      </c>
      <c r="AM198" s="317">
        <f t="shared" si="115"/>
        <v>0</v>
      </c>
      <c r="AN198" s="317">
        <f t="shared" si="116"/>
        <v>0</v>
      </c>
      <c r="AO198" s="317">
        <f t="shared" si="117"/>
        <v>0</v>
      </c>
      <c r="AP198" s="317">
        <f t="shared" si="118"/>
        <v>0</v>
      </c>
      <c r="AQ198" s="317">
        <f t="shared" si="119"/>
        <v>0</v>
      </c>
      <c r="AR198" s="317">
        <f t="shared" si="120"/>
        <v>0</v>
      </c>
      <c r="AS198" s="317">
        <f t="shared" si="121"/>
        <v>0</v>
      </c>
      <c r="AT198" s="317">
        <f t="shared" si="122"/>
        <v>0</v>
      </c>
      <c r="AU198" s="317">
        <f t="shared" si="123"/>
        <v>0</v>
      </c>
      <c r="AV198" s="317">
        <f t="shared" si="124"/>
        <v>0</v>
      </c>
      <c r="AW198" s="317">
        <f t="shared" si="125"/>
        <v>0</v>
      </c>
      <c r="AX198" s="317">
        <f t="shared" si="126"/>
        <v>0</v>
      </c>
      <c r="AY198" s="317">
        <f t="shared" si="127"/>
        <v>0</v>
      </c>
      <c r="AZ198" s="317">
        <f t="shared" si="128"/>
        <v>0</v>
      </c>
      <c r="BA198" s="317">
        <f t="shared" si="129"/>
        <v>0</v>
      </c>
    </row>
    <row r="199" spans="1:53" s="314" customFormat="1" ht="15.75" customHeight="1">
      <c r="A199" s="63" t="str">
        <f t="array" ref="A199">IF(C199&lt;&gt;0,SUM(($C$11:C199&lt;&gt;0)*1),"")</f>
        <v/>
      </c>
      <c r="B199" s="315"/>
      <c r="C199" s="315"/>
      <c r="D199" s="315"/>
      <c r="E199" s="433"/>
      <c r="F199" s="371"/>
      <c r="G199" s="373"/>
      <c r="H199" s="373"/>
      <c r="I199" s="63" t="str">
        <f t="shared" si="137"/>
        <v/>
      </c>
      <c r="J199" s="317">
        <f t="shared" si="92"/>
        <v>0</v>
      </c>
      <c r="K199" s="317">
        <f t="shared" si="93"/>
        <v>0</v>
      </c>
      <c r="L199" s="317">
        <f t="shared" si="94"/>
        <v>0</v>
      </c>
      <c r="M199" s="317">
        <f t="shared" si="95"/>
        <v>0</v>
      </c>
      <c r="N199" s="317">
        <f t="shared" si="130"/>
        <v>0</v>
      </c>
      <c r="O199" s="317">
        <f t="shared" si="131"/>
        <v>0</v>
      </c>
      <c r="P199" s="317">
        <f t="shared" si="96"/>
        <v>0</v>
      </c>
      <c r="Q199" s="317">
        <f t="shared" si="97"/>
        <v>0</v>
      </c>
      <c r="R199" s="317">
        <f t="shared" si="98"/>
        <v>0</v>
      </c>
      <c r="S199" s="317">
        <f t="shared" si="99"/>
        <v>0</v>
      </c>
      <c r="T199" s="317">
        <f t="shared" si="132"/>
        <v>0</v>
      </c>
      <c r="U199" s="317">
        <f t="shared" si="133"/>
        <v>0</v>
      </c>
      <c r="V199" s="317">
        <f t="shared" si="100"/>
        <v>0</v>
      </c>
      <c r="W199" s="317">
        <f t="shared" si="101"/>
        <v>0</v>
      </c>
      <c r="X199" s="317">
        <f t="shared" si="102"/>
        <v>0</v>
      </c>
      <c r="Y199" s="317">
        <f t="shared" si="103"/>
        <v>0</v>
      </c>
      <c r="Z199" s="317">
        <f t="shared" si="104"/>
        <v>0</v>
      </c>
      <c r="AA199" s="317">
        <f t="shared" si="105"/>
        <v>0</v>
      </c>
      <c r="AB199" s="317">
        <f t="shared" si="106"/>
        <v>0</v>
      </c>
      <c r="AC199" s="317">
        <f t="shared" si="107"/>
        <v>0</v>
      </c>
      <c r="AD199" s="317">
        <f t="shared" si="108"/>
        <v>0</v>
      </c>
      <c r="AE199" s="317">
        <f t="shared" si="109"/>
        <v>0</v>
      </c>
      <c r="AF199" s="317">
        <f t="shared" si="134"/>
        <v>0</v>
      </c>
      <c r="AG199" s="317">
        <f t="shared" si="135"/>
        <v>0</v>
      </c>
      <c r="AH199" s="317">
        <f t="shared" si="110"/>
        <v>0</v>
      </c>
      <c r="AI199" s="317">
        <f t="shared" si="111"/>
        <v>0</v>
      </c>
      <c r="AJ199" s="317">
        <f t="shared" si="112"/>
        <v>0</v>
      </c>
      <c r="AK199" s="317">
        <f t="shared" si="113"/>
        <v>0</v>
      </c>
      <c r="AL199" s="317">
        <f t="shared" si="114"/>
        <v>0</v>
      </c>
      <c r="AM199" s="317">
        <f t="shared" si="115"/>
        <v>0</v>
      </c>
      <c r="AN199" s="317">
        <f t="shared" si="116"/>
        <v>0</v>
      </c>
      <c r="AO199" s="317">
        <f t="shared" si="117"/>
        <v>0</v>
      </c>
      <c r="AP199" s="317">
        <f t="shared" si="118"/>
        <v>0</v>
      </c>
      <c r="AQ199" s="317">
        <f t="shared" si="119"/>
        <v>0</v>
      </c>
      <c r="AR199" s="317">
        <f t="shared" si="120"/>
        <v>0</v>
      </c>
      <c r="AS199" s="317">
        <f t="shared" si="121"/>
        <v>0</v>
      </c>
      <c r="AT199" s="317">
        <f t="shared" si="122"/>
        <v>0</v>
      </c>
      <c r="AU199" s="317">
        <f t="shared" si="123"/>
        <v>0</v>
      </c>
      <c r="AV199" s="317">
        <f t="shared" si="124"/>
        <v>0</v>
      </c>
      <c r="AW199" s="317">
        <f t="shared" si="125"/>
        <v>0</v>
      </c>
      <c r="AX199" s="317">
        <f t="shared" si="126"/>
        <v>0</v>
      </c>
      <c r="AY199" s="317">
        <f t="shared" si="127"/>
        <v>0</v>
      </c>
      <c r="AZ199" s="317">
        <f t="shared" si="128"/>
        <v>0</v>
      </c>
      <c r="BA199" s="317">
        <f t="shared" si="129"/>
        <v>0</v>
      </c>
    </row>
    <row r="200" spans="1:53" s="314" customFormat="1" ht="15.75" customHeight="1">
      <c r="A200" s="63" t="str">
        <f t="array" ref="A200">IF(C200&lt;&gt;0,SUM(($C$11:C200&lt;&gt;0)*1),"")</f>
        <v/>
      </c>
      <c r="B200" s="315"/>
      <c r="C200" s="315"/>
      <c r="D200" s="315"/>
      <c r="E200" s="433"/>
      <c r="F200" s="371"/>
      <c r="G200" s="373"/>
      <c r="H200" s="373"/>
      <c r="I200" s="63" t="str">
        <f t="shared" si="137"/>
        <v/>
      </c>
      <c r="J200" s="317">
        <f t="shared" si="92"/>
        <v>0</v>
      </c>
      <c r="K200" s="317">
        <f t="shared" si="93"/>
        <v>0</v>
      </c>
      <c r="L200" s="317">
        <f t="shared" si="94"/>
        <v>0</v>
      </c>
      <c r="M200" s="317">
        <f t="shared" si="95"/>
        <v>0</v>
      </c>
      <c r="N200" s="317">
        <f t="shared" si="130"/>
        <v>0</v>
      </c>
      <c r="O200" s="317">
        <f t="shared" si="131"/>
        <v>0</v>
      </c>
      <c r="P200" s="317">
        <f t="shared" si="96"/>
        <v>0</v>
      </c>
      <c r="Q200" s="317">
        <f t="shared" si="97"/>
        <v>0</v>
      </c>
      <c r="R200" s="317">
        <f t="shared" si="98"/>
        <v>0</v>
      </c>
      <c r="S200" s="317">
        <f t="shared" si="99"/>
        <v>0</v>
      </c>
      <c r="T200" s="317">
        <f t="shared" si="132"/>
        <v>0</v>
      </c>
      <c r="U200" s="317">
        <f t="shared" si="133"/>
        <v>0</v>
      </c>
      <c r="V200" s="317">
        <f t="shared" si="100"/>
        <v>0</v>
      </c>
      <c r="W200" s="317">
        <f t="shared" si="101"/>
        <v>0</v>
      </c>
      <c r="X200" s="317">
        <f t="shared" si="102"/>
        <v>0</v>
      </c>
      <c r="Y200" s="317">
        <f t="shared" si="103"/>
        <v>0</v>
      </c>
      <c r="Z200" s="317">
        <f t="shared" si="104"/>
        <v>0</v>
      </c>
      <c r="AA200" s="317">
        <f t="shared" si="105"/>
        <v>0</v>
      </c>
      <c r="AB200" s="317">
        <f t="shared" si="106"/>
        <v>0</v>
      </c>
      <c r="AC200" s="317">
        <f t="shared" si="107"/>
        <v>0</v>
      </c>
      <c r="AD200" s="317">
        <f t="shared" si="108"/>
        <v>0</v>
      </c>
      <c r="AE200" s="317">
        <f t="shared" si="109"/>
        <v>0</v>
      </c>
      <c r="AF200" s="317">
        <f t="shared" si="134"/>
        <v>0</v>
      </c>
      <c r="AG200" s="317">
        <f t="shared" si="135"/>
        <v>0</v>
      </c>
      <c r="AH200" s="317">
        <f t="shared" si="110"/>
        <v>0</v>
      </c>
      <c r="AI200" s="317">
        <f t="shared" si="111"/>
        <v>0</v>
      </c>
      <c r="AJ200" s="317">
        <f t="shared" si="112"/>
        <v>0</v>
      </c>
      <c r="AK200" s="317">
        <f t="shared" si="113"/>
        <v>0</v>
      </c>
      <c r="AL200" s="317">
        <f t="shared" si="114"/>
        <v>0</v>
      </c>
      <c r="AM200" s="317">
        <f t="shared" si="115"/>
        <v>0</v>
      </c>
      <c r="AN200" s="317">
        <f t="shared" si="116"/>
        <v>0</v>
      </c>
      <c r="AO200" s="317">
        <f t="shared" si="117"/>
        <v>0</v>
      </c>
      <c r="AP200" s="317">
        <f t="shared" si="118"/>
        <v>0</v>
      </c>
      <c r="AQ200" s="317">
        <f t="shared" si="119"/>
        <v>0</v>
      </c>
      <c r="AR200" s="317">
        <f t="shared" si="120"/>
        <v>0</v>
      </c>
      <c r="AS200" s="317">
        <f t="shared" si="121"/>
        <v>0</v>
      </c>
      <c r="AT200" s="317">
        <f t="shared" si="122"/>
        <v>0</v>
      </c>
      <c r="AU200" s="317">
        <f t="shared" si="123"/>
        <v>0</v>
      </c>
      <c r="AV200" s="317">
        <f t="shared" si="124"/>
        <v>0</v>
      </c>
      <c r="AW200" s="317">
        <f t="shared" si="125"/>
        <v>0</v>
      </c>
      <c r="AX200" s="317">
        <f t="shared" si="126"/>
        <v>0</v>
      </c>
      <c r="AY200" s="317">
        <f t="shared" si="127"/>
        <v>0</v>
      </c>
      <c r="AZ200" s="317">
        <f t="shared" si="128"/>
        <v>0</v>
      </c>
      <c r="BA200" s="317">
        <f t="shared" si="129"/>
        <v>0</v>
      </c>
    </row>
    <row r="201" spans="1:53" s="314" customFormat="1" ht="15.75" customHeight="1">
      <c r="A201" s="63" t="str">
        <f t="array" ref="A201">IF(C201&lt;&gt;0,SUM(($C$11:C201&lt;&gt;0)*1),"")</f>
        <v/>
      </c>
      <c r="B201" s="315"/>
      <c r="C201" s="315"/>
      <c r="D201" s="315"/>
      <c r="E201" s="433"/>
      <c r="F201" s="371"/>
      <c r="G201" s="373"/>
      <c r="H201" s="373"/>
      <c r="I201" s="63" t="str">
        <f t="shared" si="137"/>
        <v/>
      </c>
      <c r="J201" s="317">
        <f t="shared" si="92"/>
        <v>0</v>
      </c>
      <c r="K201" s="317">
        <f t="shared" si="93"/>
        <v>0</v>
      </c>
      <c r="L201" s="317">
        <f t="shared" si="94"/>
        <v>0</v>
      </c>
      <c r="M201" s="317">
        <f t="shared" si="95"/>
        <v>0</v>
      </c>
      <c r="N201" s="317">
        <f t="shared" si="130"/>
        <v>0</v>
      </c>
      <c r="O201" s="317">
        <f t="shared" si="131"/>
        <v>0</v>
      </c>
      <c r="P201" s="317">
        <f t="shared" si="96"/>
        <v>0</v>
      </c>
      <c r="Q201" s="317">
        <f t="shared" si="97"/>
        <v>0</v>
      </c>
      <c r="R201" s="317">
        <f t="shared" si="98"/>
        <v>0</v>
      </c>
      <c r="S201" s="317">
        <f t="shared" si="99"/>
        <v>0</v>
      </c>
      <c r="T201" s="317">
        <f t="shared" si="132"/>
        <v>0</v>
      </c>
      <c r="U201" s="317">
        <f t="shared" si="133"/>
        <v>0</v>
      </c>
      <c r="V201" s="317">
        <f t="shared" si="100"/>
        <v>0</v>
      </c>
      <c r="W201" s="317">
        <f t="shared" si="101"/>
        <v>0</v>
      </c>
      <c r="X201" s="317">
        <f t="shared" si="102"/>
        <v>0</v>
      </c>
      <c r="Y201" s="317">
        <f t="shared" si="103"/>
        <v>0</v>
      </c>
      <c r="Z201" s="317">
        <f t="shared" si="104"/>
        <v>0</v>
      </c>
      <c r="AA201" s="317">
        <f t="shared" si="105"/>
        <v>0</v>
      </c>
      <c r="AB201" s="317">
        <f t="shared" si="106"/>
        <v>0</v>
      </c>
      <c r="AC201" s="317">
        <f t="shared" si="107"/>
        <v>0</v>
      </c>
      <c r="AD201" s="317">
        <f t="shared" si="108"/>
        <v>0</v>
      </c>
      <c r="AE201" s="317">
        <f t="shared" si="109"/>
        <v>0</v>
      </c>
      <c r="AF201" s="317">
        <f t="shared" si="134"/>
        <v>0</v>
      </c>
      <c r="AG201" s="317">
        <f t="shared" si="135"/>
        <v>0</v>
      </c>
      <c r="AH201" s="317">
        <f t="shared" si="110"/>
        <v>0</v>
      </c>
      <c r="AI201" s="317">
        <f t="shared" si="111"/>
        <v>0</v>
      </c>
      <c r="AJ201" s="317">
        <f t="shared" si="112"/>
        <v>0</v>
      </c>
      <c r="AK201" s="317">
        <f t="shared" si="113"/>
        <v>0</v>
      </c>
      <c r="AL201" s="317">
        <f t="shared" si="114"/>
        <v>0</v>
      </c>
      <c r="AM201" s="317">
        <f t="shared" si="115"/>
        <v>0</v>
      </c>
      <c r="AN201" s="317">
        <f t="shared" si="116"/>
        <v>0</v>
      </c>
      <c r="AO201" s="317">
        <f t="shared" si="117"/>
        <v>0</v>
      </c>
      <c r="AP201" s="317">
        <f t="shared" si="118"/>
        <v>0</v>
      </c>
      <c r="AQ201" s="317">
        <f t="shared" si="119"/>
        <v>0</v>
      </c>
      <c r="AR201" s="317">
        <f t="shared" si="120"/>
        <v>0</v>
      </c>
      <c r="AS201" s="317">
        <f t="shared" si="121"/>
        <v>0</v>
      </c>
      <c r="AT201" s="317">
        <f t="shared" si="122"/>
        <v>0</v>
      </c>
      <c r="AU201" s="317">
        <f t="shared" si="123"/>
        <v>0</v>
      </c>
      <c r="AV201" s="317">
        <f t="shared" si="124"/>
        <v>0</v>
      </c>
      <c r="AW201" s="317">
        <f t="shared" si="125"/>
        <v>0</v>
      </c>
      <c r="AX201" s="317">
        <f t="shared" si="126"/>
        <v>0</v>
      </c>
      <c r="AY201" s="317">
        <f t="shared" si="127"/>
        <v>0</v>
      </c>
      <c r="AZ201" s="317">
        <f t="shared" si="128"/>
        <v>0</v>
      </c>
      <c r="BA201" s="317">
        <f t="shared" si="129"/>
        <v>0</v>
      </c>
    </row>
    <row r="202" spans="1:53" s="314" customFormat="1" ht="15.75" customHeight="1">
      <c r="A202" s="63" t="str">
        <f t="array" ref="A202">IF(C202&lt;&gt;0,SUM(($C$11:C202&lt;&gt;0)*1),"")</f>
        <v/>
      </c>
      <c r="B202" s="315"/>
      <c r="C202" s="315"/>
      <c r="D202" s="315"/>
      <c r="E202" s="433"/>
      <c r="F202" s="371"/>
      <c r="G202" s="373"/>
      <c r="H202" s="373"/>
      <c r="I202" s="63" t="str">
        <f t="shared" si="137"/>
        <v/>
      </c>
      <c r="J202" s="317">
        <f t="shared" si="92"/>
        <v>0</v>
      </c>
      <c r="K202" s="317">
        <f t="shared" si="93"/>
        <v>0</v>
      </c>
      <c r="L202" s="317">
        <f t="shared" si="94"/>
        <v>0</v>
      </c>
      <c r="M202" s="317">
        <f t="shared" si="95"/>
        <v>0</v>
      </c>
      <c r="N202" s="317">
        <f t="shared" si="130"/>
        <v>0</v>
      </c>
      <c r="O202" s="317">
        <f t="shared" si="131"/>
        <v>0</v>
      </c>
      <c r="P202" s="317">
        <f t="shared" si="96"/>
        <v>0</v>
      </c>
      <c r="Q202" s="317">
        <f t="shared" si="97"/>
        <v>0</v>
      </c>
      <c r="R202" s="317">
        <f t="shared" si="98"/>
        <v>0</v>
      </c>
      <c r="S202" s="317">
        <f t="shared" si="99"/>
        <v>0</v>
      </c>
      <c r="T202" s="317">
        <f t="shared" si="132"/>
        <v>0</v>
      </c>
      <c r="U202" s="317">
        <f t="shared" si="133"/>
        <v>0</v>
      </c>
      <c r="V202" s="317">
        <f t="shared" si="100"/>
        <v>0</v>
      </c>
      <c r="W202" s="317">
        <f t="shared" si="101"/>
        <v>0</v>
      </c>
      <c r="X202" s="317">
        <f t="shared" si="102"/>
        <v>0</v>
      </c>
      <c r="Y202" s="317">
        <f t="shared" si="103"/>
        <v>0</v>
      </c>
      <c r="Z202" s="317">
        <f t="shared" si="104"/>
        <v>0</v>
      </c>
      <c r="AA202" s="317">
        <f t="shared" si="105"/>
        <v>0</v>
      </c>
      <c r="AB202" s="317">
        <f t="shared" si="106"/>
        <v>0</v>
      </c>
      <c r="AC202" s="317">
        <f t="shared" si="107"/>
        <v>0</v>
      </c>
      <c r="AD202" s="317">
        <f t="shared" si="108"/>
        <v>0</v>
      </c>
      <c r="AE202" s="317">
        <f t="shared" si="109"/>
        <v>0</v>
      </c>
      <c r="AF202" s="317">
        <f t="shared" si="134"/>
        <v>0</v>
      </c>
      <c r="AG202" s="317">
        <f t="shared" si="135"/>
        <v>0</v>
      </c>
      <c r="AH202" s="317">
        <f t="shared" si="110"/>
        <v>0</v>
      </c>
      <c r="AI202" s="317">
        <f t="shared" si="111"/>
        <v>0</v>
      </c>
      <c r="AJ202" s="317">
        <f t="shared" si="112"/>
        <v>0</v>
      </c>
      <c r="AK202" s="317">
        <f t="shared" si="113"/>
        <v>0</v>
      </c>
      <c r="AL202" s="317">
        <f t="shared" si="114"/>
        <v>0</v>
      </c>
      <c r="AM202" s="317">
        <f t="shared" si="115"/>
        <v>0</v>
      </c>
      <c r="AN202" s="317">
        <f t="shared" si="116"/>
        <v>0</v>
      </c>
      <c r="AO202" s="317">
        <f t="shared" si="117"/>
        <v>0</v>
      </c>
      <c r="AP202" s="317">
        <f t="shared" si="118"/>
        <v>0</v>
      </c>
      <c r="AQ202" s="317">
        <f t="shared" si="119"/>
        <v>0</v>
      </c>
      <c r="AR202" s="317">
        <f t="shared" si="120"/>
        <v>0</v>
      </c>
      <c r="AS202" s="317">
        <f t="shared" si="121"/>
        <v>0</v>
      </c>
      <c r="AT202" s="317">
        <f t="shared" si="122"/>
        <v>0</v>
      </c>
      <c r="AU202" s="317">
        <f t="shared" si="123"/>
        <v>0</v>
      </c>
      <c r="AV202" s="317">
        <f t="shared" si="124"/>
        <v>0</v>
      </c>
      <c r="AW202" s="317">
        <f t="shared" si="125"/>
        <v>0</v>
      </c>
      <c r="AX202" s="317">
        <f t="shared" si="126"/>
        <v>0</v>
      </c>
      <c r="AY202" s="317">
        <f t="shared" si="127"/>
        <v>0</v>
      </c>
      <c r="AZ202" s="317">
        <f t="shared" si="128"/>
        <v>0</v>
      </c>
      <c r="BA202" s="317">
        <f t="shared" si="129"/>
        <v>0</v>
      </c>
    </row>
    <row r="203" spans="1:53" s="314" customFormat="1" ht="15.75" customHeight="1">
      <c r="A203" s="63" t="str">
        <f t="array" ref="A203">IF(C203&lt;&gt;0,SUM(($C$11:C203&lt;&gt;0)*1),"")</f>
        <v/>
      </c>
      <c r="B203" s="315"/>
      <c r="C203" s="315"/>
      <c r="D203" s="315"/>
      <c r="E203" s="433"/>
      <c r="F203" s="371"/>
      <c r="G203" s="373"/>
      <c r="H203" s="373"/>
      <c r="I203" s="63" t="str">
        <f t="shared" si="137"/>
        <v/>
      </c>
      <c r="J203" s="317">
        <f t="shared" ref="J203:J242" si="138">IF($G203="1111",$F203,0)</f>
        <v>0</v>
      </c>
      <c r="K203" s="317">
        <f t="shared" ref="K203:K242" si="139">IF($H203="1111",$F203,0)</f>
        <v>0</v>
      </c>
      <c r="L203" s="317">
        <f t="shared" ref="L203:L242" si="140">IF($G203="1121",$F203,0)</f>
        <v>0</v>
      </c>
      <c r="M203" s="317">
        <f t="shared" ref="M203:M242" si="141">IF($H203="1121",$F203,0)</f>
        <v>0</v>
      </c>
      <c r="N203" s="317">
        <f t="shared" si="130"/>
        <v>0</v>
      </c>
      <c r="O203" s="317">
        <f t="shared" si="131"/>
        <v>0</v>
      </c>
      <c r="P203" s="317">
        <f t="shared" ref="P203:P242" si="142">IF($G203="1331",$F203,0)</f>
        <v>0</v>
      </c>
      <c r="Q203" s="317">
        <f t="shared" ref="Q203:Q242" si="143">IF($H203="1331",$F203,0)</f>
        <v>0</v>
      </c>
      <c r="R203" s="317">
        <f t="shared" ref="R203:R242" si="144">IF($G203="1388",$F203,0)</f>
        <v>0</v>
      </c>
      <c r="S203" s="317">
        <f t="shared" ref="S203:S242" si="145">IF($H203="1388",$F203,0)</f>
        <v>0</v>
      </c>
      <c r="T203" s="317">
        <f t="shared" si="132"/>
        <v>0</v>
      </c>
      <c r="U203" s="317">
        <f t="shared" si="133"/>
        <v>0</v>
      </c>
      <c r="V203" s="317">
        <f t="shared" ref="V203:V242" si="146">IF($G203="331",$F203,0)</f>
        <v>0</v>
      </c>
      <c r="W203" s="317">
        <f t="shared" ref="W203:W242" si="147">IF($H203="331",$F203,0)</f>
        <v>0</v>
      </c>
      <c r="X203" s="317">
        <f t="shared" ref="X203:X242" si="148">IF($G203="3334",$F203,0)</f>
        <v>0</v>
      </c>
      <c r="Y203" s="317">
        <f t="shared" ref="Y203:Y242" si="149">IF($H203="3334",$F203,0)</f>
        <v>0</v>
      </c>
      <c r="Z203" s="317">
        <f t="shared" ref="Z203:Z242" si="150">IF($G203="33382",$F203,0)</f>
        <v>0</v>
      </c>
      <c r="AA203" s="317">
        <f t="shared" ref="AA203:AA242" si="151">IF($H203="33382",$F203,0)</f>
        <v>0</v>
      </c>
      <c r="AB203" s="317">
        <f t="shared" ref="AB203:AB242" si="152">IF($G203="3388",$F203,0)</f>
        <v>0</v>
      </c>
      <c r="AC203" s="317">
        <f t="shared" ref="AC203:AC242" si="153">IF($H203="3388",$F203,0)</f>
        <v>0</v>
      </c>
      <c r="AD203" s="317">
        <f t="shared" ref="AD203:AD242" si="154">IF($G203="3411",$F203,0)</f>
        <v>0</v>
      </c>
      <c r="AE203" s="317">
        <f t="shared" ref="AE203:AE242" si="155">IF($H203="3411",$F203,0)</f>
        <v>0</v>
      </c>
      <c r="AF203" s="317">
        <f t="shared" si="134"/>
        <v>0</v>
      </c>
      <c r="AG203" s="317">
        <f t="shared" si="135"/>
        <v>0</v>
      </c>
      <c r="AH203" s="317">
        <f t="shared" ref="AH203:AH242" si="156">IF($G203="4111",$F203,0)</f>
        <v>0</v>
      </c>
      <c r="AI203" s="317">
        <f t="shared" ref="AI203:AI242" si="157">IF($H203="4111",$F203,0)</f>
        <v>0</v>
      </c>
      <c r="AJ203" s="317">
        <f t="shared" ref="AJ203:AJ242" si="158">IF($G203="4211",$F203,0)</f>
        <v>0</v>
      </c>
      <c r="AK203" s="317">
        <f t="shared" ref="AK203:AK242" si="159">IF($H203="4211",$F203,0)</f>
        <v>0</v>
      </c>
      <c r="AL203" s="317">
        <f t="shared" ref="AL203:AL242" si="160">IF($G203="4212",$F203,0)</f>
        <v>0</v>
      </c>
      <c r="AM203" s="317">
        <f t="shared" ref="AM203:AM242" si="161">IF($H203="4212",$F203,0)</f>
        <v>0</v>
      </c>
      <c r="AN203" s="317">
        <f t="shared" ref="AN203:AN242" si="162">IF($G203="515",$F203,0)</f>
        <v>0</v>
      </c>
      <c r="AO203" s="317">
        <f t="shared" ref="AO203:AO242" si="163">IF($H203="515",$F203,0)</f>
        <v>0</v>
      </c>
      <c r="AP203" s="317">
        <f t="shared" ref="AP203:AP242" si="164">IF($G203="635",$F203,0)</f>
        <v>0</v>
      </c>
      <c r="AQ203" s="317">
        <f t="shared" ref="AQ203:AQ242" si="165">IF($H203="635",$F203,0)</f>
        <v>0</v>
      </c>
      <c r="AR203" s="317">
        <f t="shared" ref="AR203:AR242" si="166">IF($G203="642",$F203,0)</f>
        <v>0</v>
      </c>
      <c r="AS203" s="317">
        <f t="shared" ref="AS203:AS242" si="167">IF($H203="642",$F203,0)</f>
        <v>0</v>
      </c>
      <c r="AT203" s="317">
        <f t="shared" ref="AT203:AT242" si="168">IF($G203="711",$F203,0)</f>
        <v>0</v>
      </c>
      <c r="AU203" s="317">
        <f t="shared" ref="AU203:AU242" si="169">IF($H203="711",$F203,0)</f>
        <v>0</v>
      </c>
      <c r="AV203" s="317">
        <f t="shared" ref="AV203:AV242" si="170">IF($G203="811",$F203,0)</f>
        <v>0</v>
      </c>
      <c r="AW203" s="317">
        <f t="shared" ref="AW203:AW242" si="171">IF($H203="811",$F203,0)</f>
        <v>0</v>
      </c>
      <c r="AX203" s="317">
        <f t="shared" ref="AX203:AX242" si="172">IF($G203="821",$F203,0)</f>
        <v>0</v>
      </c>
      <c r="AY203" s="317">
        <f t="shared" ref="AY203:AY242" si="173">IF($H203="821",$F203,0)</f>
        <v>0</v>
      </c>
      <c r="AZ203" s="317">
        <f t="shared" ref="AZ203:AZ242" si="174">IF($G203="911",$F203,0)</f>
        <v>0</v>
      </c>
      <c r="BA203" s="317">
        <f t="shared" ref="BA203:BA242" si="175">IF($H203="911",$F203,0)</f>
        <v>0</v>
      </c>
    </row>
    <row r="204" spans="1:53" s="314" customFormat="1" ht="15.75" customHeight="1">
      <c r="A204" s="63" t="str">
        <f t="array" ref="A204">IF(C204&lt;&gt;0,SUM(($C$11:C204&lt;&gt;0)*1),"")</f>
        <v/>
      </c>
      <c r="B204" s="315"/>
      <c r="C204" s="315"/>
      <c r="D204" s="315"/>
      <c r="E204" s="433"/>
      <c r="F204" s="371"/>
      <c r="G204" s="373"/>
      <c r="H204" s="373"/>
      <c r="I204" s="63" t="str">
        <f t="shared" si="137"/>
        <v/>
      </c>
      <c r="J204" s="317">
        <f t="shared" si="138"/>
        <v>0</v>
      </c>
      <c r="K204" s="317">
        <f t="shared" si="139"/>
        <v>0</v>
      </c>
      <c r="L204" s="317">
        <f t="shared" si="140"/>
        <v>0</v>
      </c>
      <c r="M204" s="317">
        <f t="shared" si="141"/>
        <v>0</v>
      </c>
      <c r="N204" s="317">
        <f t="shared" ref="N204:N242" si="176">IF($G204="1122",$F204,0)</f>
        <v>0</v>
      </c>
      <c r="O204" s="317">
        <f t="shared" ref="O204:O242" si="177">IF($H204="1122",$F204,0)</f>
        <v>0</v>
      </c>
      <c r="P204" s="317">
        <f t="shared" si="142"/>
        <v>0</v>
      </c>
      <c r="Q204" s="317">
        <f t="shared" si="143"/>
        <v>0</v>
      </c>
      <c r="R204" s="317">
        <f t="shared" si="144"/>
        <v>0</v>
      </c>
      <c r="S204" s="317">
        <f t="shared" si="145"/>
        <v>0</v>
      </c>
      <c r="T204" s="317">
        <f t="shared" ref="T204:T242" si="178">IF($G204="2412",$F204,0)</f>
        <v>0</v>
      </c>
      <c r="U204" s="317">
        <f t="shared" ref="U204:U242" si="179">IF($H204="2412",$F204,0)</f>
        <v>0</v>
      </c>
      <c r="V204" s="317">
        <f t="shared" si="146"/>
        <v>0</v>
      </c>
      <c r="W204" s="317">
        <f t="shared" si="147"/>
        <v>0</v>
      </c>
      <c r="X204" s="317">
        <f t="shared" si="148"/>
        <v>0</v>
      </c>
      <c r="Y204" s="317">
        <f t="shared" si="149"/>
        <v>0</v>
      </c>
      <c r="Z204" s="317">
        <f t="shared" si="150"/>
        <v>0</v>
      </c>
      <c r="AA204" s="317">
        <f t="shared" si="151"/>
        <v>0</v>
      </c>
      <c r="AB204" s="317">
        <f t="shared" si="152"/>
        <v>0</v>
      </c>
      <c r="AC204" s="317">
        <f t="shared" si="153"/>
        <v>0</v>
      </c>
      <c r="AD204" s="317">
        <f t="shared" si="154"/>
        <v>0</v>
      </c>
      <c r="AE204" s="317">
        <f t="shared" si="155"/>
        <v>0</v>
      </c>
      <c r="AF204" s="317">
        <f t="shared" ref="AF204:AF242" si="180">IF($G204="3412",$F204,0)</f>
        <v>0</v>
      </c>
      <c r="AG204" s="317">
        <f t="shared" ref="AG204:AG242" si="181">IF($H204="3412",$F204,0)</f>
        <v>0</v>
      </c>
      <c r="AH204" s="317">
        <f t="shared" si="156"/>
        <v>0</v>
      </c>
      <c r="AI204" s="317">
        <f t="shared" si="157"/>
        <v>0</v>
      </c>
      <c r="AJ204" s="317">
        <f t="shared" si="158"/>
        <v>0</v>
      </c>
      <c r="AK204" s="317">
        <f t="shared" si="159"/>
        <v>0</v>
      </c>
      <c r="AL204" s="317">
        <f t="shared" si="160"/>
        <v>0</v>
      </c>
      <c r="AM204" s="317">
        <f t="shared" si="161"/>
        <v>0</v>
      </c>
      <c r="AN204" s="317">
        <f t="shared" si="162"/>
        <v>0</v>
      </c>
      <c r="AO204" s="317">
        <f t="shared" si="163"/>
        <v>0</v>
      </c>
      <c r="AP204" s="317">
        <f t="shared" si="164"/>
        <v>0</v>
      </c>
      <c r="AQ204" s="317">
        <f t="shared" si="165"/>
        <v>0</v>
      </c>
      <c r="AR204" s="317">
        <f t="shared" si="166"/>
        <v>0</v>
      </c>
      <c r="AS204" s="317">
        <f t="shared" si="167"/>
        <v>0</v>
      </c>
      <c r="AT204" s="317">
        <f t="shared" si="168"/>
        <v>0</v>
      </c>
      <c r="AU204" s="317">
        <f t="shared" si="169"/>
        <v>0</v>
      </c>
      <c r="AV204" s="317">
        <f t="shared" si="170"/>
        <v>0</v>
      </c>
      <c r="AW204" s="317">
        <f t="shared" si="171"/>
        <v>0</v>
      </c>
      <c r="AX204" s="317">
        <f t="shared" si="172"/>
        <v>0</v>
      </c>
      <c r="AY204" s="317">
        <f t="shared" si="173"/>
        <v>0</v>
      </c>
      <c r="AZ204" s="317">
        <f t="shared" si="174"/>
        <v>0</v>
      </c>
      <c r="BA204" s="317">
        <f t="shared" si="175"/>
        <v>0</v>
      </c>
    </row>
    <row r="205" spans="1:53" s="314" customFormat="1" ht="15.75" customHeight="1">
      <c r="A205" s="63" t="str">
        <f t="array" ref="A205">IF(C205&lt;&gt;0,SUM(($C$11:C205&lt;&gt;0)*1),"")</f>
        <v/>
      </c>
      <c r="B205" s="315"/>
      <c r="C205" s="315"/>
      <c r="D205" s="315"/>
      <c r="E205" s="433"/>
      <c r="F205" s="371"/>
      <c r="G205" s="373"/>
      <c r="H205" s="373"/>
      <c r="I205" s="63" t="str">
        <f t="shared" si="137"/>
        <v/>
      </c>
      <c r="J205" s="317">
        <f t="shared" si="138"/>
        <v>0</v>
      </c>
      <c r="K205" s="317">
        <f t="shared" si="139"/>
        <v>0</v>
      </c>
      <c r="L205" s="317">
        <f t="shared" si="140"/>
        <v>0</v>
      </c>
      <c r="M205" s="317">
        <f t="shared" si="141"/>
        <v>0</v>
      </c>
      <c r="N205" s="317">
        <f t="shared" si="176"/>
        <v>0</v>
      </c>
      <c r="O205" s="317">
        <f t="shared" si="177"/>
        <v>0</v>
      </c>
      <c r="P205" s="317">
        <f t="shared" si="142"/>
        <v>0</v>
      </c>
      <c r="Q205" s="317">
        <f t="shared" si="143"/>
        <v>0</v>
      </c>
      <c r="R205" s="317">
        <f t="shared" si="144"/>
        <v>0</v>
      </c>
      <c r="S205" s="317">
        <f t="shared" si="145"/>
        <v>0</v>
      </c>
      <c r="T205" s="317">
        <f t="shared" si="178"/>
        <v>0</v>
      </c>
      <c r="U205" s="317">
        <f t="shared" si="179"/>
        <v>0</v>
      </c>
      <c r="V205" s="317">
        <f t="shared" si="146"/>
        <v>0</v>
      </c>
      <c r="W205" s="317">
        <f t="shared" si="147"/>
        <v>0</v>
      </c>
      <c r="X205" s="317">
        <f t="shared" si="148"/>
        <v>0</v>
      </c>
      <c r="Y205" s="317">
        <f t="shared" si="149"/>
        <v>0</v>
      </c>
      <c r="Z205" s="317">
        <f t="shared" si="150"/>
        <v>0</v>
      </c>
      <c r="AA205" s="317">
        <f t="shared" si="151"/>
        <v>0</v>
      </c>
      <c r="AB205" s="317">
        <f t="shared" si="152"/>
        <v>0</v>
      </c>
      <c r="AC205" s="317">
        <f t="shared" si="153"/>
        <v>0</v>
      </c>
      <c r="AD205" s="317">
        <f t="shared" si="154"/>
        <v>0</v>
      </c>
      <c r="AE205" s="317">
        <f t="shared" si="155"/>
        <v>0</v>
      </c>
      <c r="AF205" s="317">
        <f t="shared" si="180"/>
        <v>0</v>
      </c>
      <c r="AG205" s="317">
        <f t="shared" si="181"/>
        <v>0</v>
      </c>
      <c r="AH205" s="317">
        <f t="shared" si="156"/>
        <v>0</v>
      </c>
      <c r="AI205" s="317">
        <f t="shared" si="157"/>
        <v>0</v>
      </c>
      <c r="AJ205" s="317">
        <f t="shared" si="158"/>
        <v>0</v>
      </c>
      <c r="AK205" s="317">
        <f t="shared" si="159"/>
        <v>0</v>
      </c>
      <c r="AL205" s="317">
        <f t="shared" si="160"/>
        <v>0</v>
      </c>
      <c r="AM205" s="317">
        <f t="shared" si="161"/>
        <v>0</v>
      </c>
      <c r="AN205" s="317">
        <f t="shared" si="162"/>
        <v>0</v>
      </c>
      <c r="AO205" s="317">
        <f t="shared" si="163"/>
        <v>0</v>
      </c>
      <c r="AP205" s="317">
        <f t="shared" si="164"/>
        <v>0</v>
      </c>
      <c r="AQ205" s="317">
        <f t="shared" si="165"/>
        <v>0</v>
      </c>
      <c r="AR205" s="317">
        <f t="shared" si="166"/>
        <v>0</v>
      </c>
      <c r="AS205" s="317">
        <f t="shared" si="167"/>
        <v>0</v>
      </c>
      <c r="AT205" s="317">
        <f t="shared" si="168"/>
        <v>0</v>
      </c>
      <c r="AU205" s="317">
        <f t="shared" si="169"/>
        <v>0</v>
      </c>
      <c r="AV205" s="317">
        <f t="shared" si="170"/>
        <v>0</v>
      </c>
      <c r="AW205" s="317">
        <f t="shared" si="171"/>
        <v>0</v>
      </c>
      <c r="AX205" s="317">
        <f t="shared" si="172"/>
        <v>0</v>
      </c>
      <c r="AY205" s="317">
        <f t="shared" si="173"/>
        <v>0</v>
      </c>
      <c r="AZ205" s="317">
        <f t="shared" si="174"/>
        <v>0</v>
      </c>
      <c r="BA205" s="317">
        <f t="shared" si="175"/>
        <v>0</v>
      </c>
    </row>
    <row r="206" spans="1:53" s="314" customFormat="1" ht="15.75" customHeight="1">
      <c r="A206" s="63" t="str">
        <f t="array" ref="A206">IF(C206&lt;&gt;0,SUM(($C$11:C206&lt;&gt;0)*1),"")</f>
        <v/>
      </c>
      <c r="B206" s="315"/>
      <c r="C206" s="315"/>
      <c r="D206" s="315"/>
      <c r="E206" s="433"/>
      <c r="F206" s="371"/>
      <c r="G206" s="373"/>
      <c r="H206" s="373"/>
      <c r="I206" s="63" t="str">
        <f t="shared" si="137"/>
        <v/>
      </c>
      <c r="J206" s="317">
        <f t="shared" si="138"/>
        <v>0</v>
      </c>
      <c r="K206" s="317">
        <f t="shared" si="139"/>
        <v>0</v>
      </c>
      <c r="L206" s="317">
        <f t="shared" si="140"/>
        <v>0</v>
      </c>
      <c r="M206" s="317">
        <f t="shared" si="141"/>
        <v>0</v>
      </c>
      <c r="N206" s="317">
        <f t="shared" si="176"/>
        <v>0</v>
      </c>
      <c r="O206" s="317">
        <f t="shared" si="177"/>
        <v>0</v>
      </c>
      <c r="P206" s="317">
        <f t="shared" si="142"/>
        <v>0</v>
      </c>
      <c r="Q206" s="317">
        <f t="shared" si="143"/>
        <v>0</v>
      </c>
      <c r="R206" s="317">
        <f t="shared" si="144"/>
        <v>0</v>
      </c>
      <c r="S206" s="317">
        <f t="shared" si="145"/>
        <v>0</v>
      </c>
      <c r="T206" s="317">
        <f t="shared" si="178"/>
        <v>0</v>
      </c>
      <c r="U206" s="317">
        <f t="shared" si="179"/>
        <v>0</v>
      </c>
      <c r="V206" s="317">
        <f t="shared" si="146"/>
        <v>0</v>
      </c>
      <c r="W206" s="317">
        <f t="shared" si="147"/>
        <v>0</v>
      </c>
      <c r="X206" s="317">
        <f t="shared" si="148"/>
        <v>0</v>
      </c>
      <c r="Y206" s="317">
        <f t="shared" si="149"/>
        <v>0</v>
      </c>
      <c r="Z206" s="317">
        <f t="shared" si="150"/>
        <v>0</v>
      </c>
      <c r="AA206" s="317">
        <f t="shared" si="151"/>
        <v>0</v>
      </c>
      <c r="AB206" s="317">
        <f t="shared" si="152"/>
        <v>0</v>
      </c>
      <c r="AC206" s="317">
        <f t="shared" si="153"/>
        <v>0</v>
      </c>
      <c r="AD206" s="317">
        <f t="shared" si="154"/>
        <v>0</v>
      </c>
      <c r="AE206" s="317">
        <f t="shared" si="155"/>
        <v>0</v>
      </c>
      <c r="AF206" s="317">
        <f t="shared" si="180"/>
        <v>0</v>
      </c>
      <c r="AG206" s="317">
        <f t="shared" si="181"/>
        <v>0</v>
      </c>
      <c r="AH206" s="317">
        <f t="shared" si="156"/>
        <v>0</v>
      </c>
      <c r="AI206" s="317">
        <f t="shared" si="157"/>
        <v>0</v>
      </c>
      <c r="AJ206" s="317">
        <f t="shared" si="158"/>
        <v>0</v>
      </c>
      <c r="AK206" s="317">
        <f t="shared" si="159"/>
        <v>0</v>
      </c>
      <c r="AL206" s="317">
        <f t="shared" si="160"/>
        <v>0</v>
      </c>
      <c r="AM206" s="317">
        <f t="shared" si="161"/>
        <v>0</v>
      </c>
      <c r="AN206" s="317">
        <f t="shared" si="162"/>
        <v>0</v>
      </c>
      <c r="AO206" s="317">
        <f t="shared" si="163"/>
        <v>0</v>
      </c>
      <c r="AP206" s="317">
        <f t="shared" si="164"/>
        <v>0</v>
      </c>
      <c r="AQ206" s="317">
        <f t="shared" si="165"/>
        <v>0</v>
      </c>
      <c r="AR206" s="317">
        <f t="shared" si="166"/>
        <v>0</v>
      </c>
      <c r="AS206" s="317">
        <f t="shared" si="167"/>
        <v>0</v>
      </c>
      <c r="AT206" s="317">
        <f t="shared" si="168"/>
        <v>0</v>
      </c>
      <c r="AU206" s="317">
        <f t="shared" si="169"/>
        <v>0</v>
      </c>
      <c r="AV206" s="317">
        <f t="shared" si="170"/>
        <v>0</v>
      </c>
      <c r="AW206" s="317">
        <f t="shared" si="171"/>
        <v>0</v>
      </c>
      <c r="AX206" s="317">
        <f t="shared" si="172"/>
        <v>0</v>
      </c>
      <c r="AY206" s="317">
        <f t="shared" si="173"/>
        <v>0</v>
      </c>
      <c r="AZ206" s="317">
        <f t="shared" si="174"/>
        <v>0</v>
      </c>
      <c r="BA206" s="317">
        <f t="shared" si="175"/>
        <v>0</v>
      </c>
    </row>
    <row r="207" spans="1:53" s="314" customFormat="1" ht="15.75" customHeight="1">
      <c r="A207" s="63" t="str">
        <f t="array" ref="A207">IF(C207&lt;&gt;0,SUM(($C$11:C207&lt;&gt;0)*1),"")</f>
        <v/>
      </c>
      <c r="B207" s="315"/>
      <c r="C207" s="315"/>
      <c r="D207" s="315"/>
      <c r="E207" s="433"/>
      <c r="F207" s="371"/>
      <c r="G207" s="373"/>
      <c r="H207" s="373"/>
      <c r="I207" s="63" t="str">
        <f t="shared" si="137"/>
        <v/>
      </c>
      <c r="J207" s="317">
        <f t="shared" si="138"/>
        <v>0</v>
      </c>
      <c r="K207" s="317">
        <f t="shared" si="139"/>
        <v>0</v>
      </c>
      <c r="L207" s="317">
        <f t="shared" si="140"/>
        <v>0</v>
      </c>
      <c r="M207" s="317">
        <f t="shared" si="141"/>
        <v>0</v>
      </c>
      <c r="N207" s="317">
        <f t="shared" si="176"/>
        <v>0</v>
      </c>
      <c r="O207" s="317">
        <f t="shared" si="177"/>
        <v>0</v>
      </c>
      <c r="P207" s="317">
        <f t="shared" si="142"/>
        <v>0</v>
      </c>
      <c r="Q207" s="317">
        <f t="shared" si="143"/>
        <v>0</v>
      </c>
      <c r="R207" s="317">
        <f t="shared" si="144"/>
        <v>0</v>
      </c>
      <c r="S207" s="317">
        <f t="shared" si="145"/>
        <v>0</v>
      </c>
      <c r="T207" s="317">
        <f t="shared" si="178"/>
        <v>0</v>
      </c>
      <c r="U207" s="317">
        <f t="shared" si="179"/>
        <v>0</v>
      </c>
      <c r="V207" s="317">
        <f t="shared" si="146"/>
        <v>0</v>
      </c>
      <c r="W207" s="317">
        <f t="shared" si="147"/>
        <v>0</v>
      </c>
      <c r="X207" s="317">
        <f t="shared" si="148"/>
        <v>0</v>
      </c>
      <c r="Y207" s="317">
        <f t="shared" si="149"/>
        <v>0</v>
      </c>
      <c r="Z207" s="317">
        <f t="shared" si="150"/>
        <v>0</v>
      </c>
      <c r="AA207" s="317">
        <f t="shared" si="151"/>
        <v>0</v>
      </c>
      <c r="AB207" s="317">
        <f t="shared" si="152"/>
        <v>0</v>
      </c>
      <c r="AC207" s="317">
        <f t="shared" si="153"/>
        <v>0</v>
      </c>
      <c r="AD207" s="317">
        <f t="shared" si="154"/>
        <v>0</v>
      </c>
      <c r="AE207" s="317">
        <f t="shared" si="155"/>
        <v>0</v>
      </c>
      <c r="AF207" s="317">
        <f t="shared" si="180"/>
        <v>0</v>
      </c>
      <c r="AG207" s="317">
        <f t="shared" si="181"/>
        <v>0</v>
      </c>
      <c r="AH207" s="317">
        <f t="shared" si="156"/>
        <v>0</v>
      </c>
      <c r="AI207" s="317">
        <f t="shared" si="157"/>
        <v>0</v>
      </c>
      <c r="AJ207" s="317">
        <f t="shared" si="158"/>
        <v>0</v>
      </c>
      <c r="AK207" s="317">
        <f t="shared" si="159"/>
        <v>0</v>
      </c>
      <c r="AL207" s="317">
        <f t="shared" si="160"/>
        <v>0</v>
      </c>
      <c r="AM207" s="317">
        <f t="shared" si="161"/>
        <v>0</v>
      </c>
      <c r="AN207" s="317">
        <f t="shared" si="162"/>
        <v>0</v>
      </c>
      <c r="AO207" s="317">
        <f t="shared" si="163"/>
        <v>0</v>
      </c>
      <c r="AP207" s="317">
        <f t="shared" si="164"/>
        <v>0</v>
      </c>
      <c r="AQ207" s="317">
        <f t="shared" si="165"/>
        <v>0</v>
      </c>
      <c r="AR207" s="317">
        <f t="shared" si="166"/>
        <v>0</v>
      </c>
      <c r="AS207" s="317">
        <f t="shared" si="167"/>
        <v>0</v>
      </c>
      <c r="AT207" s="317">
        <f t="shared" si="168"/>
        <v>0</v>
      </c>
      <c r="AU207" s="317">
        <f t="shared" si="169"/>
        <v>0</v>
      </c>
      <c r="AV207" s="317">
        <f t="shared" si="170"/>
        <v>0</v>
      </c>
      <c r="AW207" s="317">
        <f t="shared" si="171"/>
        <v>0</v>
      </c>
      <c r="AX207" s="317">
        <f t="shared" si="172"/>
        <v>0</v>
      </c>
      <c r="AY207" s="317">
        <f t="shared" si="173"/>
        <v>0</v>
      </c>
      <c r="AZ207" s="317">
        <f t="shared" si="174"/>
        <v>0</v>
      </c>
      <c r="BA207" s="317">
        <f t="shared" si="175"/>
        <v>0</v>
      </c>
    </row>
    <row r="208" spans="1:53" s="314" customFormat="1" ht="15.75" customHeight="1">
      <c r="A208" s="63" t="str">
        <f t="array" ref="A208">IF(C208&lt;&gt;0,SUM(($C$11:C208&lt;&gt;0)*1),"")</f>
        <v/>
      </c>
      <c r="B208" s="315"/>
      <c r="C208" s="315"/>
      <c r="D208" s="315"/>
      <c r="E208" s="433"/>
      <c r="F208" s="371"/>
      <c r="G208" s="373"/>
      <c r="H208" s="373"/>
      <c r="I208" s="63" t="str">
        <f t="shared" si="137"/>
        <v/>
      </c>
      <c r="J208" s="317">
        <f t="shared" si="138"/>
        <v>0</v>
      </c>
      <c r="K208" s="317">
        <f t="shared" si="139"/>
        <v>0</v>
      </c>
      <c r="L208" s="317">
        <f t="shared" si="140"/>
        <v>0</v>
      </c>
      <c r="M208" s="317">
        <f t="shared" si="141"/>
        <v>0</v>
      </c>
      <c r="N208" s="317">
        <f t="shared" si="176"/>
        <v>0</v>
      </c>
      <c r="O208" s="317">
        <f t="shared" si="177"/>
        <v>0</v>
      </c>
      <c r="P208" s="317">
        <f t="shared" si="142"/>
        <v>0</v>
      </c>
      <c r="Q208" s="317">
        <f t="shared" si="143"/>
        <v>0</v>
      </c>
      <c r="R208" s="317">
        <f t="shared" si="144"/>
        <v>0</v>
      </c>
      <c r="S208" s="317">
        <f t="shared" si="145"/>
        <v>0</v>
      </c>
      <c r="T208" s="317">
        <f t="shared" si="178"/>
        <v>0</v>
      </c>
      <c r="U208" s="317">
        <f t="shared" si="179"/>
        <v>0</v>
      </c>
      <c r="V208" s="317">
        <f t="shared" si="146"/>
        <v>0</v>
      </c>
      <c r="W208" s="317">
        <f t="shared" si="147"/>
        <v>0</v>
      </c>
      <c r="X208" s="317">
        <f t="shared" si="148"/>
        <v>0</v>
      </c>
      <c r="Y208" s="317">
        <f t="shared" si="149"/>
        <v>0</v>
      </c>
      <c r="Z208" s="317">
        <f t="shared" si="150"/>
        <v>0</v>
      </c>
      <c r="AA208" s="317">
        <f t="shared" si="151"/>
        <v>0</v>
      </c>
      <c r="AB208" s="317">
        <f t="shared" si="152"/>
        <v>0</v>
      </c>
      <c r="AC208" s="317">
        <f t="shared" si="153"/>
        <v>0</v>
      </c>
      <c r="AD208" s="317">
        <f t="shared" si="154"/>
        <v>0</v>
      </c>
      <c r="AE208" s="317">
        <f t="shared" si="155"/>
        <v>0</v>
      </c>
      <c r="AF208" s="317">
        <f t="shared" si="180"/>
        <v>0</v>
      </c>
      <c r="AG208" s="317">
        <f t="shared" si="181"/>
        <v>0</v>
      </c>
      <c r="AH208" s="317">
        <f t="shared" si="156"/>
        <v>0</v>
      </c>
      <c r="AI208" s="317">
        <f t="shared" si="157"/>
        <v>0</v>
      </c>
      <c r="AJ208" s="317">
        <f t="shared" si="158"/>
        <v>0</v>
      </c>
      <c r="AK208" s="317">
        <f t="shared" si="159"/>
        <v>0</v>
      </c>
      <c r="AL208" s="317">
        <f t="shared" si="160"/>
        <v>0</v>
      </c>
      <c r="AM208" s="317">
        <f t="shared" si="161"/>
        <v>0</v>
      </c>
      <c r="AN208" s="317">
        <f t="shared" si="162"/>
        <v>0</v>
      </c>
      <c r="AO208" s="317">
        <f t="shared" si="163"/>
        <v>0</v>
      </c>
      <c r="AP208" s="317">
        <f t="shared" si="164"/>
        <v>0</v>
      </c>
      <c r="AQ208" s="317">
        <f t="shared" si="165"/>
        <v>0</v>
      </c>
      <c r="AR208" s="317">
        <f t="shared" si="166"/>
        <v>0</v>
      </c>
      <c r="AS208" s="317">
        <f t="shared" si="167"/>
        <v>0</v>
      </c>
      <c r="AT208" s="317">
        <f t="shared" si="168"/>
        <v>0</v>
      </c>
      <c r="AU208" s="317">
        <f t="shared" si="169"/>
        <v>0</v>
      </c>
      <c r="AV208" s="317">
        <f t="shared" si="170"/>
        <v>0</v>
      </c>
      <c r="AW208" s="317">
        <f t="shared" si="171"/>
        <v>0</v>
      </c>
      <c r="AX208" s="317">
        <f t="shared" si="172"/>
        <v>0</v>
      </c>
      <c r="AY208" s="317">
        <f t="shared" si="173"/>
        <v>0</v>
      </c>
      <c r="AZ208" s="317">
        <f t="shared" si="174"/>
        <v>0</v>
      </c>
      <c r="BA208" s="317">
        <f t="shared" si="175"/>
        <v>0</v>
      </c>
    </row>
    <row r="209" spans="1:53" s="314" customFormat="1" ht="15.75" customHeight="1">
      <c r="A209" s="63" t="str">
        <f t="array" ref="A209">IF(C209&lt;&gt;0,SUM(($C$11:C209&lt;&gt;0)*1),"")</f>
        <v/>
      </c>
      <c r="B209" s="315"/>
      <c r="C209" s="315"/>
      <c r="D209" s="315"/>
      <c r="E209" s="433"/>
      <c r="F209" s="371"/>
      <c r="G209" s="373"/>
      <c r="H209" s="373"/>
      <c r="I209" s="63" t="str">
        <f t="shared" si="137"/>
        <v/>
      </c>
      <c r="J209" s="317">
        <f t="shared" si="138"/>
        <v>0</v>
      </c>
      <c r="K209" s="317">
        <f t="shared" si="139"/>
        <v>0</v>
      </c>
      <c r="L209" s="317">
        <f t="shared" si="140"/>
        <v>0</v>
      </c>
      <c r="M209" s="317">
        <f t="shared" si="141"/>
        <v>0</v>
      </c>
      <c r="N209" s="317">
        <f t="shared" si="176"/>
        <v>0</v>
      </c>
      <c r="O209" s="317">
        <f t="shared" si="177"/>
        <v>0</v>
      </c>
      <c r="P209" s="317">
        <f t="shared" si="142"/>
        <v>0</v>
      </c>
      <c r="Q209" s="317">
        <f t="shared" si="143"/>
        <v>0</v>
      </c>
      <c r="R209" s="317">
        <f t="shared" si="144"/>
        <v>0</v>
      </c>
      <c r="S209" s="317">
        <f t="shared" si="145"/>
        <v>0</v>
      </c>
      <c r="T209" s="317">
        <f t="shared" si="178"/>
        <v>0</v>
      </c>
      <c r="U209" s="317">
        <f t="shared" si="179"/>
        <v>0</v>
      </c>
      <c r="V209" s="317">
        <f t="shared" si="146"/>
        <v>0</v>
      </c>
      <c r="W209" s="317">
        <f t="shared" si="147"/>
        <v>0</v>
      </c>
      <c r="X209" s="317">
        <f t="shared" si="148"/>
        <v>0</v>
      </c>
      <c r="Y209" s="317">
        <f t="shared" si="149"/>
        <v>0</v>
      </c>
      <c r="Z209" s="317">
        <f t="shared" si="150"/>
        <v>0</v>
      </c>
      <c r="AA209" s="317">
        <f t="shared" si="151"/>
        <v>0</v>
      </c>
      <c r="AB209" s="317">
        <f t="shared" si="152"/>
        <v>0</v>
      </c>
      <c r="AC209" s="317">
        <f t="shared" si="153"/>
        <v>0</v>
      </c>
      <c r="AD209" s="317">
        <f t="shared" si="154"/>
        <v>0</v>
      </c>
      <c r="AE209" s="317">
        <f t="shared" si="155"/>
        <v>0</v>
      </c>
      <c r="AF209" s="317">
        <f t="shared" si="180"/>
        <v>0</v>
      </c>
      <c r="AG209" s="317">
        <f t="shared" si="181"/>
        <v>0</v>
      </c>
      <c r="AH209" s="317">
        <f t="shared" si="156"/>
        <v>0</v>
      </c>
      <c r="AI209" s="317">
        <f t="shared" si="157"/>
        <v>0</v>
      </c>
      <c r="AJ209" s="317">
        <f t="shared" si="158"/>
        <v>0</v>
      </c>
      <c r="AK209" s="317">
        <f t="shared" si="159"/>
        <v>0</v>
      </c>
      <c r="AL209" s="317">
        <f t="shared" si="160"/>
        <v>0</v>
      </c>
      <c r="AM209" s="317">
        <f t="shared" si="161"/>
        <v>0</v>
      </c>
      <c r="AN209" s="317">
        <f t="shared" si="162"/>
        <v>0</v>
      </c>
      <c r="AO209" s="317">
        <f t="shared" si="163"/>
        <v>0</v>
      </c>
      <c r="AP209" s="317">
        <f t="shared" si="164"/>
        <v>0</v>
      </c>
      <c r="AQ209" s="317">
        <f t="shared" si="165"/>
        <v>0</v>
      </c>
      <c r="AR209" s="317">
        <f t="shared" si="166"/>
        <v>0</v>
      </c>
      <c r="AS209" s="317">
        <f t="shared" si="167"/>
        <v>0</v>
      </c>
      <c r="AT209" s="317">
        <f t="shared" si="168"/>
        <v>0</v>
      </c>
      <c r="AU209" s="317">
        <f t="shared" si="169"/>
        <v>0</v>
      </c>
      <c r="AV209" s="317">
        <f t="shared" si="170"/>
        <v>0</v>
      </c>
      <c r="AW209" s="317">
        <f t="shared" si="171"/>
        <v>0</v>
      </c>
      <c r="AX209" s="317">
        <f t="shared" si="172"/>
        <v>0</v>
      </c>
      <c r="AY209" s="317">
        <f t="shared" si="173"/>
        <v>0</v>
      </c>
      <c r="AZ209" s="317">
        <f t="shared" si="174"/>
        <v>0</v>
      </c>
      <c r="BA209" s="317">
        <f t="shared" si="175"/>
        <v>0</v>
      </c>
    </row>
    <row r="210" spans="1:53" s="314" customFormat="1" ht="15.75" customHeight="1">
      <c r="A210" s="63" t="str">
        <f t="array" ref="A210">IF(C210&lt;&gt;0,SUM(($C$11:C210&lt;&gt;0)*1),"")</f>
        <v/>
      </c>
      <c r="B210" s="315"/>
      <c r="C210" s="315"/>
      <c r="D210" s="315"/>
      <c r="E210" s="433"/>
      <c r="F210" s="371"/>
      <c r="G210" s="373"/>
      <c r="H210" s="373"/>
      <c r="I210" s="63" t="str">
        <f t="shared" si="137"/>
        <v/>
      </c>
      <c r="J210" s="317">
        <f t="shared" si="138"/>
        <v>0</v>
      </c>
      <c r="K210" s="317">
        <f t="shared" si="139"/>
        <v>0</v>
      </c>
      <c r="L210" s="317">
        <f t="shared" si="140"/>
        <v>0</v>
      </c>
      <c r="M210" s="317">
        <f t="shared" si="141"/>
        <v>0</v>
      </c>
      <c r="N210" s="317">
        <f t="shared" si="176"/>
        <v>0</v>
      </c>
      <c r="O210" s="317">
        <f t="shared" si="177"/>
        <v>0</v>
      </c>
      <c r="P210" s="317">
        <f t="shared" si="142"/>
        <v>0</v>
      </c>
      <c r="Q210" s="317">
        <f t="shared" si="143"/>
        <v>0</v>
      </c>
      <c r="R210" s="317">
        <f t="shared" si="144"/>
        <v>0</v>
      </c>
      <c r="S210" s="317">
        <f t="shared" si="145"/>
        <v>0</v>
      </c>
      <c r="T210" s="317">
        <f t="shared" si="178"/>
        <v>0</v>
      </c>
      <c r="U210" s="317">
        <f t="shared" si="179"/>
        <v>0</v>
      </c>
      <c r="V210" s="317">
        <f t="shared" si="146"/>
        <v>0</v>
      </c>
      <c r="W210" s="317">
        <f t="shared" si="147"/>
        <v>0</v>
      </c>
      <c r="X210" s="317">
        <f t="shared" si="148"/>
        <v>0</v>
      </c>
      <c r="Y210" s="317">
        <f t="shared" si="149"/>
        <v>0</v>
      </c>
      <c r="Z210" s="317">
        <f t="shared" si="150"/>
        <v>0</v>
      </c>
      <c r="AA210" s="317">
        <f t="shared" si="151"/>
        <v>0</v>
      </c>
      <c r="AB210" s="317">
        <f t="shared" si="152"/>
        <v>0</v>
      </c>
      <c r="AC210" s="317">
        <f t="shared" si="153"/>
        <v>0</v>
      </c>
      <c r="AD210" s="317">
        <f t="shared" si="154"/>
        <v>0</v>
      </c>
      <c r="AE210" s="317">
        <f t="shared" si="155"/>
        <v>0</v>
      </c>
      <c r="AF210" s="317">
        <f t="shared" si="180"/>
        <v>0</v>
      </c>
      <c r="AG210" s="317">
        <f t="shared" si="181"/>
        <v>0</v>
      </c>
      <c r="AH210" s="317">
        <f t="shared" si="156"/>
        <v>0</v>
      </c>
      <c r="AI210" s="317">
        <f t="shared" si="157"/>
        <v>0</v>
      </c>
      <c r="AJ210" s="317">
        <f t="shared" si="158"/>
        <v>0</v>
      </c>
      <c r="AK210" s="317">
        <f t="shared" si="159"/>
        <v>0</v>
      </c>
      <c r="AL210" s="317">
        <f t="shared" si="160"/>
        <v>0</v>
      </c>
      <c r="AM210" s="317">
        <f t="shared" si="161"/>
        <v>0</v>
      </c>
      <c r="AN210" s="317">
        <f t="shared" si="162"/>
        <v>0</v>
      </c>
      <c r="AO210" s="317">
        <f t="shared" si="163"/>
        <v>0</v>
      </c>
      <c r="AP210" s="317">
        <f t="shared" si="164"/>
        <v>0</v>
      </c>
      <c r="AQ210" s="317">
        <f t="shared" si="165"/>
        <v>0</v>
      </c>
      <c r="AR210" s="317">
        <f t="shared" si="166"/>
        <v>0</v>
      </c>
      <c r="AS210" s="317">
        <f t="shared" si="167"/>
        <v>0</v>
      </c>
      <c r="AT210" s="317">
        <f t="shared" si="168"/>
        <v>0</v>
      </c>
      <c r="AU210" s="317">
        <f t="shared" si="169"/>
        <v>0</v>
      </c>
      <c r="AV210" s="317">
        <f t="shared" si="170"/>
        <v>0</v>
      </c>
      <c r="AW210" s="317">
        <f t="shared" si="171"/>
        <v>0</v>
      </c>
      <c r="AX210" s="317">
        <f t="shared" si="172"/>
        <v>0</v>
      </c>
      <c r="AY210" s="317">
        <f t="shared" si="173"/>
        <v>0</v>
      </c>
      <c r="AZ210" s="317">
        <f t="shared" si="174"/>
        <v>0</v>
      </c>
      <c r="BA210" s="317">
        <f t="shared" si="175"/>
        <v>0</v>
      </c>
    </row>
    <row r="211" spans="1:53" s="314" customFormat="1" ht="15.75" customHeight="1">
      <c r="A211" s="63" t="str">
        <f t="array" ref="A211">IF(C211&lt;&gt;0,SUM(($C$11:C211&lt;&gt;0)*1),"")</f>
        <v/>
      </c>
      <c r="B211" s="315"/>
      <c r="C211" s="315"/>
      <c r="D211" s="315"/>
      <c r="E211" s="433"/>
      <c r="F211" s="371"/>
      <c r="G211" s="373"/>
      <c r="H211" s="373"/>
      <c r="I211" s="63" t="str">
        <f t="shared" si="137"/>
        <v/>
      </c>
      <c r="J211" s="317">
        <f t="shared" si="138"/>
        <v>0</v>
      </c>
      <c r="K211" s="317">
        <f t="shared" si="139"/>
        <v>0</v>
      </c>
      <c r="L211" s="317">
        <f t="shared" si="140"/>
        <v>0</v>
      </c>
      <c r="M211" s="317">
        <f t="shared" si="141"/>
        <v>0</v>
      </c>
      <c r="N211" s="317">
        <f t="shared" si="176"/>
        <v>0</v>
      </c>
      <c r="O211" s="317">
        <f t="shared" si="177"/>
        <v>0</v>
      </c>
      <c r="P211" s="317">
        <f t="shared" si="142"/>
        <v>0</v>
      </c>
      <c r="Q211" s="317">
        <f t="shared" si="143"/>
        <v>0</v>
      </c>
      <c r="R211" s="317">
        <f t="shared" si="144"/>
        <v>0</v>
      </c>
      <c r="S211" s="317">
        <f t="shared" si="145"/>
        <v>0</v>
      </c>
      <c r="T211" s="317">
        <f t="shared" si="178"/>
        <v>0</v>
      </c>
      <c r="U211" s="317">
        <f t="shared" si="179"/>
        <v>0</v>
      </c>
      <c r="V211" s="317">
        <f t="shared" si="146"/>
        <v>0</v>
      </c>
      <c r="W211" s="317">
        <f t="shared" si="147"/>
        <v>0</v>
      </c>
      <c r="X211" s="317">
        <f t="shared" si="148"/>
        <v>0</v>
      </c>
      <c r="Y211" s="317">
        <f t="shared" si="149"/>
        <v>0</v>
      </c>
      <c r="Z211" s="317">
        <f t="shared" si="150"/>
        <v>0</v>
      </c>
      <c r="AA211" s="317">
        <f t="shared" si="151"/>
        <v>0</v>
      </c>
      <c r="AB211" s="317">
        <f t="shared" si="152"/>
        <v>0</v>
      </c>
      <c r="AC211" s="317">
        <f t="shared" si="153"/>
        <v>0</v>
      </c>
      <c r="AD211" s="317">
        <f t="shared" si="154"/>
        <v>0</v>
      </c>
      <c r="AE211" s="317">
        <f t="shared" si="155"/>
        <v>0</v>
      </c>
      <c r="AF211" s="317">
        <f t="shared" si="180"/>
        <v>0</v>
      </c>
      <c r="AG211" s="317">
        <f t="shared" si="181"/>
        <v>0</v>
      </c>
      <c r="AH211" s="317">
        <f t="shared" si="156"/>
        <v>0</v>
      </c>
      <c r="AI211" s="317">
        <f t="shared" si="157"/>
        <v>0</v>
      </c>
      <c r="AJ211" s="317">
        <f t="shared" si="158"/>
        <v>0</v>
      </c>
      <c r="AK211" s="317">
        <f t="shared" si="159"/>
        <v>0</v>
      </c>
      <c r="AL211" s="317">
        <f t="shared" si="160"/>
        <v>0</v>
      </c>
      <c r="AM211" s="317">
        <f t="shared" si="161"/>
        <v>0</v>
      </c>
      <c r="AN211" s="317">
        <f t="shared" si="162"/>
        <v>0</v>
      </c>
      <c r="AO211" s="317">
        <f t="shared" si="163"/>
        <v>0</v>
      </c>
      <c r="AP211" s="317">
        <f t="shared" si="164"/>
        <v>0</v>
      </c>
      <c r="AQ211" s="317">
        <f t="shared" si="165"/>
        <v>0</v>
      </c>
      <c r="AR211" s="317">
        <f t="shared" si="166"/>
        <v>0</v>
      </c>
      <c r="AS211" s="317">
        <f t="shared" si="167"/>
        <v>0</v>
      </c>
      <c r="AT211" s="317">
        <f t="shared" si="168"/>
        <v>0</v>
      </c>
      <c r="AU211" s="317">
        <f t="shared" si="169"/>
        <v>0</v>
      </c>
      <c r="AV211" s="317">
        <f t="shared" si="170"/>
        <v>0</v>
      </c>
      <c r="AW211" s="317">
        <f t="shared" si="171"/>
        <v>0</v>
      </c>
      <c r="AX211" s="317">
        <f t="shared" si="172"/>
        <v>0</v>
      </c>
      <c r="AY211" s="317">
        <f t="shared" si="173"/>
        <v>0</v>
      </c>
      <c r="AZ211" s="317">
        <f t="shared" si="174"/>
        <v>0</v>
      </c>
      <c r="BA211" s="317">
        <f t="shared" si="175"/>
        <v>0</v>
      </c>
    </row>
    <row r="212" spans="1:53" s="314" customFormat="1" ht="15.75" customHeight="1">
      <c r="A212" s="63" t="str">
        <f t="array" ref="A212">IF(C212&lt;&gt;0,SUM(($C$11:C212&lt;&gt;0)*1),"")</f>
        <v/>
      </c>
      <c r="B212" s="315"/>
      <c r="C212" s="315"/>
      <c r="D212" s="315"/>
      <c r="E212" s="433"/>
      <c r="F212" s="371"/>
      <c r="G212" s="373"/>
      <c r="H212" s="373"/>
      <c r="I212" s="63" t="str">
        <f t="shared" si="137"/>
        <v/>
      </c>
      <c r="J212" s="317">
        <f t="shared" si="138"/>
        <v>0</v>
      </c>
      <c r="K212" s="317">
        <f t="shared" si="139"/>
        <v>0</v>
      </c>
      <c r="L212" s="317">
        <f t="shared" si="140"/>
        <v>0</v>
      </c>
      <c r="M212" s="317">
        <f t="shared" si="141"/>
        <v>0</v>
      </c>
      <c r="N212" s="317">
        <f t="shared" si="176"/>
        <v>0</v>
      </c>
      <c r="O212" s="317">
        <f t="shared" si="177"/>
        <v>0</v>
      </c>
      <c r="P212" s="317">
        <f t="shared" si="142"/>
        <v>0</v>
      </c>
      <c r="Q212" s="317">
        <f t="shared" si="143"/>
        <v>0</v>
      </c>
      <c r="R212" s="317">
        <f t="shared" si="144"/>
        <v>0</v>
      </c>
      <c r="S212" s="317">
        <f t="shared" si="145"/>
        <v>0</v>
      </c>
      <c r="T212" s="317">
        <f t="shared" si="178"/>
        <v>0</v>
      </c>
      <c r="U212" s="317">
        <f t="shared" si="179"/>
        <v>0</v>
      </c>
      <c r="V212" s="317">
        <f t="shared" si="146"/>
        <v>0</v>
      </c>
      <c r="W212" s="317">
        <f t="shared" si="147"/>
        <v>0</v>
      </c>
      <c r="X212" s="317">
        <f t="shared" si="148"/>
        <v>0</v>
      </c>
      <c r="Y212" s="317">
        <f t="shared" si="149"/>
        <v>0</v>
      </c>
      <c r="Z212" s="317">
        <f t="shared" si="150"/>
        <v>0</v>
      </c>
      <c r="AA212" s="317">
        <f t="shared" si="151"/>
        <v>0</v>
      </c>
      <c r="AB212" s="317">
        <f t="shared" si="152"/>
        <v>0</v>
      </c>
      <c r="AC212" s="317">
        <f t="shared" si="153"/>
        <v>0</v>
      </c>
      <c r="AD212" s="317">
        <f t="shared" si="154"/>
        <v>0</v>
      </c>
      <c r="AE212" s="317">
        <f t="shared" si="155"/>
        <v>0</v>
      </c>
      <c r="AF212" s="317">
        <f t="shared" si="180"/>
        <v>0</v>
      </c>
      <c r="AG212" s="317">
        <f t="shared" si="181"/>
        <v>0</v>
      </c>
      <c r="AH212" s="317">
        <f t="shared" si="156"/>
        <v>0</v>
      </c>
      <c r="AI212" s="317">
        <f t="shared" si="157"/>
        <v>0</v>
      </c>
      <c r="AJ212" s="317">
        <f t="shared" si="158"/>
        <v>0</v>
      </c>
      <c r="AK212" s="317">
        <f t="shared" si="159"/>
        <v>0</v>
      </c>
      <c r="AL212" s="317">
        <f t="shared" si="160"/>
        <v>0</v>
      </c>
      <c r="AM212" s="317">
        <f t="shared" si="161"/>
        <v>0</v>
      </c>
      <c r="AN212" s="317">
        <f t="shared" si="162"/>
        <v>0</v>
      </c>
      <c r="AO212" s="317">
        <f t="shared" si="163"/>
        <v>0</v>
      </c>
      <c r="AP212" s="317">
        <f t="shared" si="164"/>
        <v>0</v>
      </c>
      <c r="AQ212" s="317">
        <f t="shared" si="165"/>
        <v>0</v>
      </c>
      <c r="AR212" s="317">
        <f t="shared" si="166"/>
        <v>0</v>
      </c>
      <c r="AS212" s="317">
        <f t="shared" si="167"/>
        <v>0</v>
      </c>
      <c r="AT212" s="317">
        <f t="shared" si="168"/>
        <v>0</v>
      </c>
      <c r="AU212" s="317">
        <f t="shared" si="169"/>
        <v>0</v>
      </c>
      <c r="AV212" s="317">
        <f t="shared" si="170"/>
        <v>0</v>
      </c>
      <c r="AW212" s="317">
        <f t="shared" si="171"/>
        <v>0</v>
      </c>
      <c r="AX212" s="317">
        <f t="shared" si="172"/>
        <v>0</v>
      </c>
      <c r="AY212" s="317">
        <f t="shared" si="173"/>
        <v>0</v>
      </c>
      <c r="AZ212" s="317">
        <f t="shared" si="174"/>
        <v>0</v>
      </c>
      <c r="BA212" s="317">
        <f t="shared" si="175"/>
        <v>0</v>
      </c>
    </row>
    <row r="213" spans="1:53" s="314" customFormat="1" ht="15.75" customHeight="1">
      <c r="A213" s="63" t="str">
        <f t="array" ref="A213">IF(C213&lt;&gt;0,SUM(($C$11:C213&lt;&gt;0)*1),"")</f>
        <v/>
      </c>
      <c r="B213" s="315"/>
      <c r="C213" s="315"/>
      <c r="D213" s="315"/>
      <c r="E213" s="433"/>
      <c r="F213" s="371"/>
      <c r="G213" s="373"/>
      <c r="H213" s="373"/>
      <c r="I213" s="63" t="str">
        <f t="shared" si="137"/>
        <v/>
      </c>
      <c r="J213" s="317">
        <f t="shared" si="138"/>
        <v>0</v>
      </c>
      <c r="K213" s="317">
        <f t="shared" si="139"/>
        <v>0</v>
      </c>
      <c r="L213" s="317">
        <f t="shared" si="140"/>
        <v>0</v>
      </c>
      <c r="M213" s="317">
        <f t="shared" si="141"/>
        <v>0</v>
      </c>
      <c r="N213" s="317">
        <f t="shared" si="176"/>
        <v>0</v>
      </c>
      <c r="O213" s="317">
        <f t="shared" si="177"/>
        <v>0</v>
      </c>
      <c r="P213" s="317">
        <f t="shared" si="142"/>
        <v>0</v>
      </c>
      <c r="Q213" s="317">
        <f t="shared" si="143"/>
        <v>0</v>
      </c>
      <c r="R213" s="317">
        <f t="shared" si="144"/>
        <v>0</v>
      </c>
      <c r="S213" s="317">
        <f t="shared" si="145"/>
        <v>0</v>
      </c>
      <c r="T213" s="317">
        <f t="shared" si="178"/>
        <v>0</v>
      </c>
      <c r="U213" s="317">
        <f t="shared" si="179"/>
        <v>0</v>
      </c>
      <c r="V213" s="317">
        <f t="shared" si="146"/>
        <v>0</v>
      </c>
      <c r="W213" s="317">
        <f t="shared" si="147"/>
        <v>0</v>
      </c>
      <c r="X213" s="317">
        <f t="shared" si="148"/>
        <v>0</v>
      </c>
      <c r="Y213" s="317">
        <f t="shared" si="149"/>
        <v>0</v>
      </c>
      <c r="Z213" s="317">
        <f t="shared" si="150"/>
        <v>0</v>
      </c>
      <c r="AA213" s="317">
        <f t="shared" si="151"/>
        <v>0</v>
      </c>
      <c r="AB213" s="317">
        <f t="shared" si="152"/>
        <v>0</v>
      </c>
      <c r="AC213" s="317">
        <f t="shared" si="153"/>
        <v>0</v>
      </c>
      <c r="AD213" s="317">
        <f t="shared" si="154"/>
        <v>0</v>
      </c>
      <c r="AE213" s="317">
        <f t="shared" si="155"/>
        <v>0</v>
      </c>
      <c r="AF213" s="317">
        <f t="shared" si="180"/>
        <v>0</v>
      </c>
      <c r="AG213" s="317">
        <f t="shared" si="181"/>
        <v>0</v>
      </c>
      <c r="AH213" s="317">
        <f t="shared" si="156"/>
        <v>0</v>
      </c>
      <c r="AI213" s="317">
        <f t="shared" si="157"/>
        <v>0</v>
      </c>
      <c r="AJ213" s="317">
        <f t="shared" si="158"/>
        <v>0</v>
      </c>
      <c r="AK213" s="317">
        <f t="shared" si="159"/>
        <v>0</v>
      </c>
      <c r="AL213" s="317">
        <f t="shared" si="160"/>
        <v>0</v>
      </c>
      <c r="AM213" s="317">
        <f t="shared" si="161"/>
        <v>0</v>
      </c>
      <c r="AN213" s="317">
        <f t="shared" si="162"/>
        <v>0</v>
      </c>
      <c r="AO213" s="317">
        <f t="shared" si="163"/>
        <v>0</v>
      </c>
      <c r="AP213" s="317">
        <f t="shared" si="164"/>
        <v>0</v>
      </c>
      <c r="AQ213" s="317">
        <f t="shared" si="165"/>
        <v>0</v>
      </c>
      <c r="AR213" s="317">
        <f t="shared" si="166"/>
        <v>0</v>
      </c>
      <c r="AS213" s="317">
        <f t="shared" si="167"/>
        <v>0</v>
      </c>
      <c r="AT213" s="317">
        <f t="shared" si="168"/>
        <v>0</v>
      </c>
      <c r="AU213" s="317">
        <f t="shared" si="169"/>
        <v>0</v>
      </c>
      <c r="AV213" s="317">
        <f t="shared" si="170"/>
        <v>0</v>
      </c>
      <c r="AW213" s="317">
        <f t="shared" si="171"/>
        <v>0</v>
      </c>
      <c r="AX213" s="317">
        <f t="shared" si="172"/>
        <v>0</v>
      </c>
      <c r="AY213" s="317">
        <f t="shared" si="173"/>
        <v>0</v>
      </c>
      <c r="AZ213" s="317">
        <f t="shared" si="174"/>
        <v>0</v>
      </c>
      <c r="BA213" s="317">
        <f t="shared" si="175"/>
        <v>0</v>
      </c>
    </row>
    <row r="214" spans="1:53" s="314" customFormat="1" ht="15.75" customHeight="1">
      <c r="A214" s="63" t="str">
        <f t="array" ref="A214">IF(C214&lt;&gt;0,SUM(($C$11:C214&lt;&gt;0)*1),"")</f>
        <v/>
      </c>
      <c r="B214" s="315"/>
      <c r="C214" s="315"/>
      <c r="D214" s="315"/>
      <c r="E214" s="433"/>
      <c r="F214" s="371"/>
      <c r="G214" s="373"/>
      <c r="H214" s="373"/>
      <c r="I214" s="63" t="str">
        <f t="shared" si="137"/>
        <v/>
      </c>
      <c r="J214" s="317">
        <f t="shared" si="138"/>
        <v>0</v>
      </c>
      <c r="K214" s="317">
        <f t="shared" si="139"/>
        <v>0</v>
      </c>
      <c r="L214" s="317">
        <f t="shared" si="140"/>
        <v>0</v>
      </c>
      <c r="M214" s="317">
        <f t="shared" si="141"/>
        <v>0</v>
      </c>
      <c r="N214" s="317">
        <f t="shared" si="176"/>
        <v>0</v>
      </c>
      <c r="O214" s="317">
        <f t="shared" si="177"/>
        <v>0</v>
      </c>
      <c r="P214" s="317">
        <f t="shared" si="142"/>
        <v>0</v>
      </c>
      <c r="Q214" s="317">
        <f t="shared" si="143"/>
        <v>0</v>
      </c>
      <c r="R214" s="317">
        <f t="shared" si="144"/>
        <v>0</v>
      </c>
      <c r="S214" s="317">
        <f t="shared" si="145"/>
        <v>0</v>
      </c>
      <c r="T214" s="317">
        <f t="shared" si="178"/>
        <v>0</v>
      </c>
      <c r="U214" s="317">
        <f t="shared" si="179"/>
        <v>0</v>
      </c>
      <c r="V214" s="317">
        <f t="shared" si="146"/>
        <v>0</v>
      </c>
      <c r="W214" s="317">
        <f t="shared" si="147"/>
        <v>0</v>
      </c>
      <c r="X214" s="317">
        <f t="shared" si="148"/>
        <v>0</v>
      </c>
      <c r="Y214" s="317">
        <f t="shared" si="149"/>
        <v>0</v>
      </c>
      <c r="Z214" s="317">
        <f t="shared" si="150"/>
        <v>0</v>
      </c>
      <c r="AA214" s="317">
        <f t="shared" si="151"/>
        <v>0</v>
      </c>
      <c r="AB214" s="317">
        <f t="shared" si="152"/>
        <v>0</v>
      </c>
      <c r="AC214" s="317">
        <f t="shared" si="153"/>
        <v>0</v>
      </c>
      <c r="AD214" s="317">
        <f t="shared" si="154"/>
        <v>0</v>
      </c>
      <c r="AE214" s="317">
        <f t="shared" si="155"/>
        <v>0</v>
      </c>
      <c r="AF214" s="317">
        <f t="shared" si="180"/>
        <v>0</v>
      </c>
      <c r="AG214" s="317">
        <f t="shared" si="181"/>
        <v>0</v>
      </c>
      <c r="AH214" s="317">
        <f t="shared" si="156"/>
        <v>0</v>
      </c>
      <c r="AI214" s="317">
        <f t="shared" si="157"/>
        <v>0</v>
      </c>
      <c r="AJ214" s="317">
        <f t="shared" si="158"/>
        <v>0</v>
      </c>
      <c r="AK214" s="317">
        <f t="shared" si="159"/>
        <v>0</v>
      </c>
      <c r="AL214" s="317">
        <f t="shared" si="160"/>
        <v>0</v>
      </c>
      <c r="AM214" s="317">
        <f t="shared" si="161"/>
        <v>0</v>
      </c>
      <c r="AN214" s="317">
        <f t="shared" si="162"/>
        <v>0</v>
      </c>
      <c r="AO214" s="317">
        <f t="shared" si="163"/>
        <v>0</v>
      </c>
      <c r="AP214" s="317">
        <f t="shared" si="164"/>
        <v>0</v>
      </c>
      <c r="AQ214" s="317">
        <f t="shared" si="165"/>
        <v>0</v>
      </c>
      <c r="AR214" s="317">
        <f t="shared" si="166"/>
        <v>0</v>
      </c>
      <c r="AS214" s="317">
        <f t="shared" si="167"/>
        <v>0</v>
      </c>
      <c r="AT214" s="317">
        <f t="shared" si="168"/>
        <v>0</v>
      </c>
      <c r="AU214" s="317">
        <f t="shared" si="169"/>
        <v>0</v>
      </c>
      <c r="AV214" s="317">
        <f t="shared" si="170"/>
        <v>0</v>
      </c>
      <c r="AW214" s="317">
        <f t="shared" si="171"/>
        <v>0</v>
      </c>
      <c r="AX214" s="317">
        <f t="shared" si="172"/>
        <v>0</v>
      </c>
      <c r="AY214" s="317">
        <f t="shared" si="173"/>
        <v>0</v>
      </c>
      <c r="AZ214" s="317">
        <f t="shared" si="174"/>
        <v>0</v>
      </c>
      <c r="BA214" s="317">
        <f t="shared" si="175"/>
        <v>0</v>
      </c>
    </row>
    <row r="215" spans="1:53" s="314" customFormat="1" ht="15.75" customHeight="1">
      <c r="A215" s="63" t="str">
        <f t="array" ref="A215">IF(C215&lt;&gt;0,SUM(($C$11:C215&lt;&gt;0)*1),"")</f>
        <v/>
      </c>
      <c r="B215" s="315"/>
      <c r="C215" s="315"/>
      <c r="D215" s="315"/>
      <c r="E215" s="433"/>
      <c r="F215" s="371"/>
      <c r="G215" s="373"/>
      <c r="H215" s="373"/>
      <c r="I215" s="63" t="str">
        <f t="shared" si="137"/>
        <v/>
      </c>
      <c r="J215" s="317">
        <f t="shared" si="138"/>
        <v>0</v>
      </c>
      <c r="K215" s="317">
        <f t="shared" si="139"/>
        <v>0</v>
      </c>
      <c r="L215" s="317">
        <f t="shared" si="140"/>
        <v>0</v>
      </c>
      <c r="M215" s="317">
        <f t="shared" si="141"/>
        <v>0</v>
      </c>
      <c r="N215" s="317">
        <f t="shared" si="176"/>
        <v>0</v>
      </c>
      <c r="O215" s="317">
        <f t="shared" si="177"/>
        <v>0</v>
      </c>
      <c r="P215" s="317">
        <f t="shared" si="142"/>
        <v>0</v>
      </c>
      <c r="Q215" s="317">
        <f t="shared" si="143"/>
        <v>0</v>
      </c>
      <c r="R215" s="317">
        <f t="shared" si="144"/>
        <v>0</v>
      </c>
      <c r="S215" s="317">
        <f t="shared" si="145"/>
        <v>0</v>
      </c>
      <c r="T215" s="317">
        <f t="shared" si="178"/>
        <v>0</v>
      </c>
      <c r="U215" s="317">
        <f t="shared" si="179"/>
        <v>0</v>
      </c>
      <c r="V215" s="317">
        <f t="shared" si="146"/>
        <v>0</v>
      </c>
      <c r="W215" s="317">
        <f t="shared" si="147"/>
        <v>0</v>
      </c>
      <c r="X215" s="317">
        <f t="shared" si="148"/>
        <v>0</v>
      </c>
      <c r="Y215" s="317">
        <f t="shared" si="149"/>
        <v>0</v>
      </c>
      <c r="Z215" s="317">
        <f t="shared" si="150"/>
        <v>0</v>
      </c>
      <c r="AA215" s="317">
        <f t="shared" si="151"/>
        <v>0</v>
      </c>
      <c r="AB215" s="317">
        <f t="shared" si="152"/>
        <v>0</v>
      </c>
      <c r="AC215" s="317">
        <f t="shared" si="153"/>
        <v>0</v>
      </c>
      <c r="AD215" s="317">
        <f t="shared" si="154"/>
        <v>0</v>
      </c>
      <c r="AE215" s="317">
        <f t="shared" si="155"/>
        <v>0</v>
      </c>
      <c r="AF215" s="317">
        <f t="shared" si="180"/>
        <v>0</v>
      </c>
      <c r="AG215" s="317">
        <f t="shared" si="181"/>
        <v>0</v>
      </c>
      <c r="AH215" s="317">
        <f t="shared" si="156"/>
        <v>0</v>
      </c>
      <c r="AI215" s="317">
        <f t="shared" si="157"/>
        <v>0</v>
      </c>
      <c r="AJ215" s="317">
        <f t="shared" si="158"/>
        <v>0</v>
      </c>
      <c r="AK215" s="317">
        <f t="shared" si="159"/>
        <v>0</v>
      </c>
      <c r="AL215" s="317">
        <f t="shared" si="160"/>
        <v>0</v>
      </c>
      <c r="AM215" s="317">
        <f t="shared" si="161"/>
        <v>0</v>
      </c>
      <c r="AN215" s="317">
        <f t="shared" si="162"/>
        <v>0</v>
      </c>
      <c r="AO215" s="317">
        <f t="shared" si="163"/>
        <v>0</v>
      </c>
      <c r="AP215" s="317">
        <f t="shared" si="164"/>
        <v>0</v>
      </c>
      <c r="AQ215" s="317">
        <f t="shared" si="165"/>
        <v>0</v>
      </c>
      <c r="AR215" s="317">
        <f t="shared" si="166"/>
        <v>0</v>
      </c>
      <c r="AS215" s="317">
        <f t="shared" si="167"/>
        <v>0</v>
      </c>
      <c r="AT215" s="317">
        <f t="shared" si="168"/>
        <v>0</v>
      </c>
      <c r="AU215" s="317">
        <f t="shared" si="169"/>
        <v>0</v>
      </c>
      <c r="AV215" s="317">
        <f t="shared" si="170"/>
        <v>0</v>
      </c>
      <c r="AW215" s="317">
        <f t="shared" si="171"/>
        <v>0</v>
      </c>
      <c r="AX215" s="317">
        <f t="shared" si="172"/>
        <v>0</v>
      </c>
      <c r="AY215" s="317">
        <f t="shared" si="173"/>
        <v>0</v>
      </c>
      <c r="AZ215" s="317">
        <f t="shared" si="174"/>
        <v>0</v>
      </c>
      <c r="BA215" s="317">
        <f t="shared" si="175"/>
        <v>0</v>
      </c>
    </row>
    <row r="216" spans="1:53" s="314" customFormat="1" ht="15.75" customHeight="1">
      <c r="A216" s="63" t="str">
        <f t="array" ref="A216">IF(C216&lt;&gt;0,SUM(($C$11:C216&lt;&gt;0)*1),"")</f>
        <v/>
      </c>
      <c r="B216" s="315"/>
      <c r="C216" s="315"/>
      <c r="D216" s="315"/>
      <c r="E216" s="433"/>
      <c r="F216" s="371"/>
      <c r="G216" s="373"/>
      <c r="H216" s="373"/>
      <c r="I216" s="63" t="str">
        <f t="shared" si="137"/>
        <v/>
      </c>
      <c r="J216" s="317">
        <f t="shared" si="138"/>
        <v>0</v>
      </c>
      <c r="K216" s="317">
        <f t="shared" si="139"/>
        <v>0</v>
      </c>
      <c r="L216" s="317">
        <f t="shared" si="140"/>
        <v>0</v>
      </c>
      <c r="M216" s="317">
        <f t="shared" si="141"/>
        <v>0</v>
      </c>
      <c r="N216" s="317">
        <f t="shared" si="176"/>
        <v>0</v>
      </c>
      <c r="O216" s="317">
        <f t="shared" si="177"/>
        <v>0</v>
      </c>
      <c r="P216" s="317">
        <f t="shared" si="142"/>
        <v>0</v>
      </c>
      <c r="Q216" s="317">
        <f t="shared" si="143"/>
        <v>0</v>
      </c>
      <c r="R216" s="317">
        <f t="shared" si="144"/>
        <v>0</v>
      </c>
      <c r="S216" s="317">
        <f t="shared" si="145"/>
        <v>0</v>
      </c>
      <c r="T216" s="317">
        <f t="shared" si="178"/>
        <v>0</v>
      </c>
      <c r="U216" s="317">
        <f t="shared" si="179"/>
        <v>0</v>
      </c>
      <c r="V216" s="317">
        <f t="shared" si="146"/>
        <v>0</v>
      </c>
      <c r="W216" s="317">
        <f t="shared" si="147"/>
        <v>0</v>
      </c>
      <c r="X216" s="317">
        <f t="shared" si="148"/>
        <v>0</v>
      </c>
      <c r="Y216" s="317">
        <f t="shared" si="149"/>
        <v>0</v>
      </c>
      <c r="Z216" s="317">
        <f t="shared" si="150"/>
        <v>0</v>
      </c>
      <c r="AA216" s="317">
        <f t="shared" si="151"/>
        <v>0</v>
      </c>
      <c r="AB216" s="317">
        <f t="shared" si="152"/>
        <v>0</v>
      </c>
      <c r="AC216" s="317">
        <f t="shared" si="153"/>
        <v>0</v>
      </c>
      <c r="AD216" s="317">
        <f t="shared" si="154"/>
        <v>0</v>
      </c>
      <c r="AE216" s="317">
        <f t="shared" si="155"/>
        <v>0</v>
      </c>
      <c r="AF216" s="317">
        <f t="shared" si="180"/>
        <v>0</v>
      </c>
      <c r="AG216" s="317">
        <f t="shared" si="181"/>
        <v>0</v>
      </c>
      <c r="AH216" s="317">
        <f t="shared" si="156"/>
        <v>0</v>
      </c>
      <c r="AI216" s="317">
        <f t="shared" si="157"/>
        <v>0</v>
      </c>
      <c r="AJ216" s="317">
        <f t="shared" si="158"/>
        <v>0</v>
      </c>
      <c r="AK216" s="317">
        <f t="shared" si="159"/>
        <v>0</v>
      </c>
      <c r="AL216" s="317">
        <f t="shared" si="160"/>
        <v>0</v>
      </c>
      <c r="AM216" s="317">
        <f t="shared" si="161"/>
        <v>0</v>
      </c>
      <c r="AN216" s="317">
        <f t="shared" si="162"/>
        <v>0</v>
      </c>
      <c r="AO216" s="317">
        <f t="shared" si="163"/>
        <v>0</v>
      </c>
      <c r="AP216" s="317">
        <f t="shared" si="164"/>
        <v>0</v>
      </c>
      <c r="AQ216" s="317">
        <f t="shared" si="165"/>
        <v>0</v>
      </c>
      <c r="AR216" s="317">
        <f t="shared" si="166"/>
        <v>0</v>
      </c>
      <c r="AS216" s="317">
        <f t="shared" si="167"/>
        <v>0</v>
      </c>
      <c r="AT216" s="317">
        <f t="shared" si="168"/>
        <v>0</v>
      </c>
      <c r="AU216" s="317">
        <f t="shared" si="169"/>
        <v>0</v>
      </c>
      <c r="AV216" s="317">
        <f t="shared" si="170"/>
        <v>0</v>
      </c>
      <c r="AW216" s="317">
        <f t="shared" si="171"/>
        <v>0</v>
      </c>
      <c r="AX216" s="317">
        <f t="shared" si="172"/>
        <v>0</v>
      </c>
      <c r="AY216" s="317">
        <f t="shared" si="173"/>
        <v>0</v>
      </c>
      <c r="AZ216" s="317">
        <f t="shared" si="174"/>
        <v>0</v>
      </c>
      <c r="BA216" s="317">
        <f t="shared" si="175"/>
        <v>0</v>
      </c>
    </row>
    <row r="217" spans="1:53" s="314" customFormat="1" ht="15.75" customHeight="1">
      <c r="A217" s="63" t="str">
        <f t="array" ref="A217">IF(C217&lt;&gt;0,SUM(($C$11:C217&lt;&gt;0)*1),"")</f>
        <v/>
      </c>
      <c r="B217" s="315"/>
      <c r="C217" s="315"/>
      <c r="D217" s="315"/>
      <c r="E217" s="433"/>
      <c r="F217" s="371"/>
      <c r="G217" s="373"/>
      <c r="H217" s="373"/>
      <c r="I217" s="63" t="str">
        <f t="shared" si="137"/>
        <v/>
      </c>
      <c r="J217" s="317">
        <f t="shared" si="138"/>
        <v>0</v>
      </c>
      <c r="K217" s="317">
        <f t="shared" si="139"/>
        <v>0</v>
      </c>
      <c r="L217" s="317">
        <f t="shared" si="140"/>
        <v>0</v>
      </c>
      <c r="M217" s="317">
        <f t="shared" si="141"/>
        <v>0</v>
      </c>
      <c r="N217" s="317">
        <f t="shared" si="176"/>
        <v>0</v>
      </c>
      <c r="O217" s="317">
        <f t="shared" si="177"/>
        <v>0</v>
      </c>
      <c r="P217" s="317">
        <f t="shared" si="142"/>
        <v>0</v>
      </c>
      <c r="Q217" s="317">
        <f t="shared" si="143"/>
        <v>0</v>
      </c>
      <c r="R217" s="317">
        <f t="shared" si="144"/>
        <v>0</v>
      </c>
      <c r="S217" s="317">
        <f t="shared" si="145"/>
        <v>0</v>
      </c>
      <c r="T217" s="317">
        <f t="shared" si="178"/>
        <v>0</v>
      </c>
      <c r="U217" s="317">
        <f t="shared" si="179"/>
        <v>0</v>
      </c>
      <c r="V217" s="317">
        <f t="shared" si="146"/>
        <v>0</v>
      </c>
      <c r="W217" s="317">
        <f t="shared" si="147"/>
        <v>0</v>
      </c>
      <c r="X217" s="317">
        <f t="shared" si="148"/>
        <v>0</v>
      </c>
      <c r="Y217" s="317">
        <f t="shared" si="149"/>
        <v>0</v>
      </c>
      <c r="Z217" s="317">
        <f t="shared" si="150"/>
        <v>0</v>
      </c>
      <c r="AA217" s="317">
        <f t="shared" si="151"/>
        <v>0</v>
      </c>
      <c r="AB217" s="317">
        <f t="shared" si="152"/>
        <v>0</v>
      </c>
      <c r="AC217" s="317">
        <f t="shared" si="153"/>
        <v>0</v>
      </c>
      <c r="AD217" s="317">
        <f t="shared" si="154"/>
        <v>0</v>
      </c>
      <c r="AE217" s="317">
        <f t="shared" si="155"/>
        <v>0</v>
      </c>
      <c r="AF217" s="317">
        <f t="shared" si="180"/>
        <v>0</v>
      </c>
      <c r="AG217" s="317">
        <f t="shared" si="181"/>
        <v>0</v>
      </c>
      <c r="AH217" s="317">
        <f t="shared" si="156"/>
        <v>0</v>
      </c>
      <c r="AI217" s="317">
        <f t="shared" si="157"/>
        <v>0</v>
      </c>
      <c r="AJ217" s="317">
        <f t="shared" si="158"/>
        <v>0</v>
      </c>
      <c r="AK217" s="317">
        <f t="shared" si="159"/>
        <v>0</v>
      </c>
      <c r="AL217" s="317">
        <f t="shared" si="160"/>
        <v>0</v>
      </c>
      <c r="AM217" s="317">
        <f t="shared" si="161"/>
        <v>0</v>
      </c>
      <c r="AN217" s="317">
        <f t="shared" si="162"/>
        <v>0</v>
      </c>
      <c r="AO217" s="317">
        <f t="shared" si="163"/>
        <v>0</v>
      </c>
      <c r="AP217" s="317">
        <f t="shared" si="164"/>
        <v>0</v>
      </c>
      <c r="AQ217" s="317">
        <f t="shared" si="165"/>
        <v>0</v>
      </c>
      <c r="AR217" s="317">
        <f t="shared" si="166"/>
        <v>0</v>
      </c>
      <c r="AS217" s="317">
        <f t="shared" si="167"/>
        <v>0</v>
      </c>
      <c r="AT217" s="317">
        <f t="shared" si="168"/>
        <v>0</v>
      </c>
      <c r="AU217" s="317">
        <f t="shared" si="169"/>
        <v>0</v>
      </c>
      <c r="AV217" s="317">
        <f t="shared" si="170"/>
        <v>0</v>
      </c>
      <c r="AW217" s="317">
        <f t="shared" si="171"/>
        <v>0</v>
      </c>
      <c r="AX217" s="317">
        <f t="shared" si="172"/>
        <v>0</v>
      </c>
      <c r="AY217" s="317">
        <f t="shared" si="173"/>
        <v>0</v>
      </c>
      <c r="AZ217" s="317">
        <f t="shared" si="174"/>
        <v>0</v>
      </c>
      <c r="BA217" s="317">
        <f t="shared" si="175"/>
        <v>0</v>
      </c>
    </row>
    <row r="218" spans="1:53" s="314" customFormat="1" ht="15.75" customHeight="1">
      <c r="A218" s="63" t="str">
        <f t="array" ref="A218">IF(C218&lt;&gt;0,SUM(($C$11:C218&lt;&gt;0)*1),"")</f>
        <v/>
      </c>
      <c r="B218" s="315"/>
      <c r="C218" s="315"/>
      <c r="D218" s="315"/>
      <c r="E218" s="433"/>
      <c r="F218" s="371"/>
      <c r="G218" s="373"/>
      <c r="H218" s="373"/>
      <c r="I218" s="63" t="str">
        <f t="shared" si="137"/>
        <v/>
      </c>
      <c r="J218" s="317">
        <f t="shared" si="138"/>
        <v>0</v>
      </c>
      <c r="K218" s="317">
        <f t="shared" si="139"/>
        <v>0</v>
      </c>
      <c r="L218" s="317">
        <f t="shared" si="140"/>
        <v>0</v>
      </c>
      <c r="M218" s="317">
        <f t="shared" si="141"/>
        <v>0</v>
      </c>
      <c r="N218" s="317">
        <f t="shared" si="176"/>
        <v>0</v>
      </c>
      <c r="O218" s="317">
        <f t="shared" si="177"/>
        <v>0</v>
      </c>
      <c r="P218" s="317">
        <f t="shared" si="142"/>
        <v>0</v>
      </c>
      <c r="Q218" s="317">
        <f t="shared" si="143"/>
        <v>0</v>
      </c>
      <c r="R218" s="317">
        <f t="shared" si="144"/>
        <v>0</v>
      </c>
      <c r="S218" s="317">
        <f t="shared" si="145"/>
        <v>0</v>
      </c>
      <c r="T218" s="317">
        <f t="shared" si="178"/>
        <v>0</v>
      </c>
      <c r="U218" s="317">
        <f t="shared" si="179"/>
        <v>0</v>
      </c>
      <c r="V218" s="317">
        <f t="shared" si="146"/>
        <v>0</v>
      </c>
      <c r="W218" s="317">
        <f t="shared" si="147"/>
        <v>0</v>
      </c>
      <c r="X218" s="317">
        <f t="shared" si="148"/>
        <v>0</v>
      </c>
      <c r="Y218" s="317">
        <f t="shared" si="149"/>
        <v>0</v>
      </c>
      <c r="Z218" s="317">
        <f t="shared" si="150"/>
        <v>0</v>
      </c>
      <c r="AA218" s="317">
        <f t="shared" si="151"/>
        <v>0</v>
      </c>
      <c r="AB218" s="317">
        <f t="shared" si="152"/>
        <v>0</v>
      </c>
      <c r="AC218" s="317">
        <f t="shared" si="153"/>
        <v>0</v>
      </c>
      <c r="AD218" s="317">
        <f t="shared" si="154"/>
        <v>0</v>
      </c>
      <c r="AE218" s="317">
        <f t="shared" si="155"/>
        <v>0</v>
      </c>
      <c r="AF218" s="317">
        <f t="shared" si="180"/>
        <v>0</v>
      </c>
      <c r="AG218" s="317">
        <f t="shared" si="181"/>
        <v>0</v>
      </c>
      <c r="AH218" s="317">
        <f t="shared" si="156"/>
        <v>0</v>
      </c>
      <c r="AI218" s="317">
        <f t="shared" si="157"/>
        <v>0</v>
      </c>
      <c r="AJ218" s="317">
        <f t="shared" si="158"/>
        <v>0</v>
      </c>
      <c r="AK218" s="317">
        <f t="shared" si="159"/>
        <v>0</v>
      </c>
      <c r="AL218" s="317">
        <f t="shared" si="160"/>
        <v>0</v>
      </c>
      <c r="AM218" s="317">
        <f t="shared" si="161"/>
        <v>0</v>
      </c>
      <c r="AN218" s="317">
        <f t="shared" si="162"/>
        <v>0</v>
      </c>
      <c r="AO218" s="317">
        <f t="shared" si="163"/>
        <v>0</v>
      </c>
      <c r="AP218" s="317">
        <f t="shared" si="164"/>
        <v>0</v>
      </c>
      <c r="AQ218" s="317">
        <f t="shared" si="165"/>
        <v>0</v>
      </c>
      <c r="AR218" s="317">
        <f t="shared" si="166"/>
        <v>0</v>
      </c>
      <c r="AS218" s="317">
        <f t="shared" si="167"/>
        <v>0</v>
      </c>
      <c r="AT218" s="317">
        <f t="shared" si="168"/>
        <v>0</v>
      </c>
      <c r="AU218" s="317">
        <f t="shared" si="169"/>
        <v>0</v>
      </c>
      <c r="AV218" s="317">
        <f t="shared" si="170"/>
        <v>0</v>
      </c>
      <c r="AW218" s="317">
        <f t="shared" si="171"/>
        <v>0</v>
      </c>
      <c r="AX218" s="317">
        <f t="shared" si="172"/>
        <v>0</v>
      </c>
      <c r="AY218" s="317">
        <f t="shared" si="173"/>
        <v>0</v>
      </c>
      <c r="AZ218" s="317">
        <f t="shared" si="174"/>
        <v>0</v>
      </c>
      <c r="BA218" s="317">
        <f t="shared" si="175"/>
        <v>0</v>
      </c>
    </row>
    <row r="219" spans="1:53" s="314" customFormat="1" ht="15.75" customHeight="1">
      <c r="A219" s="63" t="str">
        <f t="array" ref="A219">IF(C219&lt;&gt;0,SUM(($C$11:C219&lt;&gt;0)*1),"")</f>
        <v/>
      </c>
      <c r="B219" s="315"/>
      <c r="C219" s="315"/>
      <c r="D219" s="315"/>
      <c r="E219" s="433"/>
      <c r="F219" s="371"/>
      <c r="G219" s="373"/>
      <c r="H219" s="373"/>
      <c r="I219" s="63" t="str">
        <f t="shared" si="137"/>
        <v/>
      </c>
      <c r="J219" s="317">
        <f t="shared" si="138"/>
        <v>0</v>
      </c>
      <c r="K219" s="317">
        <f t="shared" si="139"/>
        <v>0</v>
      </c>
      <c r="L219" s="317">
        <f t="shared" si="140"/>
        <v>0</v>
      </c>
      <c r="M219" s="317">
        <f t="shared" si="141"/>
        <v>0</v>
      </c>
      <c r="N219" s="317">
        <f t="shared" si="176"/>
        <v>0</v>
      </c>
      <c r="O219" s="317">
        <f t="shared" si="177"/>
        <v>0</v>
      </c>
      <c r="P219" s="317">
        <f t="shared" si="142"/>
        <v>0</v>
      </c>
      <c r="Q219" s="317">
        <f t="shared" si="143"/>
        <v>0</v>
      </c>
      <c r="R219" s="317">
        <f t="shared" si="144"/>
        <v>0</v>
      </c>
      <c r="S219" s="317">
        <f t="shared" si="145"/>
        <v>0</v>
      </c>
      <c r="T219" s="317">
        <f t="shared" si="178"/>
        <v>0</v>
      </c>
      <c r="U219" s="317">
        <f t="shared" si="179"/>
        <v>0</v>
      </c>
      <c r="V219" s="317">
        <f t="shared" si="146"/>
        <v>0</v>
      </c>
      <c r="W219" s="317">
        <f t="shared" si="147"/>
        <v>0</v>
      </c>
      <c r="X219" s="317">
        <f t="shared" si="148"/>
        <v>0</v>
      </c>
      <c r="Y219" s="317">
        <f t="shared" si="149"/>
        <v>0</v>
      </c>
      <c r="Z219" s="317">
        <f t="shared" si="150"/>
        <v>0</v>
      </c>
      <c r="AA219" s="317">
        <f t="shared" si="151"/>
        <v>0</v>
      </c>
      <c r="AB219" s="317">
        <f t="shared" si="152"/>
        <v>0</v>
      </c>
      <c r="AC219" s="317">
        <f t="shared" si="153"/>
        <v>0</v>
      </c>
      <c r="AD219" s="317">
        <f t="shared" si="154"/>
        <v>0</v>
      </c>
      <c r="AE219" s="317">
        <f t="shared" si="155"/>
        <v>0</v>
      </c>
      <c r="AF219" s="317">
        <f t="shared" si="180"/>
        <v>0</v>
      </c>
      <c r="AG219" s="317">
        <f t="shared" si="181"/>
        <v>0</v>
      </c>
      <c r="AH219" s="317">
        <f t="shared" si="156"/>
        <v>0</v>
      </c>
      <c r="AI219" s="317">
        <f t="shared" si="157"/>
        <v>0</v>
      </c>
      <c r="AJ219" s="317">
        <f t="shared" si="158"/>
        <v>0</v>
      </c>
      <c r="AK219" s="317">
        <f t="shared" si="159"/>
        <v>0</v>
      </c>
      <c r="AL219" s="317">
        <f t="shared" si="160"/>
        <v>0</v>
      </c>
      <c r="AM219" s="317">
        <f t="shared" si="161"/>
        <v>0</v>
      </c>
      <c r="AN219" s="317">
        <f t="shared" si="162"/>
        <v>0</v>
      </c>
      <c r="AO219" s="317">
        <f t="shared" si="163"/>
        <v>0</v>
      </c>
      <c r="AP219" s="317">
        <f t="shared" si="164"/>
        <v>0</v>
      </c>
      <c r="AQ219" s="317">
        <f t="shared" si="165"/>
        <v>0</v>
      </c>
      <c r="AR219" s="317">
        <f t="shared" si="166"/>
        <v>0</v>
      </c>
      <c r="AS219" s="317">
        <f t="shared" si="167"/>
        <v>0</v>
      </c>
      <c r="AT219" s="317">
        <f t="shared" si="168"/>
        <v>0</v>
      </c>
      <c r="AU219" s="317">
        <f t="shared" si="169"/>
        <v>0</v>
      </c>
      <c r="AV219" s="317">
        <f t="shared" si="170"/>
        <v>0</v>
      </c>
      <c r="AW219" s="317">
        <f t="shared" si="171"/>
        <v>0</v>
      </c>
      <c r="AX219" s="317">
        <f t="shared" si="172"/>
        <v>0</v>
      </c>
      <c r="AY219" s="317">
        <f t="shared" si="173"/>
        <v>0</v>
      </c>
      <c r="AZ219" s="317">
        <f t="shared" si="174"/>
        <v>0</v>
      </c>
      <c r="BA219" s="317">
        <f t="shared" si="175"/>
        <v>0</v>
      </c>
    </row>
    <row r="220" spans="1:53" s="314" customFormat="1" ht="15.75" customHeight="1">
      <c r="A220" s="63" t="str">
        <f t="array" ref="A220">IF(C220&lt;&gt;0,SUM(($C$11:C220&lt;&gt;0)*1),"")</f>
        <v/>
      </c>
      <c r="B220" s="315"/>
      <c r="C220" s="315"/>
      <c r="D220" s="315"/>
      <c r="E220" s="433"/>
      <c r="F220" s="371"/>
      <c r="G220" s="373"/>
      <c r="H220" s="373"/>
      <c r="I220" s="63" t="str">
        <f t="shared" si="137"/>
        <v/>
      </c>
      <c r="J220" s="317">
        <f t="shared" si="138"/>
        <v>0</v>
      </c>
      <c r="K220" s="317">
        <f t="shared" si="139"/>
        <v>0</v>
      </c>
      <c r="L220" s="317">
        <f t="shared" si="140"/>
        <v>0</v>
      </c>
      <c r="M220" s="317">
        <f t="shared" si="141"/>
        <v>0</v>
      </c>
      <c r="N220" s="317">
        <f t="shared" si="176"/>
        <v>0</v>
      </c>
      <c r="O220" s="317">
        <f t="shared" si="177"/>
        <v>0</v>
      </c>
      <c r="P220" s="317">
        <f t="shared" si="142"/>
        <v>0</v>
      </c>
      <c r="Q220" s="317">
        <f t="shared" si="143"/>
        <v>0</v>
      </c>
      <c r="R220" s="317">
        <f t="shared" si="144"/>
        <v>0</v>
      </c>
      <c r="S220" s="317">
        <f t="shared" si="145"/>
        <v>0</v>
      </c>
      <c r="T220" s="317">
        <f t="shared" si="178"/>
        <v>0</v>
      </c>
      <c r="U220" s="317">
        <f t="shared" si="179"/>
        <v>0</v>
      </c>
      <c r="V220" s="317">
        <f t="shared" si="146"/>
        <v>0</v>
      </c>
      <c r="W220" s="317">
        <f t="shared" si="147"/>
        <v>0</v>
      </c>
      <c r="X220" s="317">
        <f t="shared" si="148"/>
        <v>0</v>
      </c>
      <c r="Y220" s="317">
        <f t="shared" si="149"/>
        <v>0</v>
      </c>
      <c r="Z220" s="317">
        <f t="shared" si="150"/>
        <v>0</v>
      </c>
      <c r="AA220" s="317">
        <f t="shared" si="151"/>
        <v>0</v>
      </c>
      <c r="AB220" s="317">
        <f t="shared" si="152"/>
        <v>0</v>
      </c>
      <c r="AC220" s="317">
        <f t="shared" si="153"/>
        <v>0</v>
      </c>
      <c r="AD220" s="317">
        <f t="shared" si="154"/>
        <v>0</v>
      </c>
      <c r="AE220" s="317">
        <f t="shared" si="155"/>
        <v>0</v>
      </c>
      <c r="AF220" s="317">
        <f t="shared" si="180"/>
        <v>0</v>
      </c>
      <c r="AG220" s="317">
        <f t="shared" si="181"/>
        <v>0</v>
      </c>
      <c r="AH220" s="317">
        <f t="shared" si="156"/>
        <v>0</v>
      </c>
      <c r="AI220" s="317">
        <f t="shared" si="157"/>
        <v>0</v>
      </c>
      <c r="AJ220" s="317">
        <f t="shared" si="158"/>
        <v>0</v>
      </c>
      <c r="AK220" s="317">
        <f t="shared" si="159"/>
        <v>0</v>
      </c>
      <c r="AL220" s="317">
        <f t="shared" si="160"/>
        <v>0</v>
      </c>
      <c r="AM220" s="317">
        <f t="shared" si="161"/>
        <v>0</v>
      </c>
      <c r="AN220" s="317">
        <f t="shared" si="162"/>
        <v>0</v>
      </c>
      <c r="AO220" s="317">
        <f t="shared" si="163"/>
        <v>0</v>
      </c>
      <c r="AP220" s="317">
        <f t="shared" si="164"/>
        <v>0</v>
      </c>
      <c r="AQ220" s="317">
        <f t="shared" si="165"/>
        <v>0</v>
      </c>
      <c r="AR220" s="317">
        <f t="shared" si="166"/>
        <v>0</v>
      </c>
      <c r="AS220" s="317">
        <f t="shared" si="167"/>
        <v>0</v>
      </c>
      <c r="AT220" s="317">
        <f t="shared" si="168"/>
        <v>0</v>
      </c>
      <c r="AU220" s="317">
        <f t="shared" si="169"/>
        <v>0</v>
      </c>
      <c r="AV220" s="317">
        <f t="shared" si="170"/>
        <v>0</v>
      </c>
      <c r="AW220" s="317">
        <f t="shared" si="171"/>
        <v>0</v>
      </c>
      <c r="AX220" s="317">
        <f t="shared" si="172"/>
        <v>0</v>
      </c>
      <c r="AY220" s="317">
        <f t="shared" si="173"/>
        <v>0</v>
      </c>
      <c r="AZ220" s="317">
        <f t="shared" si="174"/>
        <v>0</v>
      </c>
      <c r="BA220" s="317">
        <f t="shared" si="175"/>
        <v>0</v>
      </c>
    </row>
    <row r="221" spans="1:53" s="314" customFormat="1" ht="15.75" customHeight="1">
      <c r="A221" s="63" t="str">
        <f t="array" ref="A221">IF(C221&lt;&gt;0,SUM(($C$11:C221&lt;&gt;0)*1),"")</f>
        <v/>
      </c>
      <c r="B221" s="315"/>
      <c r="C221" s="315"/>
      <c r="D221" s="315"/>
      <c r="E221" s="433"/>
      <c r="F221" s="371"/>
      <c r="G221" s="373"/>
      <c r="H221" s="373"/>
      <c r="I221" s="63" t="str">
        <f t="shared" si="137"/>
        <v/>
      </c>
      <c r="J221" s="317">
        <f t="shared" si="138"/>
        <v>0</v>
      </c>
      <c r="K221" s="317">
        <f t="shared" si="139"/>
        <v>0</v>
      </c>
      <c r="L221" s="317">
        <f t="shared" si="140"/>
        <v>0</v>
      </c>
      <c r="M221" s="317">
        <f t="shared" si="141"/>
        <v>0</v>
      </c>
      <c r="N221" s="317">
        <f t="shared" si="176"/>
        <v>0</v>
      </c>
      <c r="O221" s="317">
        <f t="shared" si="177"/>
        <v>0</v>
      </c>
      <c r="P221" s="317">
        <f t="shared" si="142"/>
        <v>0</v>
      </c>
      <c r="Q221" s="317">
        <f t="shared" si="143"/>
        <v>0</v>
      </c>
      <c r="R221" s="317">
        <f t="shared" si="144"/>
        <v>0</v>
      </c>
      <c r="S221" s="317">
        <f t="shared" si="145"/>
        <v>0</v>
      </c>
      <c r="T221" s="317">
        <f t="shared" si="178"/>
        <v>0</v>
      </c>
      <c r="U221" s="317">
        <f t="shared" si="179"/>
        <v>0</v>
      </c>
      <c r="V221" s="317">
        <f t="shared" si="146"/>
        <v>0</v>
      </c>
      <c r="W221" s="317">
        <f t="shared" si="147"/>
        <v>0</v>
      </c>
      <c r="X221" s="317">
        <f t="shared" si="148"/>
        <v>0</v>
      </c>
      <c r="Y221" s="317">
        <f t="shared" si="149"/>
        <v>0</v>
      </c>
      <c r="Z221" s="317">
        <f t="shared" si="150"/>
        <v>0</v>
      </c>
      <c r="AA221" s="317">
        <f t="shared" si="151"/>
        <v>0</v>
      </c>
      <c r="AB221" s="317">
        <f t="shared" si="152"/>
        <v>0</v>
      </c>
      <c r="AC221" s="317">
        <f t="shared" si="153"/>
        <v>0</v>
      </c>
      <c r="AD221" s="317">
        <f t="shared" si="154"/>
        <v>0</v>
      </c>
      <c r="AE221" s="317">
        <f t="shared" si="155"/>
        <v>0</v>
      </c>
      <c r="AF221" s="317">
        <f t="shared" si="180"/>
        <v>0</v>
      </c>
      <c r="AG221" s="317">
        <f t="shared" si="181"/>
        <v>0</v>
      </c>
      <c r="AH221" s="317">
        <f t="shared" si="156"/>
        <v>0</v>
      </c>
      <c r="AI221" s="317">
        <f t="shared" si="157"/>
        <v>0</v>
      </c>
      <c r="AJ221" s="317">
        <f t="shared" si="158"/>
        <v>0</v>
      </c>
      <c r="AK221" s="317">
        <f t="shared" si="159"/>
        <v>0</v>
      </c>
      <c r="AL221" s="317">
        <f t="shared" si="160"/>
        <v>0</v>
      </c>
      <c r="AM221" s="317">
        <f t="shared" si="161"/>
        <v>0</v>
      </c>
      <c r="AN221" s="317">
        <f t="shared" si="162"/>
        <v>0</v>
      </c>
      <c r="AO221" s="317">
        <f t="shared" si="163"/>
        <v>0</v>
      </c>
      <c r="AP221" s="317">
        <f t="shared" si="164"/>
        <v>0</v>
      </c>
      <c r="AQ221" s="317">
        <f t="shared" si="165"/>
        <v>0</v>
      </c>
      <c r="AR221" s="317">
        <f t="shared" si="166"/>
        <v>0</v>
      </c>
      <c r="AS221" s="317">
        <f t="shared" si="167"/>
        <v>0</v>
      </c>
      <c r="AT221" s="317">
        <f t="shared" si="168"/>
        <v>0</v>
      </c>
      <c r="AU221" s="317">
        <f t="shared" si="169"/>
        <v>0</v>
      </c>
      <c r="AV221" s="317">
        <f t="shared" si="170"/>
        <v>0</v>
      </c>
      <c r="AW221" s="317">
        <f t="shared" si="171"/>
        <v>0</v>
      </c>
      <c r="AX221" s="317">
        <f t="shared" si="172"/>
        <v>0</v>
      </c>
      <c r="AY221" s="317">
        <f t="shared" si="173"/>
        <v>0</v>
      </c>
      <c r="AZ221" s="317">
        <f t="shared" si="174"/>
        <v>0</v>
      </c>
      <c r="BA221" s="317">
        <f t="shared" si="175"/>
        <v>0</v>
      </c>
    </row>
    <row r="222" spans="1:53" s="314" customFormat="1" ht="15.75" customHeight="1">
      <c r="A222" s="63" t="str">
        <f t="array" ref="A222">IF(C222&lt;&gt;0,SUM(($C$11:C222&lt;&gt;0)*1),"")</f>
        <v/>
      </c>
      <c r="B222" s="315"/>
      <c r="C222" s="315"/>
      <c r="D222" s="315"/>
      <c r="E222" s="433"/>
      <c r="F222" s="371"/>
      <c r="G222" s="373"/>
      <c r="H222" s="373"/>
      <c r="I222" s="63" t="str">
        <f t="shared" si="137"/>
        <v/>
      </c>
      <c r="J222" s="317">
        <f t="shared" si="138"/>
        <v>0</v>
      </c>
      <c r="K222" s="317">
        <f t="shared" si="139"/>
        <v>0</v>
      </c>
      <c r="L222" s="317">
        <f t="shared" si="140"/>
        <v>0</v>
      </c>
      <c r="M222" s="317">
        <f t="shared" si="141"/>
        <v>0</v>
      </c>
      <c r="N222" s="317">
        <f t="shared" si="176"/>
        <v>0</v>
      </c>
      <c r="O222" s="317">
        <f t="shared" si="177"/>
        <v>0</v>
      </c>
      <c r="P222" s="317">
        <f t="shared" si="142"/>
        <v>0</v>
      </c>
      <c r="Q222" s="317">
        <f t="shared" si="143"/>
        <v>0</v>
      </c>
      <c r="R222" s="317">
        <f t="shared" si="144"/>
        <v>0</v>
      </c>
      <c r="S222" s="317">
        <f t="shared" si="145"/>
        <v>0</v>
      </c>
      <c r="T222" s="317">
        <f t="shared" si="178"/>
        <v>0</v>
      </c>
      <c r="U222" s="317">
        <f t="shared" si="179"/>
        <v>0</v>
      </c>
      <c r="V222" s="317">
        <f t="shared" si="146"/>
        <v>0</v>
      </c>
      <c r="W222" s="317">
        <f t="shared" si="147"/>
        <v>0</v>
      </c>
      <c r="X222" s="317">
        <f t="shared" si="148"/>
        <v>0</v>
      </c>
      <c r="Y222" s="317">
        <f t="shared" si="149"/>
        <v>0</v>
      </c>
      <c r="Z222" s="317">
        <f t="shared" si="150"/>
        <v>0</v>
      </c>
      <c r="AA222" s="317">
        <f t="shared" si="151"/>
        <v>0</v>
      </c>
      <c r="AB222" s="317">
        <f t="shared" si="152"/>
        <v>0</v>
      </c>
      <c r="AC222" s="317">
        <f t="shared" si="153"/>
        <v>0</v>
      </c>
      <c r="AD222" s="317">
        <f t="shared" si="154"/>
        <v>0</v>
      </c>
      <c r="AE222" s="317">
        <f t="shared" si="155"/>
        <v>0</v>
      </c>
      <c r="AF222" s="317">
        <f t="shared" si="180"/>
        <v>0</v>
      </c>
      <c r="AG222" s="317">
        <f t="shared" si="181"/>
        <v>0</v>
      </c>
      <c r="AH222" s="317">
        <f t="shared" si="156"/>
        <v>0</v>
      </c>
      <c r="AI222" s="317">
        <f t="shared" si="157"/>
        <v>0</v>
      </c>
      <c r="AJ222" s="317">
        <f t="shared" si="158"/>
        <v>0</v>
      </c>
      <c r="AK222" s="317">
        <f t="shared" si="159"/>
        <v>0</v>
      </c>
      <c r="AL222" s="317">
        <f t="shared" si="160"/>
        <v>0</v>
      </c>
      <c r="AM222" s="317">
        <f t="shared" si="161"/>
        <v>0</v>
      </c>
      <c r="AN222" s="317">
        <f t="shared" si="162"/>
        <v>0</v>
      </c>
      <c r="AO222" s="317">
        <f t="shared" si="163"/>
        <v>0</v>
      </c>
      <c r="AP222" s="317">
        <f t="shared" si="164"/>
        <v>0</v>
      </c>
      <c r="AQ222" s="317">
        <f t="shared" si="165"/>
        <v>0</v>
      </c>
      <c r="AR222" s="317">
        <f t="shared" si="166"/>
        <v>0</v>
      </c>
      <c r="AS222" s="317">
        <f t="shared" si="167"/>
        <v>0</v>
      </c>
      <c r="AT222" s="317">
        <f t="shared" si="168"/>
        <v>0</v>
      </c>
      <c r="AU222" s="317">
        <f t="shared" si="169"/>
        <v>0</v>
      </c>
      <c r="AV222" s="317">
        <f t="shared" si="170"/>
        <v>0</v>
      </c>
      <c r="AW222" s="317">
        <f t="shared" si="171"/>
        <v>0</v>
      </c>
      <c r="AX222" s="317">
        <f t="shared" si="172"/>
        <v>0</v>
      </c>
      <c r="AY222" s="317">
        <f t="shared" si="173"/>
        <v>0</v>
      </c>
      <c r="AZ222" s="317">
        <f t="shared" si="174"/>
        <v>0</v>
      </c>
      <c r="BA222" s="317">
        <f t="shared" si="175"/>
        <v>0</v>
      </c>
    </row>
    <row r="223" spans="1:53" s="314" customFormat="1" ht="15.75" customHeight="1">
      <c r="A223" s="63" t="str">
        <f t="array" ref="A223">IF(C223&lt;&gt;0,SUM(($C$11:C223&lt;&gt;0)*1),"")</f>
        <v/>
      </c>
      <c r="B223" s="315"/>
      <c r="C223" s="315"/>
      <c r="D223" s="315"/>
      <c r="E223" s="433"/>
      <c r="F223" s="371"/>
      <c r="G223" s="373"/>
      <c r="H223" s="373"/>
      <c r="I223" s="63" t="str">
        <f t="shared" si="137"/>
        <v/>
      </c>
      <c r="J223" s="317">
        <f t="shared" si="138"/>
        <v>0</v>
      </c>
      <c r="K223" s="317">
        <f t="shared" si="139"/>
        <v>0</v>
      </c>
      <c r="L223" s="317">
        <f t="shared" si="140"/>
        <v>0</v>
      </c>
      <c r="M223" s="317">
        <f t="shared" si="141"/>
        <v>0</v>
      </c>
      <c r="N223" s="317">
        <f t="shared" si="176"/>
        <v>0</v>
      </c>
      <c r="O223" s="317">
        <f t="shared" si="177"/>
        <v>0</v>
      </c>
      <c r="P223" s="317">
        <f t="shared" si="142"/>
        <v>0</v>
      </c>
      <c r="Q223" s="317">
        <f t="shared" si="143"/>
        <v>0</v>
      </c>
      <c r="R223" s="317">
        <f t="shared" si="144"/>
        <v>0</v>
      </c>
      <c r="S223" s="317">
        <f t="shared" si="145"/>
        <v>0</v>
      </c>
      <c r="T223" s="317">
        <f t="shared" si="178"/>
        <v>0</v>
      </c>
      <c r="U223" s="317">
        <f t="shared" si="179"/>
        <v>0</v>
      </c>
      <c r="V223" s="317">
        <f t="shared" si="146"/>
        <v>0</v>
      </c>
      <c r="W223" s="317">
        <f t="shared" si="147"/>
        <v>0</v>
      </c>
      <c r="X223" s="317">
        <f t="shared" si="148"/>
        <v>0</v>
      </c>
      <c r="Y223" s="317">
        <f t="shared" si="149"/>
        <v>0</v>
      </c>
      <c r="Z223" s="317">
        <f t="shared" si="150"/>
        <v>0</v>
      </c>
      <c r="AA223" s="317">
        <f t="shared" si="151"/>
        <v>0</v>
      </c>
      <c r="AB223" s="317">
        <f t="shared" si="152"/>
        <v>0</v>
      </c>
      <c r="AC223" s="317">
        <f t="shared" si="153"/>
        <v>0</v>
      </c>
      <c r="AD223" s="317">
        <f t="shared" si="154"/>
        <v>0</v>
      </c>
      <c r="AE223" s="317">
        <f t="shared" si="155"/>
        <v>0</v>
      </c>
      <c r="AF223" s="317">
        <f t="shared" si="180"/>
        <v>0</v>
      </c>
      <c r="AG223" s="317">
        <f t="shared" si="181"/>
        <v>0</v>
      </c>
      <c r="AH223" s="317">
        <f t="shared" si="156"/>
        <v>0</v>
      </c>
      <c r="AI223" s="317">
        <f t="shared" si="157"/>
        <v>0</v>
      </c>
      <c r="AJ223" s="317">
        <f t="shared" si="158"/>
        <v>0</v>
      </c>
      <c r="AK223" s="317">
        <f t="shared" si="159"/>
        <v>0</v>
      </c>
      <c r="AL223" s="317">
        <f t="shared" si="160"/>
        <v>0</v>
      </c>
      <c r="AM223" s="317">
        <f t="shared" si="161"/>
        <v>0</v>
      </c>
      <c r="AN223" s="317">
        <f t="shared" si="162"/>
        <v>0</v>
      </c>
      <c r="AO223" s="317">
        <f t="shared" si="163"/>
        <v>0</v>
      </c>
      <c r="AP223" s="317">
        <f t="shared" si="164"/>
        <v>0</v>
      </c>
      <c r="AQ223" s="317">
        <f t="shared" si="165"/>
        <v>0</v>
      </c>
      <c r="AR223" s="317">
        <f t="shared" si="166"/>
        <v>0</v>
      </c>
      <c r="AS223" s="317">
        <f t="shared" si="167"/>
        <v>0</v>
      </c>
      <c r="AT223" s="317">
        <f t="shared" si="168"/>
        <v>0</v>
      </c>
      <c r="AU223" s="317">
        <f t="shared" si="169"/>
        <v>0</v>
      </c>
      <c r="AV223" s="317">
        <f t="shared" si="170"/>
        <v>0</v>
      </c>
      <c r="AW223" s="317">
        <f t="shared" si="171"/>
        <v>0</v>
      </c>
      <c r="AX223" s="317">
        <f t="shared" si="172"/>
        <v>0</v>
      </c>
      <c r="AY223" s="317">
        <f t="shared" si="173"/>
        <v>0</v>
      </c>
      <c r="AZ223" s="317">
        <f t="shared" si="174"/>
        <v>0</v>
      </c>
      <c r="BA223" s="317">
        <f t="shared" si="175"/>
        <v>0</v>
      </c>
    </row>
    <row r="224" spans="1:53" s="314" customFormat="1" ht="15.75" customHeight="1">
      <c r="A224" s="63" t="str">
        <f t="array" ref="A224">IF(C224&lt;&gt;0,SUM(($C$11:C224&lt;&gt;0)*1),"")</f>
        <v/>
      </c>
      <c r="B224" s="315"/>
      <c r="C224" s="315"/>
      <c r="D224" s="315"/>
      <c r="E224" s="433"/>
      <c r="F224" s="371"/>
      <c r="G224" s="373"/>
      <c r="H224" s="373"/>
      <c r="I224" s="63" t="str">
        <f t="shared" si="137"/>
        <v/>
      </c>
      <c r="J224" s="317">
        <f t="shared" si="138"/>
        <v>0</v>
      </c>
      <c r="K224" s="317">
        <f t="shared" si="139"/>
        <v>0</v>
      </c>
      <c r="L224" s="317">
        <f t="shared" si="140"/>
        <v>0</v>
      </c>
      <c r="M224" s="317">
        <f t="shared" si="141"/>
        <v>0</v>
      </c>
      <c r="N224" s="317">
        <f t="shared" si="176"/>
        <v>0</v>
      </c>
      <c r="O224" s="317">
        <f t="shared" si="177"/>
        <v>0</v>
      </c>
      <c r="P224" s="317">
        <f t="shared" si="142"/>
        <v>0</v>
      </c>
      <c r="Q224" s="317">
        <f t="shared" si="143"/>
        <v>0</v>
      </c>
      <c r="R224" s="317">
        <f t="shared" si="144"/>
        <v>0</v>
      </c>
      <c r="S224" s="317">
        <f t="shared" si="145"/>
        <v>0</v>
      </c>
      <c r="T224" s="317">
        <f t="shared" si="178"/>
        <v>0</v>
      </c>
      <c r="U224" s="317">
        <f t="shared" si="179"/>
        <v>0</v>
      </c>
      <c r="V224" s="317">
        <f t="shared" si="146"/>
        <v>0</v>
      </c>
      <c r="W224" s="317">
        <f t="shared" si="147"/>
        <v>0</v>
      </c>
      <c r="X224" s="317">
        <f t="shared" si="148"/>
        <v>0</v>
      </c>
      <c r="Y224" s="317">
        <f t="shared" si="149"/>
        <v>0</v>
      </c>
      <c r="Z224" s="317">
        <f t="shared" si="150"/>
        <v>0</v>
      </c>
      <c r="AA224" s="317">
        <f t="shared" si="151"/>
        <v>0</v>
      </c>
      <c r="AB224" s="317">
        <f t="shared" si="152"/>
        <v>0</v>
      </c>
      <c r="AC224" s="317">
        <f t="shared" si="153"/>
        <v>0</v>
      </c>
      <c r="AD224" s="317">
        <f t="shared" si="154"/>
        <v>0</v>
      </c>
      <c r="AE224" s="317">
        <f t="shared" si="155"/>
        <v>0</v>
      </c>
      <c r="AF224" s="317">
        <f t="shared" si="180"/>
        <v>0</v>
      </c>
      <c r="AG224" s="317">
        <f t="shared" si="181"/>
        <v>0</v>
      </c>
      <c r="AH224" s="317">
        <f t="shared" si="156"/>
        <v>0</v>
      </c>
      <c r="AI224" s="317">
        <f t="shared" si="157"/>
        <v>0</v>
      </c>
      <c r="AJ224" s="317">
        <f t="shared" si="158"/>
        <v>0</v>
      </c>
      <c r="AK224" s="317">
        <f t="shared" si="159"/>
        <v>0</v>
      </c>
      <c r="AL224" s="317">
        <f t="shared" si="160"/>
        <v>0</v>
      </c>
      <c r="AM224" s="317">
        <f t="shared" si="161"/>
        <v>0</v>
      </c>
      <c r="AN224" s="317">
        <f t="shared" si="162"/>
        <v>0</v>
      </c>
      <c r="AO224" s="317">
        <f t="shared" si="163"/>
        <v>0</v>
      </c>
      <c r="AP224" s="317">
        <f t="shared" si="164"/>
        <v>0</v>
      </c>
      <c r="AQ224" s="317">
        <f t="shared" si="165"/>
        <v>0</v>
      </c>
      <c r="AR224" s="317">
        <f t="shared" si="166"/>
        <v>0</v>
      </c>
      <c r="AS224" s="317">
        <f t="shared" si="167"/>
        <v>0</v>
      </c>
      <c r="AT224" s="317">
        <f t="shared" si="168"/>
        <v>0</v>
      </c>
      <c r="AU224" s="317">
        <f t="shared" si="169"/>
        <v>0</v>
      </c>
      <c r="AV224" s="317">
        <f t="shared" si="170"/>
        <v>0</v>
      </c>
      <c r="AW224" s="317">
        <f t="shared" si="171"/>
        <v>0</v>
      </c>
      <c r="AX224" s="317">
        <f t="shared" si="172"/>
        <v>0</v>
      </c>
      <c r="AY224" s="317">
        <f t="shared" si="173"/>
        <v>0</v>
      </c>
      <c r="AZ224" s="317">
        <f t="shared" si="174"/>
        <v>0</v>
      </c>
      <c r="BA224" s="317">
        <f t="shared" si="175"/>
        <v>0</v>
      </c>
    </row>
    <row r="225" spans="1:53" s="314" customFormat="1" ht="15.75" customHeight="1">
      <c r="A225" s="63" t="str">
        <f t="array" ref="A225">IF(C225&lt;&gt;0,SUM(($C$11:C225&lt;&gt;0)*1),"")</f>
        <v/>
      </c>
      <c r="B225" s="315"/>
      <c r="C225" s="315"/>
      <c r="D225" s="315"/>
      <c r="E225" s="433"/>
      <c r="F225" s="371"/>
      <c r="G225" s="373"/>
      <c r="H225" s="373"/>
      <c r="I225" s="63" t="str">
        <f t="shared" si="137"/>
        <v/>
      </c>
      <c r="J225" s="317">
        <f t="shared" si="138"/>
        <v>0</v>
      </c>
      <c r="K225" s="317">
        <f t="shared" si="139"/>
        <v>0</v>
      </c>
      <c r="L225" s="317">
        <f t="shared" si="140"/>
        <v>0</v>
      </c>
      <c r="M225" s="317">
        <f t="shared" si="141"/>
        <v>0</v>
      </c>
      <c r="N225" s="317">
        <f t="shared" si="176"/>
        <v>0</v>
      </c>
      <c r="O225" s="317">
        <f t="shared" si="177"/>
        <v>0</v>
      </c>
      <c r="P225" s="317">
        <f t="shared" si="142"/>
        <v>0</v>
      </c>
      <c r="Q225" s="317">
        <f t="shared" si="143"/>
        <v>0</v>
      </c>
      <c r="R225" s="317">
        <f t="shared" si="144"/>
        <v>0</v>
      </c>
      <c r="S225" s="317">
        <f t="shared" si="145"/>
        <v>0</v>
      </c>
      <c r="T225" s="317">
        <f t="shared" si="178"/>
        <v>0</v>
      </c>
      <c r="U225" s="317">
        <f t="shared" si="179"/>
        <v>0</v>
      </c>
      <c r="V225" s="317">
        <f t="shared" si="146"/>
        <v>0</v>
      </c>
      <c r="W225" s="317">
        <f t="shared" si="147"/>
        <v>0</v>
      </c>
      <c r="X225" s="317">
        <f t="shared" si="148"/>
        <v>0</v>
      </c>
      <c r="Y225" s="317">
        <f t="shared" si="149"/>
        <v>0</v>
      </c>
      <c r="Z225" s="317">
        <f t="shared" si="150"/>
        <v>0</v>
      </c>
      <c r="AA225" s="317">
        <f t="shared" si="151"/>
        <v>0</v>
      </c>
      <c r="AB225" s="317">
        <f t="shared" si="152"/>
        <v>0</v>
      </c>
      <c r="AC225" s="317">
        <f t="shared" si="153"/>
        <v>0</v>
      </c>
      <c r="AD225" s="317">
        <f t="shared" si="154"/>
        <v>0</v>
      </c>
      <c r="AE225" s="317">
        <f t="shared" si="155"/>
        <v>0</v>
      </c>
      <c r="AF225" s="317">
        <f t="shared" si="180"/>
        <v>0</v>
      </c>
      <c r="AG225" s="317">
        <f t="shared" si="181"/>
        <v>0</v>
      </c>
      <c r="AH225" s="317">
        <f t="shared" si="156"/>
        <v>0</v>
      </c>
      <c r="AI225" s="317">
        <f t="shared" si="157"/>
        <v>0</v>
      </c>
      <c r="AJ225" s="317">
        <f t="shared" si="158"/>
        <v>0</v>
      </c>
      <c r="AK225" s="317">
        <f t="shared" si="159"/>
        <v>0</v>
      </c>
      <c r="AL225" s="317">
        <f t="shared" si="160"/>
        <v>0</v>
      </c>
      <c r="AM225" s="317">
        <f t="shared" si="161"/>
        <v>0</v>
      </c>
      <c r="AN225" s="317">
        <f t="shared" si="162"/>
        <v>0</v>
      </c>
      <c r="AO225" s="317">
        <f t="shared" si="163"/>
        <v>0</v>
      </c>
      <c r="AP225" s="317">
        <f t="shared" si="164"/>
        <v>0</v>
      </c>
      <c r="AQ225" s="317">
        <f t="shared" si="165"/>
        <v>0</v>
      </c>
      <c r="AR225" s="317">
        <f t="shared" si="166"/>
        <v>0</v>
      </c>
      <c r="AS225" s="317">
        <f t="shared" si="167"/>
        <v>0</v>
      </c>
      <c r="AT225" s="317">
        <f t="shared" si="168"/>
        <v>0</v>
      </c>
      <c r="AU225" s="317">
        <f t="shared" si="169"/>
        <v>0</v>
      </c>
      <c r="AV225" s="317">
        <f t="shared" si="170"/>
        <v>0</v>
      </c>
      <c r="AW225" s="317">
        <f t="shared" si="171"/>
        <v>0</v>
      </c>
      <c r="AX225" s="317">
        <f t="shared" si="172"/>
        <v>0</v>
      </c>
      <c r="AY225" s="317">
        <f t="shared" si="173"/>
        <v>0</v>
      </c>
      <c r="AZ225" s="317">
        <f t="shared" si="174"/>
        <v>0</v>
      </c>
      <c r="BA225" s="317">
        <f t="shared" si="175"/>
        <v>0</v>
      </c>
    </row>
    <row r="226" spans="1:53" s="314" customFormat="1" ht="15.75" customHeight="1">
      <c r="A226" s="63" t="str">
        <f t="array" ref="A226">IF(C226&lt;&gt;0,SUM(($C$11:C226&lt;&gt;0)*1),"")</f>
        <v/>
      </c>
      <c r="B226" s="315"/>
      <c r="C226" s="315"/>
      <c r="D226" s="315"/>
      <c r="E226" s="433"/>
      <c r="F226" s="371"/>
      <c r="G226" s="373"/>
      <c r="H226" s="373"/>
      <c r="I226" s="63" t="str">
        <f t="shared" si="137"/>
        <v/>
      </c>
      <c r="J226" s="317">
        <f t="shared" si="138"/>
        <v>0</v>
      </c>
      <c r="K226" s="317">
        <f t="shared" si="139"/>
        <v>0</v>
      </c>
      <c r="L226" s="317">
        <f t="shared" si="140"/>
        <v>0</v>
      </c>
      <c r="M226" s="317">
        <f t="shared" si="141"/>
        <v>0</v>
      </c>
      <c r="N226" s="317">
        <f t="shared" si="176"/>
        <v>0</v>
      </c>
      <c r="O226" s="317">
        <f t="shared" si="177"/>
        <v>0</v>
      </c>
      <c r="P226" s="317">
        <f t="shared" si="142"/>
        <v>0</v>
      </c>
      <c r="Q226" s="317">
        <f t="shared" si="143"/>
        <v>0</v>
      </c>
      <c r="R226" s="317">
        <f t="shared" si="144"/>
        <v>0</v>
      </c>
      <c r="S226" s="317">
        <f t="shared" si="145"/>
        <v>0</v>
      </c>
      <c r="T226" s="317">
        <f t="shared" si="178"/>
        <v>0</v>
      </c>
      <c r="U226" s="317">
        <f t="shared" si="179"/>
        <v>0</v>
      </c>
      <c r="V226" s="317">
        <f t="shared" si="146"/>
        <v>0</v>
      </c>
      <c r="W226" s="317">
        <f t="shared" si="147"/>
        <v>0</v>
      </c>
      <c r="X226" s="317">
        <f t="shared" si="148"/>
        <v>0</v>
      </c>
      <c r="Y226" s="317">
        <f t="shared" si="149"/>
        <v>0</v>
      </c>
      <c r="Z226" s="317">
        <f t="shared" si="150"/>
        <v>0</v>
      </c>
      <c r="AA226" s="317">
        <f t="shared" si="151"/>
        <v>0</v>
      </c>
      <c r="AB226" s="317">
        <f t="shared" si="152"/>
        <v>0</v>
      </c>
      <c r="AC226" s="317">
        <f t="shared" si="153"/>
        <v>0</v>
      </c>
      <c r="AD226" s="317">
        <f t="shared" si="154"/>
        <v>0</v>
      </c>
      <c r="AE226" s="317">
        <f t="shared" si="155"/>
        <v>0</v>
      </c>
      <c r="AF226" s="317">
        <f t="shared" si="180"/>
        <v>0</v>
      </c>
      <c r="AG226" s="317">
        <f t="shared" si="181"/>
        <v>0</v>
      </c>
      <c r="AH226" s="317">
        <f t="shared" si="156"/>
        <v>0</v>
      </c>
      <c r="AI226" s="317">
        <f t="shared" si="157"/>
        <v>0</v>
      </c>
      <c r="AJ226" s="317">
        <f t="shared" si="158"/>
        <v>0</v>
      </c>
      <c r="AK226" s="317">
        <f t="shared" si="159"/>
        <v>0</v>
      </c>
      <c r="AL226" s="317">
        <f t="shared" si="160"/>
        <v>0</v>
      </c>
      <c r="AM226" s="317">
        <f t="shared" si="161"/>
        <v>0</v>
      </c>
      <c r="AN226" s="317">
        <f t="shared" si="162"/>
        <v>0</v>
      </c>
      <c r="AO226" s="317">
        <f t="shared" si="163"/>
        <v>0</v>
      </c>
      <c r="AP226" s="317">
        <f t="shared" si="164"/>
        <v>0</v>
      </c>
      <c r="AQ226" s="317">
        <f t="shared" si="165"/>
        <v>0</v>
      </c>
      <c r="AR226" s="317">
        <f t="shared" si="166"/>
        <v>0</v>
      </c>
      <c r="AS226" s="317">
        <f t="shared" si="167"/>
        <v>0</v>
      </c>
      <c r="AT226" s="317">
        <f t="shared" si="168"/>
        <v>0</v>
      </c>
      <c r="AU226" s="317">
        <f t="shared" si="169"/>
        <v>0</v>
      </c>
      <c r="AV226" s="317">
        <f t="shared" si="170"/>
        <v>0</v>
      </c>
      <c r="AW226" s="317">
        <f t="shared" si="171"/>
        <v>0</v>
      </c>
      <c r="AX226" s="317">
        <f t="shared" si="172"/>
        <v>0</v>
      </c>
      <c r="AY226" s="317">
        <f t="shared" si="173"/>
        <v>0</v>
      </c>
      <c r="AZ226" s="317">
        <f t="shared" si="174"/>
        <v>0</v>
      </c>
      <c r="BA226" s="317">
        <f t="shared" si="175"/>
        <v>0</v>
      </c>
    </row>
    <row r="227" spans="1:53" s="314" customFormat="1" ht="15.75" customHeight="1">
      <c r="A227" s="63" t="str">
        <f t="array" ref="A227">IF(C227&lt;&gt;0,SUM(($C$11:C227&lt;&gt;0)*1),"")</f>
        <v/>
      </c>
      <c r="B227" s="315"/>
      <c r="C227" s="315"/>
      <c r="D227" s="315"/>
      <c r="E227" s="433"/>
      <c r="F227" s="371"/>
      <c r="G227" s="373"/>
      <c r="H227" s="373"/>
      <c r="I227" s="63" t="str">
        <f t="shared" si="137"/>
        <v/>
      </c>
      <c r="J227" s="317">
        <f t="shared" si="138"/>
        <v>0</v>
      </c>
      <c r="K227" s="317">
        <f t="shared" si="139"/>
        <v>0</v>
      </c>
      <c r="L227" s="317">
        <f t="shared" si="140"/>
        <v>0</v>
      </c>
      <c r="M227" s="317">
        <f t="shared" si="141"/>
        <v>0</v>
      </c>
      <c r="N227" s="317">
        <f t="shared" si="176"/>
        <v>0</v>
      </c>
      <c r="O227" s="317">
        <f t="shared" si="177"/>
        <v>0</v>
      </c>
      <c r="P227" s="317">
        <f t="shared" si="142"/>
        <v>0</v>
      </c>
      <c r="Q227" s="317">
        <f t="shared" si="143"/>
        <v>0</v>
      </c>
      <c r="R227" s="317">
        <f t="shared" si="144"/>
        <v>0</v>
      </c>
      <c r="S227" s="317">
        <f t="shared" si="145"/>
        <v>0</v>
      </c>
      <c r="T227" s="317">
        <f t="shared" si="178"/>
        <v>0</v>
      </c>
      <c r="U227" s="317">
        <f t="shared" si="179"/>
        <v>0</v>
      </c>
      <c r="V227" s="317">
        <f t="shared" si="146"/>
        <v>0</v>
      </c>
      <c r="W227" s="317">
        <f t="shared" si="147"/>
        <v>0</v>
      </c>
      <c r="X227" s="317">
        <f t="shared" si="148"/>
        <v>0</v>
      </c>
      <c r="Y227" s="317">
        <f t="shared" si="149"/>
        <v>0</v>
      </c>
      <c r="Z227" s="317">
        <f t="shared" si="150"/>
        <v>0</v>
      </c>
      <c r="AA227" s="317">
        <f t="shared" si="151"/>
        <v>0</v>
      </c>
      <c r="AB227" s="317">
        <f t="shared" si="152"/>
        <v>0</v>
      </c>
      <c r="AC227" s="317">
        <f t="shared" si="153"/>
        <v>0</v>
      </c>
      <c r="AD227" s="317">
        <f t="shared" si="154"/>
        <v>0</v>
      </c>
      <c r="AE227" s="317">
        <f t="shared" si="155"/>
        <v>0</v>
      </c>
      <c r="AF227" s="317">
        <f t="shared" si="180"/>
        <v>0</v>
      </c>
      <c r="AG227" s="317">
        <f t="shared" si="181"/>
        <v>0</v>
      </c>
      <c r="AH227" s="317">
        <f t="shared" si="156"/>
        <v>0</v>
      </c>
      <c r="AI227" s="317">
        <f t="shared" si="157"/>
        <v>0</v>
      </c>
      <c r="AJ227" s="317">
        <f t="shared" si="158"/>
        <v>0</v>
      </c>
      <c r="AK227" s="317">
        <f t="shared" si="159"/>
        <v>0</v>
      </c>
      <c r="AL227" s="317">
        <f t="shared" si="160"/>
        <v>0</v>
      </c>
      <c r="AM227" s="317">
        <f t="shared" si="161"/>
        <v>0</v>
      </c>
      <c r="AN227" s="317">
        <f t="shared" si="162"/>
        <v>0</v>
      </c>
      <c r="AO227" s="317">
        <f t="shared" si="163"/>
        <v>0</v>
      </c>
      <c r="AP227" s="317">
        <f t="shared" si="164"/>
        <v>0</v>
      </c>
      <c r="AQ227" s="317">
        <f t="shared" si="165"/>
        <v>0</v>
      </c>
      <c r="AR227" s="317">
        <f t="shared" si="166"/>
        <v>0</v>
      </c>
      <c r="AS227" s="317">
        <f t="shared" si="167"/>
        <v>0</v>
      </c>
      <c r="AT227" s="317">
        <f t="shared" si="168"/>
        <v>0</v>
      </c>
      <c r="AU227" s="317">
        <f t="shared" si="169"/>
        <v>0</v>
      </c>
      <c r="AV227" s="317">
        <f t="shared" si="170"/>
        <v>0</v>
      </c>
      <c r="AW227" s="317">
        <f t="shared" si="171"/>
        <v>0</v>
      </c>
      <c r="AX227" s="317">
        <f t="shared" si="172"/>
        <v>0</v>
      </c>
      <c r="AY227" s="317">
        <f t="shared" si="173"/>
        <v>0</v>
      </c>
      <c r="AZ227" s="317">
        <f t="shared" si="174"/>
        <v>0</v>
      </c>
      <c r="BA227" s="317">
        <f t="shared" si="175"/>
        <v>0</v>
      </c>
    </row>
    <row r="228" spans="1:53" s="314" customFormat="1" ht="15.75" customHeight="1">
      <c r="A228" s="63" t="str">
        <f t="array" ref="A228">IF(C228&lt;&gt;0,SUM(($C$11:C228&lt;&gt;0)*1),"")</f>
        <v/>
      </c>
      <c r="B228" s="315"/>
      <c r="C228" s="315"/>
      <c r="D228" s="315"/>
      <c r="E228" s="433"/>
      <c r="F228" s="371"/>
      <c r="G228" s="373"/>
      <c r="H228" s="373"/>
      <c r="I228" s="63" t="str">
        <f t="shared" si="137"/>
        <v/>
      </c>
      <c r="J228" s="317">
        <f t="shared" si="138"/>
        <v>0</v>
      </c>
      <c r="K228" s="317">
        <f t="shared" si="139"/>
        <v>0</v>
      </c>
      <c r="L228" s="317">
        <f t="shared" si="140"/>
        <v>0</v>
      </c>
      <c r="M228" s="317">
        <f t="shared" si="141"/>
        <v>0</v>
      </c>
      <c r="N228" s="317">
        <f t="shared" si="176"/>
        <v>0</v>
      </c>
      <c r="O228" s="317">
        <f t="shared" si="177"/>
        <v>0</v>
      </c>
      <c r="P228" s="317">
        <f t="shared" si="142"/>
        <v>0</v>
      </c>
      <c r="Q228" s="317">
        <f t="shared" si="143"/>
        <v>0</v>
      </c>
      <c r="R228" s="317">
        <f t="shared" si="144"/>
        <v>0</v>
      </c>
      <c r="S228" s="317">
        <f t="shared" si="145"/>
        <v>0</v>
      </c>
      <c r="T228" s="317">
        <f t="shared" si="178"/>
        <v>0</v>
      </c>
      <c r="U228" s="317">
        <f t="shared" si="179"/>
        <v>0</v>
      </c>
      <c r="V228" s="317">
        <f t="shared" si="146"/>
        <v>0</v>
      </c>
      <c r="W228" s="317">
        <f t="shared" si="147"/>
        <v>0</v>
      </c>
      <c r="X228" s="317">
        <f t="shared" si="148"/>
        <v>0</v>
      </c>
      <c r="Y228" s="317">
        <f t="shared" si="149"/>
        <v>0</v>
      </c>
      <c r="Z228" s="317">
        <f t="shared" si="150"/>
        <v>0</v>
      </c>
      <c r="AA228" s="317">
        <f t="shared" si="151"/>
        <v>0</v>
      </c>
      <c r="AB228" s="317">
        <f t="shared" si="152"/>
        <v>0</v>
      </c>
      <c r="AC228" s="317">
        <f t="shared" si="153"/>
        <v>0</v>
      </c>
      <c r="AD228" s="317">
        <f t="shared" si="154"/>
        <v>0</v>
      </c>
      <c r="AE228" s="317">
        <f t="shared" si="155"/>
        <v>0</v>
      </c>
      <c r="AF228" s="317">
        <f t="shared" si="180"/>
        <v>0</v>
      </c>
      <c r="AG228" s="317">
        <f t="shared" si="181"/>
        <v>0</v>
      </c>
      <c r="AH228" s="317">
        <f t="shared" si="156"/>
        <v>0</v>
      </c>
      <c r="AI228" s="317">
        <f t="shared" si="157"/>
        <v>0</v>
      </c>
      <c r="AJ228" s="317">
        <f t="shared" si="158"/>
        <v>0</v>
      </c>
      <c r="AK228" s="317">
        <f t="shared" si="159"/>
        <v>0</v>
      </c>
      <c r="AL228" s="317">
        <f t="shared" si="160"/>
        <v>0</v>
      </c>
      <c r="AM228" s="317">
        <f t="shared" si="161"/>
        <v>0</v>
      </c>
      <c r="AN228" s="317">
        <f t="shared" si="162"/>
        <v>0</v>
      </c>
      <c r="AO228" s="317">
        <f t="shared" si="163"/>
        <v>0</v>
      </c>
      <c r="AP228" s="317">
        <f t="shared" si="164"/>
        <v>0</v>
      </c>
      <c r="AQ228" s="317">
        <f t="shared" si="165"/>
        <v>0</v>
      </c>
      <c r="AR228" s="317">
        <f t="shared" si="166"/>
        <v>0</v>
      </c>
      <c r="AS228" s="317">
        <f t="shared" si="167"/>
        <v>0</v>
      </c>
      <c r="AT228" s="317">
        <f t="shared" si="168"/>
        <v>0</v>
      </c>
      <c r="AU228" s="317">
        <f t="shared" si="169"/>
        <v>0</v>
      </c>
      <c r="AV228" s="317">
        <f t="shared" si="170"/>
        <v>0</v>
      </c>
      <c r="AW228" s="317">
        <f t="shared" si="171"/>
        <v>0</v>
      </c>
      <c r="AX228" s="317">
        <f t="shared" si="172"/>
        <v>0</v>
      </c>
      <c r="AY228" s="317">
        <f t="shared" si="173"/>
        <v>0</v>
      </c>
      <c r="AZ228" s="317">
        <f t="shared" si="174"/>
        <v>0</v>
      </c>
      <c r="BA228" s="317">
        <f t="shared" si="175"/>
        <v>0</v>
      </c>
    </row>
    <row r="229" spans="1:53" s="314" customFormat="1" ht="15.75" customHeight="1">
      <c r="A229" s="63" t="str">
        <f t="array" ref="A229">IF(C229&lt;&gt;0,SUM(($C$11:C229&lt;&gt;0)*1),"")</f>
        <v/>
      </c>
      <c r="B229" s="315"/>
      <c r="C229" s="315"/>
      <c r="D229" s="315"/>
      <c r="E229" s="433"/>
      <c r="F229" s="371"/>
      <c r="G229" s="373"/>
      <c r="H229" s="373"/>
      <c r="I229" s="63" t="str">
        <f t="shared" si="137"/>
        <v/>
      </c>
      <c r="J229" s="317">
        <f t="shared" si="138"/>
        <v>0</v>
      </c>
      <c r="K229" s="317">
        <f t="shared" si="139"/>
        <v>0</v>
      </c>
      <c r="L229" s="317">
        <f t="shared" si="140"/>
        <v>0</v>
      </c>
      <c r="M229" s="317">
        <f t="shared" si="141"/>
        <v>0</v>
      </c>
      <c r="N229" s="317">
        <f t="shared" si="176"/>
        <v>0</v>
      </c>
      <c r="O229" s="317">
        <f t="shared" si="177"/>
        <v>0</v>
      </c>
      <c r="P229" s="317">
        <f t="shared" si="142"/>
        <v>0</v>
      </c>
      <c r="Q229" s="317">
        <f t="shared" si="143"/>
        <v>0</v>
      </c>
      <c r="R229" s="317">
        <f t="shared" si="144"/>
        <v>0</v>
      </c>
      <c r="S229" s="317">
        <f t="shared" si="145"/>
        <v>0</v>
      </c>
      <c r="T229" s="317">
        <f t="shared" si="178"/>
        <v>0</v>
      </c>
      <c r="U229" s="317">
        <f t="shared" si="179"/>
        <v>0</v>
      </c>
      <c r="V229" s="317">
        <f t="shared" si="146"/>
        <v>0</v>
      </c>
      <c r="W229" s="317">
        <f t="shared" si="147"/>
        <v>0</v>
      </c>
      <c r="X229" s="317">
        <f t="shared" si="148"/>
        <v>0</v>
      </c>
      <c r="Y229" s="317">
        <f t="shared" si="149"/>
        <v>0</v>
      </c>
      <c r="Z229" s="317">
        <f t="shared" si="150"/>
        <v>0</v>
      </c>
      <c r="AA229" s="317">
        <f t="shared" si="151"/>
        <v>0</v>
      </c>
      <c r="AB229" s="317">
        <f t="shared" si="152"/>
        <v>0</v>
      </c>
      <c r="AC229" s="317">
        <f t="shared" si="153"/>
        <v>0</v>
      </c>
      <c r="AD229" s="317">
        <f t="shared" si="154"/>
        <v>0</v>
      </c>
      <c r="AE229" s="317">
        <f t="shared" si="155"/>
        <v>0</v>
      </c>
      <c r="AF229" s="317">
        <f t="shared" si="180"/>
        <v>0</v>
      </c>
      <c r="AG229" s="317">
        <f t="shared" si="181"/>
        <v>0</v>
      </c>
      <c r="AH229" s="317">
        <f t="shared" si="156"/>
        <v>0</v>
      </c>
      <c r="AI229" s="317">
        <f t="shared" si="157"/>
        <v>0</v>
      </c>
      <c r="AJ229" s="317">
        <f t="shared" si="158"/>
        <v>0</v>
      </c>
      <c r="AK229" s="317">
        <f t="shared" si="159"/>
        <v>0</v>
      </c>
      <c r="AL229" s="317">
        <f t="shared" si="160"/>
        <v>0</v>
      </c>
      <c r="AM229" s="317">
        <f t="shared" si="161"/>
        <v>0</v>
      </c>
      <c r="AN229" s="317">
        <f t="shared" si="162"/>
        <v>0</v>
      </c>
      <c r="AO229" s="317">
        <f t="shared" si="163"/>
        <v>0</v>
      </c>
      <c r="AP229" s="317">
        <f t="shared" si="164"/>
        <v>0</v>
      </c>
      <c r="AQ229" s="317">
        <f t="shared" si="165"/>
        <v>0</v>
      </c>
      <c r="AR229" s="317">
        <f t="shared" si="166"/>
        <v>0</v>
      </c>
      <c r="AS229" s="317">
        <f t="shared" si="167"/>
        <v>0</v>
      </c>
      <c r="AT229" s="317">
        <f t="shared" si="168"/>
        <v>0</v>
      </c>
      <c r="AU229" s="317">
        <f t="shared" si="169"/>
        <v>0</v>
      </c>
      <c r="AV229" s="317">
        <f t="shared" si="170"/>
        <v>0</v>
      </c>
      <c r="AW229" s="317">
        <f t="shared" si="171"/>
        <v>0</v>
      </c>
      <c r="AX229" s="317">
        <f t="shared" si="172"/>
        <v>0</v>
      </c>
      <c r="AY229" s="317">
        <f t="shared" si="173"/>
        <v>0</v>
      </c>
      <c r="AZ229" s="317">
        <f t="shared" si="174"/>
        <v>0</v>
      </c>
      <c r="BA229" s="317">
        <f t="shared" si="175"/>
        <v>0</v>
      </c>
    </row>
    <row r="230" spans="1:53" s="314" customFormat="1" ht="15.75" customHeight="1">
      <c r="A230" s="63" t="str">
        <f t="array" ref="A230">IF(C230&lt;&gt;0,SUM(($C$11:C230&lt;&gt;0)*1),"")</f>
        <v/>
      </c>
      <c r="B230" s="315"/>
      <c r="C230" s="315"/>
      <c r="D230" s="315"/>
      <c r="E230" s="433"/>
      <c r="F230" s="371"/>
      <c r="G230" s="373"/>
      <c r="H230" s="373"/>
      <c r="I230" s="63" t="str">
        <f t="shared" si="137"/>
        <v/>
      </c>
      <c r="J230" s="317">
        <f t="shared" si="138"/>
        <v>0</v>
      </c>
      <c r="K230" s="317">
        <f t="shared" si="139"/>
        <v>0</v>
      </c>
      <c r="L230" s="317">
        <f t="shared" si="140"/>
        <v>0</v>
      </c>
      <c r="M230" s="317">
        <f t="shared" si="141"/>
        <v>0</v>
      </c>
      <c r="N230" s="317">
        <f t="shared" si="176"/>
        <v>0</v>
      </c>
      <c r="O230" s="317">
        <f t="shared" si="177"/>
        <v>0</v>
      </c>
      <c r="P230" s="317">
        <f t="shared" si="142"/>
        <v>0</v>
      </c>
      <c r="Q230" s="317">
        <f t="shared" si="143"/>
        <v>0</v>
      </c>
      <c r="R230" s="317">
        <f t="shared" si="144"/>
        <v>0</v>
      </c>
      <c r="S230" s="317">
        <f t="shared" si="145"/>
        <v>0</v>
      </c>
      <c r="T230" s="317">
        <f t="shared" si="178"/>
        <v>0</v>
      </c>
      <c r="U230" s="317">
        <f t="shared" si="179"/>
        <v>0</v>
      </c>
      <c r="V230" s="317">
        <f t="shared" si="146"/>
        <v>0</v>
      </c>
      <c r="W230" s="317">
        <f t="shared" si="147"/>
        <v>0</v>
      </c>
      <c r="X230" s="317">
        <f t="shared" si="148"/>
        <v>0</v>
      </c>
      <c r="Y230" s="317">
        <f t="shared" si="149"/>
        <v>0</v>
      </c>
      <c r="Z230" s="317">
        <f t="shared" si="150"/>
        <v>0</v>
      </c>
      <c r="AA230" s="317">
        <f t="shared" si="151"/>
        <v>0</v>
      </c>
      <c r="AB230" s="317">
        <f t="shared" si="152"/>
        <v>0</v>
      </c>
      <c r="AC230" s="317">
        <f t="shared" si="153"/>
        <v>0</v>
      </c>
      <c r="AD230" s="317">
        <f t="shared" si="154"/>
        <v>0</v>
      </c>
      <c r="AE230" s="317">
        <f t="shared" si="155"/>
        <v>0</v>
      </c>
      <c r="AF230" s="317">
        <f t="shared" si="180"/>
        <v>0</v>
      </c>
      <c r="AG230" s="317">
        <f t="shared" si="181"/>
        <v>0</v>
      </c>
      <c r="AH230" s="317">
        <f t="shared" si="156"/>
        <v>0</v>
      </c>
      <c r="AI230" s="317">
        <f t="shared" si="157"/>
        <v>0</v>
      </c>
      <c r="AJ230" s="317">
        <f t="shared" si="158"/>
        <v>0</v>
      </c>
      <c r="AK230" s="317">
        <f t="shared" si="159"/>
        <v>0</v>
      </c>
      <c r="AL230" s="317">
        <f t="shared" si="160"/>
        <v>0</v>
      </c>
      <c r="AM230" s="317">
        <f t="shared" si="161"/>
        <v>0</v>
      </c>
      <c r="AN230" s="317">
        <f t="shared" si="162"/>
        <v>0</v>
      </c>
      <c r="AO230" s="317">
        <f t="shared" si="163"/>
        <v>0</v>
      </c>
      <c r="AP230" s="317">
        <f t="shared" si="164"/>
        <v>0</v>
      </c>
      <c r="AQ230" s="317">
        <f t="shared" si="165"/>
        <v>0</v>
      </c>
      <c r="AR230" s="317">
        <f t="shared" si="166"/>
        <v>0</v>
      </c>
      <c r="AS230" s="317">
        <f t="shared" si="167"/>
        <v>0</v>
      </c>
      <c r="AT230" s="317">
        <f t="shared" si="168"/>
        <v>0</v>
      </c>
      <c r="AU230" s="317">
        <f t="shared" si="169"/>
        <v>0</v>
      </c>
      <c r="AV230" s="317">
        <f t="shared" si="170"/>
        <v>0</v>
      </c>
      <c r="AW230" s="317">
        <f t="shared" si="171"/>
        <v>0</v>
      </c>
      <c r="AX230" s="317">
        <f t="shared" si="172"/>
        <v>0</v>
      </c>
      <c r="AY230" s="317">
        <f t="shared" si="173"/>
        <v>0</v>
      </c>
      <c r="AZ230" s="317">
        <f t="shared" si="174"/>
        <v>0</v>
      </c>
      <c r="BA230" s="317">
        <f t="shared" si="175"/>
        <v>0</v>
      </c>
    </row>
    <row r="231" spans="1:53" s="314" customFormat="1" ht="15.75" customHeight="1">
      <c r="A231" s="63" t="str">
        <f t="array" ref="A231">IF(C231&lt;&gt;0,SUM(($C$11:C231&lt;&gt;0)*1),"")</f>
        <v/>
      </c>
      <c r="B231" s="315"/>
      <c r="C231" s="315"/>
      <c r="D231" s="315"/>
      <c r="E231" s="433"/>
      <c r="F231" s="371"/>
      <c r="G231" s="373"/>
      <c r="H231" s="373"/>
      <c r="I231" s="63" t="str">
        <f>A231</f>
        <v/>
      </c>
      <c r="J231" s="317">
        <f t="shared" si="138"/>
        <v>0</v>
      </c>
      <c r="K231" s="317">
        <f t="shared" si="139"/>
        <v>0</v>
      </c>
      <c r="L231" s="317">
        <f t="shared" si="140"/>
        <v>0</v>
      </c>
      <c r="M231" s="317">
        <f t="shared" si="141"/>
        <v>0</v>
      </c>
      <c r="N231" s="317">
        <f t="shared" si="176"/>
        <v>0</v>
      </c>
      <c r="O231" s="317">
        <f t="shared" si="177"/>
        <v>0</v>
      </c>
      <c r="P231" s="317">
        <f t="shared" si="142"/>
        <v>0</v>
      </c>
      <c r="Q231" s="317">
        <f t="shared" si="143"/>
        <v>0</v>
      </c>
      <c r="R231" s="317">
        <f t="shared" si="144"/>
        <v>0</v>
      </c>
      <c r="S231" s="317">
        <f t="shared" si="145"/>
        <v>0</v>
      </c>
      <c r="T231" s="317">
        <f t="shared" si="178"/>
        <v>0</v>
      </c>
      <c r="U231" s="317">
        <f t="shared" si="179"/>
        <v>0</v>
      </c>
      <c r="V231" s="317">
        <f t="shared" si="146"/>
        <v>0</v>
      </c>
      <c r="W231" s="317">
        <f t="shared" si="147"/>
        <v>0</v>
      </c>
      <c r="X231" s="317">
        <f t="shared" si="148"/>
        <v>0</v>
      </c>
      <c r="Y231" s="317">
        <f t="shared" si="149"/>
        <v>0</v>
      </c>
      <c r="Z231" s="317">
        <f t="shared" si="150"/>
        <v>0</v>
      </c>
      <c r="AA231" s="317">
        <f t="shared" si="151"/>
        <v>0</v>
      </c>
      <c r="AB231" s="317">
        <f t="shared" si="152"/>
        <v>0</v>
      </c>
      <c r="AC231" s="317">
        <f t="shared" si="153"/>
        <v>0</v>
      </c>
      <c r="AD231" s="317">
        <f t="shared" si="154"/>
        <v>0</v>
      </c>
      <c r="AE231" s="317">
        <f t="shared" si="155"/>
        <v>0</v>
      </c>
      <c r="AF231" s="317">
        <f t="shared" si="180"/>
        <v>0</v>
      </c>
      <c r="AG231" s="317">
        <f t="shared" si="181"/>
        <v>0</v>
      </c>
      <c r="AH231" s="317">
        <f t="shared" si="156"/>
        <v>0</v>
      </c>
      <c r="AI231" s="317">
        <f t="shared" si="157"/>
        <v>0</v>
      </c>
      <c r="AJ231" s="317">
        <f t="shared" si="158"/>
        <v>0</v>
      </c>
      <c r="AK231" s="317">
        <f t="shared" si="159"/>
        <v>0</v>
      </c>
      <c r="AL231" s="317">
        <f t="shared" si="160"/>
        <v>0</v>
      </c>
      <c r="AM231" s="317">
        <f t="shared" si="161"/>
        <v>0</v>
      </c>
      <c r="AN231" s="317">
        <f t="shared" si="162"/>
        <v>0</v>
      </c>
      <c r="AO231" s="317">
        <f t="shared" si="163"/>
        <v>0</v>
      </c>
      <c r="AP231" s="317">
        <f t="shared" si="164"/>
        <v>0</v>
      </c>
      <c r="AQ231" s="317">
        <f t="shared" si="165"/>
        <v>0</v>
      </c>
      <c r="AR231" s="317">
        <f t="shared" si="166"/>
        <v>0</v>
      </c>
      <c r="AS231" s="317">
        <f t="shared" si="167"/>
        <v>0</v>
      </c>
      <c r="AT231" s="317">
        <f t="shared" si="168"/>
        <v>0</v>
      </c>
      <c r="AU231" s="317">
        <f t="shared" si="169"/>
        <v>0</v>
      </c>
      <c r="AV231" s="317">
        <f t="shared" si="170"/>
        <v>0</v>
      </c>
      <c r="AW231" s="317">
        <f t="shared" si="171"/>
        <v>0</v>
      </c>
      <c r="AX231" s="317">
        <f t="shared" si="172"/>
        <v>0</v>
      </c>
      <c r="AY231" s="317">
        <f t="shared" si="173"/>
        <v>0</v>
      </c>
      <c r="AZ231" s="317">
        <f t="shared" si="174"/>
        <v>0</v>
      </c>
      <c r="BA231" s="317">
        <f t="shared" si="175"/>
        <v>0</v>
      </c>
    </row>
    <row r="232" spans="1:53" s="314" customFormat="1" ht="15.75" customHeight="1">
      <c r="A232" s="63" t="str">
        <f t="array" ref="A232">IF(C232&lt;&gt;0,SUM(($C$11:C232&lt;&gt;0)*1),"")</f>
        <v/>
      </c>
      <c r="B232" s="315"/>
      <c r="C232" s="315"/>
      <c r="D232" s="315"/>
      <c r="E232" s="433"/>
      <c r="F232" s="371"/>
      <c r="G232" s="373"/>
      <c r="H232" s="373"/>
      <c r="I232" s="63" t="str">
        <f>A232</f>
        <v/>
      </c>
      <c r="J232" s="317">
        <f t="shared" si="138"/>
        <v>0</v>
      </c>
      <c r="K232" s="317">
        <f t="shared" si="139"/>
        <v>0</v>
      </c>
      <c r="L232" s="317">
        <f t="shared" si="140"/>
        <v>0</v>
      </c>
      <c r="M232" s="317">
        <f t="shared" si="141"/>
        <v>0</v>
      </c>
      <c r="N232" s="317">
        <f t="shared" si="176"/>
        <v>0</v>
      </c>
      <c r="O232" s="317">
        <f t="shared" si="177"/>
        <v>0</v>
      </c>
      <c r="P232" s="317">
        <f t="shared" si="142"/>
        <v>0</v>
      </c>
      <c r="Q232" s="317">
        <f t="shared" si="143"/>
        <v>0</v>
      </c>
      <c r="R232" s="317">
        <f t="shared" si="144"/>
        <v>0</v>
      </c>
      <c r="S232" s="317">
        <f t="shared" si="145"/>
        <v>0</v>
      </c>
      <c r="T232" s="317">
        <f t="shared" si="178"/>
        <v>0</v>
      </c>
      <c r="U232" s="317">
        <f t="shared" si="179"/>
        <v>0</v>
      </c>
      <c r="V232" s="317">
        <f t="shared" si="146"/>
        <v>0</v>
      </c>
      <c r="W232" s="317">
        <f t="shared" si="147"/>
        <v>0</v>
      </c>
      <c r="X232" s="317">
        <f t="shared" si="148"/>
        <v>0</v>
      </c>
      <c r="Y232" s="317">
        <f t="shared" si="149"/>
        <v>0</v>
      </c>
      <c r="Z232" s="317">
        <f t="shared" si="150"/>
        <v>0</v>
      </c>
      <c r="AA232" s="317">
        <f t="shared" si="151"/>
        <v>0</v>
      </c>
      <c r="AB232" s="317">
        <f t="shared" si="152"/>
        <v>0</v>
      </c>
      <c r="AC232" s="317">
        <f t="shared" si="153"/>
        <v>0</v>
      </c>
      <c r="AD232" s="317">
        <f t="shared" si="154"/>
        <v>0</v>
      </c>
      <c r="AE232" s="317">
        <f t="shared" si="155"/>
        <v>0</v>
      </c>
      <c r="AF232" s="317">
        <f t="shared" si="180"/>
        <v>0</v>
      </c>
      <c r="AG232" s="317">
        <f t="shared" si="181"/>
        <v>0</v>
      </c>
      <c r="AH232" s="317">
        <f t="shared" si="156"/>
        <v>0</v>
      </c>
      <c r="AI232" s="317">
        <f t="shared" si="157"/>
        <v>0</v>
      </c>
      <c r="AJ232" s="317">
        <f t="shared" si="158"/>
        <v>0</v>
      </c>
      <c r="AK232" s="317">
        <f t="shared" si="159"/>
        <v>0</v>
      </c>
      <c r="AL232" s="317">
        <f t="shared" si="160"/>
        <v>0</v>
      </c>
      <c r="AM232" s="317">
        <f t="shared" si="161"/>
        <v>0</v>
      </c>
      <c r="AN232" s="317">
        <f t="shared" si="162"/>
        <v>0</v>
      </c>
      <c r="AO232" s="317">
        <f t="shared" si="163"/>
        <v>0</v>
      </c>
      <c r="AP232" s="317">
        <f t="shared" si="164"/>
        <v>0</v>
      </c>
      <c r="AQ232" s="317">
        <f t="shared" si="165"/>
        <v>0</v>
      </c>
      <c r="AR232" s="317">
        <f t="shared" si="166"/>
        <v>0</v>
      </c>
      <c r="AS232" s="317">
        <f t="shared" si="167"/>
        <v>0</v>
      </c>
      <c r="AT232" s="317">
        <f t="shared" si="168"/>
        <v>0</v>
      </c>
      <c r="AU232" s="317">
        <f t="shared" si="169"/>
        <v>0</v>
      </c>
      <c r="AV232" s="317">
        <f t="shared" si="170"/>
        <v>0</v>
      </c>
      <c r="AW232" s="317">
        <f t="shared" si="171"/>
        <v>0</v>
      </c>
      <c r="AX232" s="317">
        <f t="shared" si="172"/>
        <v>0</v>
      </c>
      <c r="AY232" s="317">
        <f t="shared" si="173"/>
        <v>0</v>
      </c>
      <c r="AZ232" s="317">
        <f t="shared" si="174"/>
        <v>0</v>
      </c>
      <c r="BA232" s="317">
        <f t="shared" si="175"/>
        <v>0</v>
      </c>
    </row>
    <row r="233" spans="1:53" s="314" customFormat="1" ht="15.75" customHeight="1">
      <c r="A233" s="63" t="str">
        <f t="array" ref="A233">IF(C233&lt;&gt;0,SUM(($C$11:C233&lt;&gt;0)*1),"")</f>
        <v/>
      </c>
      <c r="B233" s="315"/>
      <c r="C233" s="315"/>
      <c r="D233" s="315"/>
      <c r="E233" s="433"/>
      <c r="F233" s="371"/>
      <c r="G233" s="373"/>
      <c r="H233" s="373"/>
      <c r="I233" s="63" t="str">
        <f>A233</f>
        <v/>
      </c>
      <c r="J233" s="317">
        <f t="shared" si="138"/>
        <v>0</v>
      </c>
      <c r="K233" s="317">
        <f t="shared" si="139"/>
        <v>0</v>
      </c>
      <c r="L233" s="317">
        <f t="shared" si="140"/>
        <v>0</v>
      </c>
      <c r="M233" s="317">
        <f t="shared" si="141"/>
        <v>0</v>
      </c>
      <c r="N233" s="317">
        <f t="shared" si="176"/>
        <v>0</v>
      </c>
      <c r="O233" s="317">
        <f t="shared" si="177"/>
        <v>0</v>
      </c>
      <c r="P233" s="317">
        <f t="shared" si="142"/>
        <v>0</v>
      </c>
      <c r="Q233" s="317">
        <f t="shared" si="143"/>
        <v>0</v>
      </c>
      <c r="R233" s="317">
        <f t="shared" si="144"/>
        <v>0</v>
      </c>
      <c r="S233" s="317">
        <f t="shared" si="145"/>
        <v>0</v>
      </c>
      <c r="T233" s="317">
        <f t="shared" si="178"/>
        <v>0</v>
      </c>
      <c r="U233" s="317">
        <f t="shared" si="179"/>
        <v>0</v>
      </c>
      <c r="V233" s="317">
        <f t="shared" si="146"/>
        <v>0</v>
      </c>
      <c r="W233" s="317">
        <f t="shared" si="147"/>
        <v>0</v>
      </c>
      <c r="X233" s="317">
        <f t="shared" si="148"/>
        <v>0</v>
      </c>
      <c r="Y233" s="317">
        <f t="shared" si="149"/>
        <v>0</v>
      </c>
      <c r="Z233" s="317">
        <f t="shared" si="150"/>
        <v>0</v>
      </c>
      <c r="AA233" s="317">
        <f t="shared" si="151"/>
        <v>0</v>
      </c>
      <c r="AB233" s="317">
        <f t="shared" si="152"/>
        <v>0</v>
      </c>
      <c r="AC233" s="317">
        <f t="shared" si="153"/>
        <v>0</v>
      </c>
      <c r="AD233" s="317">
        <f t="shared" si="154"/>
        <v>0</v>
      </c>
      <c r="AE233" s="317">
        <f t="shared" si="155"/>
        <v>0</v>
      </c>
      <c r="AF233" s="317">
        <f t="shared" si="180"/>
        <v>0</v>
      </c>
      <c r="AG233" s="317">
        <f t="shared" si="181"/>
        <v>0</v>
      </c>
      <c r="AH233" s="317">
        <f t="shared" si="156"/>
        <v>0</v>
      </c>
      <c r="AI233" s="317">
        <f t="shared" si="157"/>
        <v>0</v>
      </c>
      <c r="AJ233" s="317">
        <f t="shared" si="158"/>
        <v>0</v>
      </c>
      <c r="AK233" s="317">
        <f t="shared" si="159"/>
        <v>0</v>
      </c>
      <c r="AL233" s="317">
        <f t="shared" si="160"/>
        <v>0</v>
      </c>
      <c r="AM233" s="317">
        <f t="shared" si="161"/>
        <v>0</v>
      </c>
      <c r="AN233" s="317">
        <f t="shared" si="162"/>
        <v>0</v>
      </c>
      <c r="AO233" s="317">
        <f t="shared" si="163"/>
        <v>0</v>
      </c>
      <c r="AP233" s="317">
        <f t="shared" si="164"/>
        <v>0</v>
      </c>
      <c r="AQ233" s="317">
        <f t="shared" si="165"/>
        <v>0</v>
      </c>
      <c r="AR233" s="317">
        <f t="shared" si="166"/>
        <v>0</v>
      </c>
      <c r="AS233" s="317">
        <f t="shared" si="167"/>
        <v>0</v>
      </c>
      <c r="AT233" s="317">
        <f t="shared" si="168"/>
        <v>0</v>
      </c>
      <c r="AU233" s="317">
        <f t="shared" si="169"/>
        <v>0</v>
      </c>
      <c r="AV233" s="317">
        <f t="shared" si="170"/>
        <v>0</v>
      </c>
      <c r="AW233" s="317">
        <f t="shared" si="171"/>
        <v>0</v>
      </c>
      <c r="AX233" s="317">
        <f t="shared" si="172"/>
        <v>0</v>
      </c>
      <c r="AY233" s="317">
        <f t="shared" si="173"/>
        <v>0</v>
      </c>
      <c r="AZ233" s="317">
        <f t="shared" si="174"/>
        <v>0</v>
      </c>
      <c r="BA233" s="317">
        <f t="shared" si="175"/>
        <v>0</v>
      </c>
    </row>
    <row r="234" spans="1:53" s="314" customFormat="1" ht="15.75" customHeight="1">
      <c r="A234" s="63" t="str">
        <f t="array" ref="A234">IF(C234&lt;&gt;0,SUM(($C$11:C234&lt;&gt;0)*1),"")</f>
        <v/>
      </c>
      <c r="B234" s="315"/>
      <c r="C234" s="315"/>
      <c r="D234" s="315"/>
      <c r="E234" s="433"/>
      <c r="F234" s="371"/>
      <c r="G234" s="373"/>
      <c r="H234" s="373"/>
      <c r="I234" s="63" t="str">
        <f>A234</f>
        <v/>
      </c>
      <c r="J234" s="317">
        <f t="shared" si="138"/>
        <v>0</v>
      </c>
      <c r="K234" s="317">
        <f t="shared" si="139"/>
        <v>0</v>
      </c>
      <c r="L234" s="317">
        <f t="shared" si="140"/>
        <v>0</v>
      </c>
      <c r="M234" s="317">
        <f t="shared" si="141"/>
        <v>0</v>
      </c>
      <c r="N234" s="317">
        <f t="shared" si="176"/>
        <v>0</v>
      </c>
      <c r="O234" s="317">
        <f t="shared" si="177"/>
        <v>0</v>
      </c>
      <c r="P234" s="317">
        <f t="shared" si="142"/>
        <v>0</v>
      </c>
      <c r="Q234" s="317">
        <f t="shared" si="143"/>
        <v>0</v>
      </c>
      <c r="R234" s="317">
        <f t="shared" si="144"/>
        <v>0</v>
      </c>
      <c r="S234" s="317">
        <f t="shared" si="145"/>
        <v>0</v>
      </c>
      <c r="T234" s="317">
        <f t="shared" si="178"/>
        <v>0</v>
      </c>
      <c r="U234" s="317">
        <f t="shared" si="179"/>
        <v>0</v>
      </c>
      <c r="V234" s="317">
        <f t="shared" si="146"/>
        <v>0</v>
      </c>
      <c r="W234" s="317">
        <f t="shared" si="147"/>
        <v>0</v>
      </c>
      <c r="X234" s="317">
        <f t="shared" si="148"/>
        <v>0</v>
      </c>
      <c r="Y234" s="317">
        <f t="shared" si="149"/>
        <v>0</v>
      </c>
      <c r="Z234" s="317">
        <f t="shared" si="150"/>
        <v>0</v>
      </c>
      <c r="AA234" s="317">
        <f t="shared" si="151"/>
        <v>0</v>
      </c>
      <c r="AB234" s="317">
        <f t="shared" si="152"/>
        <v>0</v>
      </c>
      <c r="AC234" s="317">
        <f t="shared" si="153"/>
        <v>0</v>
      </c>
      <c r="AD234" s="317">
        <f t="shared" si="154"/>
        <v>0</v>
      </c>
      <c r="AE234" s="317">
        <f t="shared" si="155"/>
        <v>0</v>
      </c>
      <c r="AF234" s="317">
        <f t="shared" si="180"/>
        <v>0</v>
      </c>
      <c r="AG234" s="317">
        <f t="shared" si="181"/>
        <v>0</v>
      </c>
      <c r="AH234" s="317">
        <f t="shared" si="156"/>
        <v>0</v>
      </c>
      <c r="AI234" s="317">
        <f t="shared" si="157"/>
        <v>0</v>
      </c>
      <c r="AJ234" s="317">
        <f t="shared" si="158"/>
        <v>0</v>
      </c>
      <c r="AK234" s="317">
        <f t="shared" si="159"/>
        <v>0</v>
      </c>
      <c r="AL234" s="317">
        <f t="shared" si="160"/>
        <v>0</v>
      </c>
      <c r="AM234" s="317">
        <f t="shared" si="161"/>
        <v>0</v>
      </c>
      <c r="AN234" s="317">
        <f t="shared" si="162"/>
        <v>0</v>
      </c>
      <c r="AO234" s="317">
        <f t="shared" si="163"/>
        <v>0</v>
      </c>
      <c r="AP234" s="317">
        <f t="shared" si="164"/>
        <v>0</v>
      </c>
      <c r="AQ234" s="317">
        <f t="shared" si="165"/>
        <v>0</v>
      </c>
      <c r="AR234" s="317">
        <f t="shared" si="166"/>
        <v>0</v>
      </c>
      <c r="AS234" s="317">
        <f t="shared" si="167"/>
        <v>0</v>
      </c>
      <c r="AT234" s="317">
        <f t="shared" si="168"/>
        <v>0</v>
      </c>
      <c r="AU234" s="317">
        <f t="shared" si="169"/>
        <v>0</v>
      </c>
      <c r="AV234" s="317">
        <f t="shared" si="170"/>
        <v>0</v>
      </c>
      <c r="AW234" s="317">
        <f t="shared" si="171"/>
        <v>0</v>
      </c>
      <c r="AX234" s="317">
        <f t="shared" si="172"/>
        <v>0</v>
      </c>
      <c r="AY234" s="317">
        <f t="shared" si="173"/>
        <v>0</v>
      </c>
      <c r="AZ234" s="317">
        <f t="shared" si="174"/>
        <v>0</v>
      </c>
      <c r="BA234" s="317">
        <f t="shared" si="175"/>
        <v>0</v>
      </c>
    </row>
    <row r="235" spans="1:53" s="314" customFormat="1" ht="15.75" customHeight="1">
      <c r="A235" s="63" t="str">
        <f t="array" ref="A235">IF(C235&lt;&gt;0,SUM(($C$11:C235&lt;&gt;0)*1),"")</f>
        <v/>
      </c>
      <c r="B235" s="315"/>
      <c r="C235" s="315"/>
      <c r="D235" s="315"/>
      <c r="E235" s="433"/>
      <c r="F235" s="371"/>
      <c r="G235" s="373"/>
      <c r="H235" s="373"/>
      <c r="I235" s="63" t="str">
        <f>A235</f>
        <v/>
      </c>
      <c r="J235" s="317">
        <f t="shared" si="138"/>
        <v>0</v>
      </c>
      <c r="K235" s="317">
        <f t="shared" si="139"/>
        <v>0</v>
      </c>
      <c r="L235" s="317">
        <f t="shared" si="140"/>
        <v>0</v>
      </c>
      <c r="M235" s="317">
        <f t="shared" si="141"/>
        <v>0</v>
      </c>
      <c r="N235" s="317">
        <f t="shared" si="176"/>
        <v>0</v>
      </c>
      <c r="O235" s="317">
        <f t="shared" si="177"/>
        <v>0</v>
      </c>
      <c r="P235" s="317">
        <f t="shared" si="142"/>
        <v>0</v>
      </c>
      <c r="Q235" s="317">
        <f t="shared" si="143"/>
        <v>0</v>
      </c>
      <c r="R235" s="317">
        <f t="shared" si="144"/>
        <v>0</v>
      </c>
      <c r="S235" s="317">
        <f t="shared" si="145"/>
        <v>0</v>
      </c>
      <c r="T235" s="317">
        <f t="shared" si="178"/>
        <v>0</v>
      </c>
      <c r="U235" s="317">
        <f t="shared" si="179"/>
        <v>0</v>
      </c>
      <c r="V235" s="317">
        <f t="shared" si="146"/>
        <v>0</v>
      </c>
      <c r="W235" s="317">
        <f t="shared" si="147"/>
        <v>0</v>
      </c>
      <c r="X235" s="317">
        <f t="shared" si="148"/>
        <v>0</v>
      </c>
      <c r="Y235" s="317">
        <f t="shared" si="149"/>
        <v>0</v>
      </c>
      <c r="Z235" s="317">
        <f t="shared" si="150"/>
        <v>0</v>
      </c>
      <c r="AA235" s="317">
        <f t="shared" si="151"/>
        <v>0</v>
      </c>
      <c r="AB235" s="317">
        <f t="shared" si="152"/>
        <v>0</v>
      </c>
      <c r="AC235" s="317">
        <f t="shared" si="153"/>
        <v>0</v>
      </c>
      <c r="AD235" s="317">
        <f t="shared" si="154"/>
        <v>0</v>
      </c>
      <c r="AE235" s="317">
        <f t="shared" si="155"/>
        <v>0</v>
      </c>
      <c r="AF235" s="317">
        <f t="shared" si="180"/>
        <v>0</v>
      </c>
      <c r="AG235" s="317">
        <f t="shared" si="181"/>
        <v>0</v>
      </c>
      <c r="AH235" s="317">
        <f t="shared" si="156"/>
        <v>0</v>
      </c>
      <c r="AI235" s="317">
        <f t="shared" si="157"/>
        <v>0</v>
      </c>
      <c r="AJ235" s="317">
        <f t="shared" si="158"/>
        <v>0</v>
      </c>
      <c r="AK235" s="317">
        <f t="shared" si="159"/>
        <v>0</v>
      </c>
      <c r="AL235" s="317">
        <f t="shared" si="160"/>
        <v>0</v>
      </c>
      <c r="AM235" s="317">
        <f t="shared" si="161"/>
        <v>0</v>
      </c>
      <c r="AN235" s="317">
        <f t="shared" si="162"/>
        <v>0</v>
      </c>
      <c r="AO235" s="317">
        <f t="shared" si="163"/>
        <v>0</v>
      </c>
      <c r="AP235" s="317">
        <f t="shared" si="164"/>
        <v>0</v>
      </c>
      <c r="AQ235" s="317">
        <f t="shared" si="165"/>
        <v>0</v>
      </c>
      <c r="AR235" s="317">
        <f t="shared" si="166"/>
        <v>0</v>
      </c>
      <c r="AS235" s="317">
        <f t="shared" si="167"/>
        <v>0</v>
      </c>
      <c r="AT235" s="317">
        <f t="shared" si="168"/>
        <v>0</v>
      </c>
      <c r="AU235" s="317">
        <f t="shared" si="169"/>
        <v>0</v>
      </c>
      <c r="AV235" s="317">
        <f t="shared" si="170"/>
        <v>0</v>
      </c>
      <c r="AW235" s="317">
        <f t="shared" si="171"/>
        <v>0</v>
      </c>
      <c r="AX235" s="317">
        <f t="shared" si="172"/>
        <v>0</v>
      </c>
      <c r="AY235" s="317">
        <f t="shared" si="173"/>
        <v>0</v>
      </c>
      <c r="AZ235" s="317">
        <f t="shared" si="174"/>
        <v>0</v>
      </c>
      <c r="BA235" s="317">
        <f t="shared" si="175"/>
        <v>0</v>
      </c>
    </row>
    <row r="236" spans="1:53" s="314" customFormat="1" ht="15.75" customHeight="1">
      <c r="A236" s="63">
        <f t="array" aca="1" ref="A236" ca="1">IF(C236&lt;&gt;0,SUM(($C$11:C236&lt;&gt;0)*1),"")</f>
        <v>2</v>
      </c>
      <c r="B236" s="318">
        <v>42277</v>
      </c>
      <c r="C236" s="318" t="s">
        <v>150</v>
      </c>
      <c r="D236" s="318">
        <f t="shared" ref="D236:D241" si="182">B236</f>
        <v>42277</v>
      </c>
      <c r="E236" s="319" t="s">
        <v>151</v>
      </c>
      <c r="F236" s="85">
        <f ca="1">AP243</f>
        <v>0</v>
      </c>
      <c r="G236" s="320" t="s">
        <v>243</v>
      </c>
      <c r="H236" s="320" t="s">
        <v>134</v>
      </c>
      <c r="I236" s="63">
        <f t="shared" ref="I236:I242" ca="1" si="183">A236</f>
        <v>2</v>
      </c>
      <c r="J236" s="317">
        <f t="shared" si="138"/>
        <v>0</v>
      </c>
      <c r="K236" s="317">
        <f t="shared" si="139"/>
        <v>0</v>
      </c>
      <c r="L236" s="317">
        <f t="shared" si="140"/>
        <v>0</v>
      </c>
      <c r="M236" s="317">
        <f t="shared" si="141"/>
        <v>0</v>
      </c>
      <c r="N236" s="317">
        <f t="shared" si="176"/>
        <v>0</v>
      </c>
      <c r="O236" s="317">
        <f t="shared" si="177"/>
        <v>0</v>
      </c>
      <c r="P236" s="317">
        <f t="shared" si="142"/>
        <v>0</v>
      </c>
      <c r="Q236" s="317">
        <f t="shared" si="143"/>
        <v>0</v>
      </c>
      <c r="R236" s="317">
        <f t="shared" si="144"/>
        <v>0</v>
      </c>
      <c r="S236" s="317">
        <f t="shared" si="145"/>
        <v>0</v>
      </c>
      <c r="T236" s="317">
        <f t="shared" ca="1" si="178"/>
        <v>0</v>
      </c>
      <c r="U236" s="317">
        <f t="shared" si="179"/>
        <v>0</v>
      </c>
      <c r="V236" s="317">
        <f t="shared" si="146"/>
        <v>0</v>
      </c>
      <c r="W236" s="317">
        <f t="shared" si="147"/>
        <v>0</v>
      </c>
      <c r="X236" s="317">
        <f t="shared" si="148"/>
        <v>0</v>
      </c>
      <c r="Y236" s="317">
        <f t="shared" si="149"/>
        <v>0</v>
      </c>
      <c r="Z236" s="317">
        <f t="shared" si="150"/>
        <v>0</v>
      </c>
      <c r="AA236" s="317">
        <f t="shared" si="151"/>
        <v>0</v>
      </c>
      <c r="AB236" s="317">
        <f t="shared" si="152"/>
        <v>0</v>
      </c>
      <c r="AC236" s="317">
        <f t="shared" si="153"/>
        <v>0</v>
      </c>
      <c r="AD236" s="317">
        <f t="shared" si="154"/>
        <v>0</v>
      </c>
      <c r="AE236" s="317">
        <f t="shared" si="155"/>
        <v>0</v>
      </c>
      <c r="AF236" s="317">
        <f t="shared" si="180"/>
        <v>0</v>
      </c>
      <c r="AG236" s="317">
        <f t="shared" si="181"/>
        <v>0</v>
      </c>
      <c r="AH236" s="317">
        <f t="shared" si="156"/>
        <v>0</v>
      </c>
      <c r="AI236" s="317">
        <f t="shared" si="157"/>
        <v>0</v>
      </c>
      <c r="AJ236" s="317">
        <f t="shared" si="158"/>
        <v>0</v>
      </c>
      <c r="AK236" s="317">
        <f t="shared" si="159"/>
        <v>0</v>
      </c>
      <c r="AL236" s="317">
        <f t="shared" si="160"/>
        <v>0</v>
      </c>
      <c r="AM236" s="317">
        <f t="shared" si="161"/>
        <v>0</v>
      </c>
      <c r="AN236" s="317">
        <f t="shared" si="162"/>
        <v>0</v>
      </c>
      <c r="AO236" s="317">
        <f t="shared" si="163"/>
        <v>0</v>
      </c>
      <c r="AP236" s="317">
        <f t="shared" si="164"/>
        <v>0</v>
      </c>
      <c r="AQ236" s="317">
        <f t="shared" ca="1" si="165"/>
        <v>0</v>
      </c>
      <c r="AR236" s="317">
        <f t="shared" si="166"/>
        <v>0</v>
      </c>
      <c r="AS236" s="317">
        <f t="shared" si="167"/>
        <v>0</v>
      </c>
      <c r="AT236" s="317">
        <f t="shared" si="168"/>
        <v>0</v>
      </c>
      <c r="AU236" s="317">
        <f t="shared" si="169"/>
        <v>0</v>
      </c>
      <c r="AV236" s="317">
        <f t="shared" si="170"/>
        <v>0</v>
      </c>
      <c r="AW236" s="317">
        <f t="shared" si="171"/>
        <v>0</v>
      </c>
      <c r="AX236" s="317">
        <f t="shared" si="172"/>
        <v>0</v>
      </c>
      <c r="AY236" s="317">
        <f t="shared" si="173"/>
        <v>0</v>
      </c>
      <c r="AZ236" s="317">
        <f t="shared" si="174"/>
        <v>0</v>
      </c>
      <c r="BA236" s="317">
        <f t="shared" si="175"/>
        <v>0</v>
      </c>
    </row>
    <row r="237" spans="1:53" s="314" customFormat="1" ht="15.75" customHeight="1">
      <c r="A237" s="63">
        <f t="array" aca="1" ref="A237" ca="1">IF(C237&lt;&gt;0,SUM(($C$11:C237&lt;&gt;0)*1),"")</f>
        <v>3</v>
      </c>
      <c r="B237" s="318">
        <v>42277</v>
      </c>
      <c r="C237" s="318" t="s">
        <v>150</v>
      </c>
      <c r="D237" s="318">
        <f t="shared" si="182"/>
        <v>42277</v>
      </c>
      <c r="E237" s="319" t="s">
        <v>152</v>
      </c>
      <c r="F237" s="85">
        <f ca="1">AR243</f>
        <v>0</v>
      </c>
      <c r="G237" s="320" t="s">
        <v>144</v>
      </c>
      <c r="H237" s="320" t="s">
        <v>136</v>
      </c>
      <c r="I237" s="63">
        <f t="shared" ca="1" si="183"/>
        <v>3</v>
      </c>
      <c r="J237" s="317">
        <f t="shared" si="138"/>
        <v>0</v>
      </c>
      <c r="K237" s="317">
        <f t="shared" si="139"/>
        <v>0</v>
      </c>
      <c r="L237" s="317">
        <f t="shared" si="140"/>
        <v>0</v>
      </c>
      <c r="M237" s="317">
        <f t="shared" si="141"/>
        <v>0</v>
      </c>
      <c r="N237" s="317">
        <f t="shared" si="176"/>
        <v>0</v>
      </c>
      <c r="O237" s="317">
        <f t="shared" si="177"/>
        <v>0</v>
      </c>
      <c r="P237" s="317">
        <f t="shared" si="142"/>
        <v>0</v>
      </c>
      <c r="Q237" s="317">
        <f t="shared" si="143"/>
        <v>0</v>
      </c>
      <c r="R237" s="317">
        <f t="shared" si="144"/>
        <v>0</v>
      </c>
      <c r="S237" s="317">
        <f t="shared" si="145"/>
        <v>0</v>
      </c>
      <c r="T237" s="317">
        <f t="shared" si="178"/>
        <v>0</v>
      </c>
      <c r="U237" s="317">
        <f t="shared" si="179"/>
        <v>0</v>
      </c>
      <c r="V237" s="317">
        <f t="shared" si="146"/>
        <v>0</v>
      </c>
      <c r="W237" s="317">
        <f t="shared" si="147"/>
        <v>0</v>
      </c>
      <c r="X237" s="317">
        <f t="shared" si="148"/>
        <v>0</v>
      </c>
      <c r="Y237" s="317">
        <f t="shared" si="149"/>
        <v>0</v>
      </c>
      <c r="Z237" s="317">
        <f t="shared" si="150"/>
        <v>0</v>
      </c>
      <c r="AA237" s="317">
        <f t="shared" si="151"/>
        <v>0</v>
      </c>
      <c r="AB237" s="317">
        <f t="shared" si="152"/>
        <v>0</v>
      </c>
      <c r="AC237" s="317">
        <f t="shared" si="153"/>
        <v>0</v>
      </c>
      <c r="AD237" s="317">
        <f t="shared" si="154"/>
        <v>0</v>
      </c>
      <c r="AE237" s="317">
        <f t="shared" si="155"/>
        <v>0</v>
      </c>
      <c r="AF237" s="317">
        <f t="shared" si="180"/>
        <v>0</v>
      </c>
      <c r="AG237" s="317">
        <f t="shared" si="181"/>
        <v>0</v>
      </c>
      <c r="AH237" s="317">
        <f t="shared" si="156"/>
        <v>0</v>
      </c>
      <c r="AI237" s="317">
        <f t="shared" si="157"/>
        <v>0</v>
      </c>
      <c r="AJ237" s="317">
        <f t="shared" si="158"/>
        <v>0</v>
      </c>
      <c r="AK237" s="317">
        <f t="shared" si="159"/>
        <v>0</v>
      </c>
      <c r="AL237" s="317">
        <f t="shared" si="160"/>
        <v>0</v>
      </c>
      <c r="AM237" s="317">
        <f t="shared" si="161"/>
        <v>0</v>
      </c>
      <c r="AN237" s="317">
        <f t="shared" si="162"/>
        <v>0</v>
      </c>
      <c r="AO237" s="317">
        <f t="shared" si="163"/>
        <v>0</v>
      </c>
      <c r="AP237" s="317">
        <f t="shared" si="164"/>
        <v>0</v>
      </c>
      <c r="AQ237" s="317">
        <f t="shared" si="165"/>
        <v>0</v>
      </c>
      <c r="AR237" s="317">
        <f t="shared" si="166"/>
        <v>0</v>
      </c>
      <c r="AS237" s="317">
        <f t="shared" ca="1" si="167"/>
        <v>0</v>
      </c>
      <c r="AT237" s="317">
        <f t="shared" si="168"/>
        <v>0</v>
      </c>
      <c r="AU237" s="317">
        <f t="shared" si="169"/>
        <v>0</v>
      </c>
      <c r="AV237" s="317">
        <f t="shared" si="170"/>
        <v>0</v>
      </c>
      <c r="AW237" s="317">
        <f t="shared" si="171"/>
        <v>0</v>
      </c>
      <c r="AX237" s="317">
        <f t="shared" si="172"/>
        <v>0</v>
      </c>
      <c r="AY237" s="317">
        <f t="shared" si="173"/>
        <v>0</v>
      </c>
      <c r="AZ237" s="317">
        <f t="shared" ca="1" si="174"/>
        <v>0</v>
      </c>
      <c r="BA237" s="317">
        <f t="shared" si="175"/>
        <v>0</v>
      </c>
    </row>
    <row r="238" spans="1:53" s="314" customFormat="1" ht="15.75" customHeight="1">
      <c r="A238" s="63">
        <f t="array" aca="1" ref="A238" ca="1">IF(C238&lt;&gt;0,SUM(($C$11:C238&lt;&gt;0)*1),"")</f>
        <v>4</v>
      </c>
      <c r="B238" s="318">
        <v>42277</v>
      </c>
      <c r="C238" s="318" t="s">
        <v>150</v>
      </c>
      <c r="D238" s="318">
        <f t="shared" si="182"/>
        <v>42277</v>
      </c>
      <c r="E238" s="319" t="s">
        <v>306</v>
      </c>
      <c r="F238" s="85">
        <v>10580244</v>
      </c>
      <c r="G238" s="320" t="s">
        <v>129</v>
      </c>
      <c r="H238" s="320" t="s">
        <v>144</v>
      </c>
      <c r="I238" s="63">
        <f t="shared" ca="1" si="183"/>
        <v>4</v>
      </c>
      <c r="J238" s="317">
        <f t="shared" si="138"/>
        <v>0</v>
      </c>
      <c r="K238" s="317">
        <f t="shared" si="139"/>
        <v>0</v>
      </c>
      <c r="L238" s="317">
        <f t="shared" si="140"/>
        <v>0</v>
      </c>
      <c r="M238" s="317">
        <f t="shared" si="141"/>
        <v>0</v>
      </c>
      <c r="N238" s="317">
        <f t="shared" si="176"/>
        <v>0</v>
      </c>
      <c r="O238" s="317">
        <f t="shared" si="177"/>
        <v>0</v>
      </c>
      <c r="P238" s="317">
        <f t="shared" si="142"/>
        <v>0</v>
      </c>
      <c r="Q238" s="317">
        <f t="shared" si="143"/>
        <v>0</v>
      </c>
      <c r="R238" s="317">
        <f t="shared" si="144"/>
        <v>0</v>
      </c>
      <c r="S238" s="317">
        <f t="shared" si="145"/>
        <v>0</v>
      </c>
      <c r="T238" s="317">
        <f t="shared" si="178"/>
        <v>0</v>
      </c>
      <c r="U238" s="317">
        <f t="shared" si="179"/>
        <v>0</v>
      </c>
      <c r="V238" s="317">
        <f t="shared" si="146"/>
        <v>0</v>
      </c>
      <c r="W238" s="317">
        <f t="shared" si="147"/>
        <v>0</v>
      </c>
      <c r="X238" s="317">
        <f t="shared" si="148"/>
        <v>0</v>
      </c>
      <c r="Y238" s="317">
        <f t="shared" si="149"/>
        <v>0</v>
      </c>
      <c r="Z238" s="317">
        <f t="shared" si="150"/>
        <v>0</v>
      </c>
      <c r="AA238" s="317">
        <f t="shared" si="151"/>
        <v>0</v>
      </c>
      <c r="AB238" s="317">
        <f t="shared" si="152"/>
        <v>0</v>
      </c>
      <c r="AC238" s="317">
        <f t="shared" si="153"/>
        <v>0</v>
      </c>
      <c r="AD238" s="317">
        <f t="shared" si="154"/>
        <v>0</v>
      </c>
      <c r="AE238" s="317">
        <f t="shared" si="155"/>
        <v>0</v>
      </c>
      <c r="AF238" s="317">
        <f t="shared" si="180"/>
        <v>0</v>
      </c>
      <c r="AG238" s="317">
        <f t="shared" si="181"/>
        <v>0</v>
      </c>
      <c r="AH238" s="317">
        <f t="shared" si="156"/>
        <v>0</v>
      </c>
      <c r="AI238" s="317">
        <f t="shared" si="157"/>
        <v>0</v>
      </c>
      <c r="AJ238" s="317">
        <f t="shared" si="158"/>
        <v>0</v>
      </c>
      <c r="AK238" s="317">
        <f t="shared" si="159"/>
        <v>0</v>
      </c>
      <c r="AL238" s="317">
        <f t="shared" si="160"/>
        <v>10580244</v>
      </c>
      <c r="AM238" s="317">
        <f t="shared" si="161"/>
        <v>0</v>
      </c>
      <c r="AN238" s="317">
        <f t="shared" si="162"/>
        <v>0</v>
      </c>
      <c r="AO238" s="317">
        <f t="shared" si="163"/>
        <v>0</v>
      </c>
      <c r="AP238" s="317">
        <f t="shared" si="164"/>
        <v>0</v>
      </c>
      <c r="AQ238" s="317">
        <f t="shared" si="165"/>
        <v>0</v>
      </c>
      <c r="AR238" s="317">
        <f t="shared" si="166"/>
        <v>0</v>
      </c>
      <c r="AS238" s="317">
        <f t="shared" si="167"/>
        <v>0</v>
      </c>
      <c r="AT238" s="317">
        <f t="shared" si="168"/>
        <v>0</v>
      </c>
      <c r="AU238" s="317">
        <f t="shared" si="169"/>
        <v>0</v>
      </c>
      <c r="AV238" s="317">
        <f t="shared" si="170"/>
        <v>0</v>
      </c>
      <c r="AW238" s="317">
        <f t="shared" si="171"/>
        <v>0</v>
      </c>
      <c r="AX238" s="317">
        <f t="shared" si="172"/>
        <v>0</v>
      </c>
      <c r="AY238" s="317">
        <f t="shared" si="173"/>
        <v>0</v>
      </c>
      <c r="AZ238" s="317">
        <f t="shared" si="174"/>
        <v>0</v>
      </c>
      <c r="BA238" s="317">
        <f t="shared" si="175"/>
        <v>10580244</v>
      </c>
    </row>
    <row r="239" spans="1:53" s="314" customFormat="1" ht="15.75" customHeight="1">
      <c r="A239" s="63">
        <f t="array" aca="1" ref="A239" ca="1">IF(C239&lt;&gt;0,SUM(($C$11:C239&lt;&gt;0)*1),"")</f>
        <v>5</v>
      </c>
      <c r="B239" s="318">
        <v>42277</v>
      </c>
      <c r="C239" s="318" t="s">
        <v>150</v>
      </c>
      <c r="D239" s="318">
        <f t="shared" si="182"/>
        <v>42277</v>
      </c>
      <c r="E239" s="319" t="s">
        <v>154</v>
      </c>
      <c r="F239" s="85">
        <f ca="1">AO243</f>
        <v>0</v>
      </c>
      <c r="G239" s="320" t="s">
        <v>59</v>
      </c>
      <c r="H239" s="320" t="s">
        <v>144</v>
      </c>
      <c r="I239" s="63">
        <f t="shared" ca="1" si="183"/>
        <v>5</v>
      </c>
      <c r="J239" s="317">
        <f t="shared" si="138"/>
        <v>0</v>
      </c>
      <c r="K239" s="317">
        <f t="shared" si="139"/>
        <v>0</v>
      </c>
      <c r="L239" s="317">
        <f t="shared" si="140"/>
        <v>0</v>
      </c>
      <c r="M239" s="317">
        <f t="shared" si="141"/>
        <v>0</v>
      </c>
      <c r="N239" s="317">
        <f t="shared" si="176"/>
        <v>0</v>
      </c>
      <c r="O239" s="317">
        <f t="shared" si="177"/>
        <v>0</v>
      </c>
      <c r="P239" s="317">
        <f t="shared" si="142"/>
        <v>0</v>
      </c>
      <c r="Q239" s="317">
        <f t="shared" si="143"/>
        <v>0</v>
      </c>
      <c r="R239" s="317">
        <f t="shared" si="144"/>
        <v>0</v>
      </c>
      <c r="S239" s="317">
        <f t="shared" si="145"/>
        <v>0</v>
      </c>
      <c r="T239" s="317">
        <f t="shared" si="178"/>
        <v>0</v>
      </c>
      <c r="U239" s="317">
        <f t="shared" si="179"/>
        <v>0</v>
      </c>
      <c r="V239" s="317">
        <f t="shared" si="146"/>
        <v>0</v>
      </c>
      <c r="W239" s="317">
        <f t="shared" si="147"/>
        <v>0</v>
      </c>
      <c r="X239" s="317">
        <f t="shared" si="148"/>
        <v>0</v>
      </c>
      <c r="Y239" s="317">
        <f t="shared" si="149"/>
        <v>0</v>
      </c>
      <c r="Z239" s="317">
        <f t="shared" si="150"/>
        <v>0</v>
      </c>
      <c r="AA239" s="317">
        <f t="shared" si="151"/>
        <v>0</v>
      </c>
      <c r="AB239" s="317">
        <f t="shared" si="152"/>
        <v>0</v>
      </c>
      <c r="AC239" s="317">
        <f t="shared" si="153"/>
        <v>0</v>
      </c>
      <c r="AD239" s="317">
        <f t="shared" si="154"/>
        <v>0</v>
      </c>
      <c r="AE239" s="317">
        <f t="shared" si="155"/>
        <v>0</v>
      </c>
      <c r="AF239" s="317">
        <f t="shared" si="180"/>
        <v>0</v>
      </c>
      <c r="AG239" s="317">
        <f t="shared" si="181"/>
        <v>0</v>
      </c>
      <c r="AH239" s="317">
        <f t="shared" si="156"/>
        <v>0</v>
      </c>
      <c r="AI239" s="317">
        <f t="shared" si="157"/>
        <v>0</v>
      </c>
      <c r="AJ239" s="317">
        <f t="shared" si="158"/>
        <v>0</v>
      </c>
      <c r="AK239" s="317">
        <f t="shared" si="159"/>
        <v>0</v>
      </c>
      <c r="AL239" s="317">
        <f t="shared" si="160"/>
        <v>0</v>
      </c>
      <c r="AM239" s="317">
        <f t="shared" si="161"/>
        <v>0</v>
      </c>
      <c r="AN239" s="317">
        <f t="shared" ca="1" si="162"/>
        <v>0</v>
      </c>
      <c r="AO239" s="317">
        <f t="shared" si="163"/>
        <v>0</v>
      </c>
      <c r="AP239" s="317">
        <f t="shared" si="164"/>
        <v>0</v>
      </c>
      <c r="AQ239" s="317">
        <f t="shared" si="165"/>
        <v>0</v>
      </c>
      <c r="AR239" s="317">
        <f t="shared" si="166"/>
        <v>0</v>
      </c>
      <c r="AS239" s="317">
        <f t="shared" si="167"/>
        <v>0</v>
      </c>
      <c r="AT239" s="317">
        <f t="shared" si="168"/>
        <v>0</v>
      </c>
      <c r="AU239" s="317">
        <f t="shared" si="169"/>
        <v>0</v>
      </c>
      <c r="AV239" s="317">
        <f t="shared" si="170"/>
        <v>0</v>
      </c>
      <c r="AW239" s="317">
        <f t="shared" si="171"/>
        <v>0</v>
      </c>
      <c r="AX239" s="317">
        <f t="shared" si="172"/>
        <v>0</v>
      </c>
      <c r="AY239" s="317">
        <f t="shared" si="173"/>
        <v>0</v>
      </c>
      <c r="AZ239" s="317">
        <f t="shared" si="174"/>
        <v>0</v>
      </c>
      <c r="BA239" s="317">
        <f t="shared" ca="1" si="175"/>
        <v>0</v>
      </c>
    </row>
    <row r="240" spans="1:53" s="314" customFormat="1" ht="15.75" customHeight="1">
      <c r="A240" s="63">
        <f t="array" aca="1" ref="A240" ca="1">IF(C240&lt;&gt;0,SUM(($C$11:C240&lt;&gt;0)*1),"")</f>
        <v>6</v>
      </c>
      <c r="B240" s="318">
        <v>42277</v>
      </c>
      <c r="C240" s="318" t="s">
        <v>150</v>
      </c>
      <c r="D240" s="318">
        <f t="shared" si="182"/>
        <v>42277</v>
      </c>
      <c r="E240" s="319" t="s">
        <v>155</v>
      </c>
      <c r="F240" s="85">
        <f ca="1">AU243</f>
        <v>0</v>
      </c>
      <c r="G240" s="320" t="s">
        <v>138</v>
      </c>
      <c r="H240" s="320" t="s">
        <v>144</v>
      </c>
      <c r="I240" s="63">
        <f t="shared" ca="1" si="183"/>
        <v>6</v>
      </c>
      <c r="J240" s="317">
        <f t="shared" si="138"/>
        <v>0</v>
      </c>
      <c r="K240" s="317">
        <f t="shared" si="139"/>
        <v>0</v>
      </c>
      <c r="L240" s="317">
        <f t="shared" si="140"/>
        <v>0</v>
      </c>
      <c r="M240" s="317">
        <f t="shared" si="141"/>
        <v>0</v>
      </c>
      <c r="N240" s="317">
        <f t="shared" si="176"/>
        <v>0</v>
      </c>
      <c r="O240" s="317">
        <f t="shared" si="177"/>
        <v>0</v>
      </c>
      <c r="P240" s="317">
        <f t="shared" si="142"/>
        <v>0</v>
      </c>
      <c r="Q240" s="317">
        <f t="shared" si="143"/>
        <v>0</v>
      </c>
      <c r="R240" s="317">
        <f t="shared" si="144"/>
        <v>0</v>
      </c>
      <c r="S240" s="317">
        <f t="shared" si="145"/>
        <v>0</v>
      </c>
      <c r="T240" s="317">
        <f t="shared" si="178"/>
        <v>0</v>
      </c>
      <c r="U240" s="317">
        <f t="shared" si="179"/>
        <v>0</v>
      </c>
      <c r="V240" s="317">
        <f t="shared" si="146"/>
        <v>0</v>
      </c>
      <c r="W240" s="317">
        <f t="shared" si="147"/>
        <v>0</v>
      </c>
      <c r="X240" s="317">
        <f t="shared" si="148"/>
        <v>0</v>
      </c>
      <c r="Y240" s="317">
        <f t="shared" si="149"/>
        <v>0</v>
      </c>
      <c r="Z240" s="317">
        <f t="shared" si="150"/>
        <v>0</v>
      </c>
      <c r="AA240" s="317">
        <f t="shared" si="151"/>
        <v>0</v>
      </c>
      <c r="AB240" s="317">
        <f t="shared" si="152"/>
        <v>0</v>
      </c>
      <c r="AC240" s="317">
        <f t="shared" si="153"/>
        <v>0</v>
      </c>
      <c r="AD240" s="317">
        <f t="shared" si="154"/>
        <v>0</v>
      </c>
      <c r="AE240" s="317">
        <f t="shared" si="155"/>
        <v>0</v>
      </c>
      <c r="AF240" s="317">
        <f t="shared" si="180"/>
        <v>0</v>
      </c>
      <c r="AG240" s="317">
        <f t="shared" si="181"/>
        <v>0</v>
      </c>
      <c r="AH240" s="317">
        <f t="shared" si="156"/>
        <v>0</v>
      </c>
      <c r="AI240" s="317">
        <f t="shared" si="157"/>
        <v>0</v>
      </c>
      <c r="AJ240" s="317">
        <f t="shared" si="158"/>
        <v>0</v>
      </c>
      <c r="AK240" s="317">
        <f t="shared" si="159"/>
        <v>0</v>
      </c>
      <c r="AL240" s="317">
        <f t="shared" si="160"/>
        <v>0</v>
      </c>
      <c r="AM240" s="317">
        <f t="shared" si="161"/>
        <v>0</v>
      </c>
      <c r="AN240" s="317">
        <f t="shared" si="162"/>
        <v>0</v>
      </c>
      <c r="AO240" s="317">
        <f t="shared" si="163"/>
        <v>0</v>
      </c>
      <c r="AP240" s="317">
        <f t="shared" si="164"/>
        <v>0</v>
      </c>
      <c r="AQ240" s="317">
        <f t="shared" si="165"/>
        <v>0</v>
      </c>
      <c r="AR240" s="317">
        <f t="shared" si="166"/>
        <v>0</v>
      </c>
      <c r="AS240" s="317">
        <f t="shared" si="167"/>
        <v>0</v>
      </c>
      <c r="AT240" s="317">
        <f t="shared" ca="1" si="168"/>
        <v>0</v>
      </c>
      <c r="AU240" s="317">
        <f t="shared" si="169"/>
        <v>0</v>
      </c>
      <c r="AV240" s="317">
        <f t="shared" si="170"/>
        <v>0</v>
      </c>
      <c r="AW240" s="317">
        <f t="shared" si="171"/>
        <v>0</v>
      </c>
      <c r="AX240" s="317">
        <f t="shared" si="172"/>
        <v>0</v>
      </c>
      <c r="AY240" s="317">
        <f t="shared" si="173"/>
        <v>0</v>
      </c>
      <c r="AZ240" s="317">
        <f t="shared" si="174"/>
        <v>0</v>
      </c>
      <c r="BA240" s="317">
        <f t="shared" ca="1" si="175"/>
        <v>0</v>
      </c>
    </row>
    <row r="241" spans="1:53" s="314" customFormat="1" ht="15.75" customHeight="1">
      <c r="A241" s="63">
        <f t="array" aca="1" ref="A241" ca="1">IF(C241&lt;&gt;0,SUM(($C$11:C241&lt;&gt;0)*1),"")</f>
        <v>7</v>
      </c>
      <c r="B241" s="318">
        <v>42277</v>
      </c>
      <c r="C241" s="318" t="s">
        <v>150</v>
      </c>
      <c r="D241" s="318">
        <f t="shared" si="182"/>
        <v>42277</v>
      </c>
      <c r="E241" s="319" t="s">
        <v>156</v>
      </c>
      <c r="F241" s="85">
        <f ca="1">AV243</f>
        <v>0</v>
      </c>
      <c r="G241" s="320" t="s">
        <v>144</v>
      </c>
      <c r="H241" s="320" t="s">
        <v>140</v>
      </c>
      <c r="I241" s="63">
        <f t="shared" ca="1" si="183"/>
        <v>7</v>
      </c>
      <c r="J241" s="317">
        <f t="shared" si="138"/>
        <v>0</v>
      </c>
      <c r="K241" s="317">
        <f t="shared" si="139"/>
        <v>0</v>
      </c>
      <c r="L241" s="317">
        <f t="shared" si="140"/>
        <v>0</v>
      </c>
      <c r="M241" s="317">
        <f t="shared" si="141"/>
        <v>0</v>
      </c>
      <c r="N241" s="317">
        <f t="shared" si="176"/>
        <v>0</v>
      </c>
      <c r="O241" s="317">
        <f t="shared" si="177"/>
        <v>0</v>
      </c>
      <c r="P241" s="317">
        <f t="shared" si="142"/>
        <v>0</v>
      </c>
      <c r="Q241" s="317">
        <f t="shared" si="143"/>
        <v>0</v>
      </c>
      <c r="R241" s="317">
        <f t="shared" si="144"/>
        <v>0</v>
      </c>
      <c r="S241" s="317">
        <f t="shared" si="145"/>
        <v>0</v>
      </c>
      <c r="T241" s="317">
        <f t="shared" si="178"/>
        <v>0</v>
      </c>
      <c r="U241" s="317">
        <f t="shared" si="179"/>
        <v>0</v>
      </c>
      <c r="V241" s="317">
        <f t="shared" si="146"/>
        <v>0</v>
      </c>
      <c r="W241" s="317">
        <f t="shared" si="147"/>
        <v>0</v>
      </c>
      <c r="X241" s="317">
        <f t="shared" si="148"/>
        <v>0</v>
      </c>
      <c r="Y241" s="317">
        <f t="shared" si="149"/>
        <v>0</v>
      </c>
      <c r="Z241" s="317">
        <f t="shared" si="150"/>
        <v>0</v>
      </c>
      <c r="AA241" s="317">
        <f t="shared" si="151"/>
        <v>0</v>
      </c>
      <c r="AB241" s="317">
        <f t="shared" si="152"/>
        <v>0</v>
      </c>
      <c r="AC241" s="317">
        <f t="shared" si="153"/>
        <v>0</v>
      </c>
      <c r="AD241" s="317">
        <f t="shared" si="154"/>
        <v>0</v>
      </c>
      <c r="AE241" s="317">
        <f t="shared" si="155"/>
        <v>0</v>
      </c>
      <c r="AF241" s="317">
        <f t="shared" si="180"/>
        <v>0</v>
      </c>
      <c r="AG241" s="317">
        <f t="shared" si="181"/>
        <v>0</v>
      </c>
      <c r="AH241" s="317">
        <f t="shared" si="156"/>
        <v>0</v>
      </c>
      <c r="AI241" s="317">
        <f t="shared" si="157"/>
        <v>0</v>
      </c>
      <c r="AJ241" s="317">
        <f t="shared" si="158"/>
        <v>0</v>
      </c>
      <c r="AK241" s="317">
        <f t="shared" si="159"/>
        <v>0</v>
      </c>
      <c r="AL241" s="317">
        <f t="shared" si="160"/>
        <v>0</v>
      </c>
      <c r="AM241" s="317">
        <f t="shared" si="161"/>
        <v>0</v>
      </c>
      <c r="AN241" s="317">
        <f t="shared" si="162"/>
        <v>0</v>
      </c>
      <c r="AO241" s="317">
        <f t="shared" si="163"/>
        <v>0</v>
      </c>
      <c r="AP241" s="317">
        <f t="shared" si="164"/>
        <v>0</v>
      </c>
      <c r="AQ241" s="317">
        <f t="shared" si="165"/>
        <v>0</v>
      </c>
      <c r="AR241" s="317">
        <f t="shared" si="166"/>
        <v>0</v>
      </c>
      <c r="AS241" s="317">
        <f t="shared" si="167"/>
        <v>0</v>
      </c>
      <c r="AT241" s="317">
        <f t="shared" si="168"/>
        <v>0</v>
      </c>
      <c r="AU241" s="317">
        <f t="shared" si="169"/>
        <v>0</v>
      </c>
      <c r="AV241" s="317">
        <f t="shared" si="170"/>
        <v>0</v>
      </c>
      <c r="AW241" s="317">
        <f t="shared" ca="1" si="171"/>
        <v>0</v>
      </c>
      <c r="AX241" s="317">
        <f t="shared" si="172"/>
        <v>0</v>
      </c>
      <c r="AY241" s="317">
        <f t="shared" si="173"/>
        <v>0</v>
      </c>
      <c r="AZ241" s="317">
        <f t="shared" ca="1" si="174"/>
        <v>0</v>
      </c>
      <c r="BA241" s="317">
        <f t="shared" si="175"/>
        <v>0</v>
      </c>
    </row>
    <row r="242" spans="1:53" s="314" customFormat="1" ht="15.75" customHeight="1">
      <c r="A242" s="63" t="str">
        <f t="array" ref="A242">IF(C242&lt;&gt;0,SUM(($C$11:C242&lt;&gt;0)*1),"")</f>
        <v/>
      </c>
      <c r="B242" s="278"/>
      <c r="C242" s="321"/>
      <c r="D242" s="278"/>
      <c r="E242" s="316"/>
      <c r="F242" s="65"/>
      <c r="G242" s="322"/>
      <c r="H242" s="322"/>
      <c r="I242" s="63" t="str">
        <f t="shared" si="183"/>
        <v/>
      </c>
      <c r="J242" s="317">
        <f t="shared" si="138"/>
        <v>0</v>
      </c>
      <c r="K242" s="317">
        <f t="shared" si="139"/>
        <v>0</v>
      </c>
      <c r="L242" s="317">
        <f t="shared" si="140"/>
        <v>0</v>
      </c>
      <c r="M242" s="317">
        <f t="shared" si="141"/>
        <v>0</v>
      </c>
      <c r="N242" s="317">
        <f t="shared" si="176"/>
        <v>0</v>
      </c>
      <c r="O242" s="317">
        <f t="shared" si="177"/>
        <v>0</v>
      </c>
      <c r="P242" s="317">
        <f t="shared" si="142"/>
        <v>0</v>
      </c>
      <c r="Q242" s="317">
        <f t="shared" si="143"/>
        <v>0</v>
      </c>
      <c r="R242" s="317">
        <f t="shared" si="144"/>
        <v>0</v>
      </c>
      <c r="S242" s="317">
        <f t="shared" si="145"/>
        <v>0</v>
      </c>
      <c r="T242" s="317">
        <f t="shared" si="178"/>
        <v>0</v>
      </c>
      <c r="U242" s="317">
        <f t="shared" si="179"/>
        <v>0</v>
      </c>
      <c r="V242" s="317">
        <f t="shared" si="146"/>
        <v>0</v>
      </c>
      <c r="W242" s="317">
        <f t="shared" si="147"/>
        <v>0</v>
      </c>
      <c r="X242" s="317">
        <f t="shared" si="148"/>
        <v>0</v>
      </c>
      <c r="Y242" s="317">
        <f t="shared" si="149"/>
        <v>0</v>
      </c>
      <c r="Z242" s="317">
        <f t="shared" si="150"/>
        <v>0</v>
      </c>
      <c r="AA242" s="317">
        <f t="shared" si="151"/>
        <v>0</v>
      </c>
      <c r="AB242" s="317">
        <f t="shared" si="152"/>
        <v>0</v>
      </c>
      <c r="AC242" s="317">
        <f t="shared" si="153"/>
        <v>0</v>
      </c>
      <c r="AD242" s="317">
        <f t="shared" si="154"/>
        <v>0</v>
      </c>
      <c r="AE242" s="317">
        <f t="shared" si="155"/>
        <v>0</v>
      </c>
      <c r="AF242" s="317">
        <f t="shared" si="180"/>
        <v>0</v>
      </c>
      <c r="AG242" s="317">
        <f t="shared" si="181"/>
        <v>0</v>
      </c>
      <c r="AH242" s="317">
        <f t="shared" si="156"/>
        <v>0</v>
      </c>
      <c r="AI242" s="317">
        <f t="shared" si="157"/>
        <v>0</v>
      </c>
      <c r="AJ242" s="317">
        <f t="shared" si="158"/>
        <v>0</v>
      </c>
      <c r="AK242" s="317">
        <f t="shared" si="159"/>
        <v>0</v>
      </c>
      <c r="AL242" s="317">
        <f t="shared" si="160"/>
        <v>0</v>
      </c>
      <c r="AM242" s="317">
        <f t="shared" si="161"/>
        <v>0</v>
      </c>
      <c r="AN242" s="317">
        <f t="shared" si="162"/>
        <v>0</v>
      </c>
      <c r="AO242" s="317">
        <f t="shared" si="163"/>
        <v>0</v>
      </c>
      <c r="AP242" s="317">
        <f t="shared" si="164"/>
        <v>0</v>
      </c>
      <c r="AQ242" s="317">
        <f t="shared" si="165"/>
        <v>0</v>
      </c>
      <c r="AR242" s="317">
        <f t="shared" si="166"/>
        <v>0</v>
      </c>
      <c r="AS242" s="317">
        <f t="shared" si="167"/>
        <v>0</v>
      </c>
      <c r="AT242" s="317">
        <f t="shared" si="168"/>
        <v>0</v>
      </c>
      <c r="AU242" s="317">
        <f t="shared" si="169"/>
        <v>0</v>
      </c>
      <c r="AV242" s="317">
        <f t="shared" si="170"/>
        <v>0</v>
      </c>
      <c r="AW242" s="317">
        <f t="shared" si="171"/>
        <v>0</v>
      </c>
      <c r="AX242" s="317">
        <f t="shared" si="172"/>
        <v>0</v>
      </c>
      <c r="AY242" s="317">
        <f t="shared" si="173"/>
        <v>0</v>
      </c>
      <c r="AZ242" s="317">
        <f t="shared" si="174"/>
        <v>0</v>
      </c>
      <c r="BA242" s="317">
        <f t="shared" si="175"/>
        <v>0</v>
      </c>
    </row>
    <row r="243" spans="1:53" s="314" customFormat="1" ht="15.75" customHeight="1">
      <c r="A243" s="323"/>
      <c r="B243" s="323"/>
      <c r="C243" s="350"/>
      <c r="D243" s="323"/>
      <c r="E243" s="316" t="s">
        <v>264</v>
      </c>
      <c r="F243" s="323"/>
      <c r="G243" s="322"/>
      <c r="H243" s="322"/>
      <c r="I243" s="323"/>
      <c r="J243" s="323">
        <f t="shared" ref="J243:BA243" ca="1" si="184">SUM(J11:J242)</f>
        <v>0</v>
      </c>
      <c r="K243" s="323">
        <f t="shared" ca="1" si="184"/>
        <v>0</v>
      </c>
      <c r="L243" s="323">
        <f t="shared" ca="1" si="184"/>
        <v>0</v>
      </c>
      <c r="M243" s="323">
        <f t="shared" ca="1" si="184"/>
        <v>0</v>
      </c>
      <c r="N243" s="323">
        <f ca="1">SUM(N11:N242)</f>
        <v>0</v>
      </c>
      <c r="O243" s="323">
        <f ca="1">SUM(O11:O242)</f>
        <v>0</v>
      </c>
      <c r="P243" s="323">
        <f ca="1">SUM(P11:P242)</f>
        <v>0</v>
      </c>
      <c r="Q243" s="323">
        <f ca="1">SUM(Q11:Q242)</f>
        <v>0</v>
      </c>
      <c r="R243" s="323">
        <f t="shared" ca="1" si="184"/>
        <v>0</v>
      </c>
      <c r="S243" s="323">
        <f t="shared" ca="1" si="184"/>
        <v>0</v>
      </c>
      <c r="T243" s="323">
        <f t="shared" ca="1" si="184"/>
        <v>0</v>
      </c>
      <c r="U243" s="323">
        <f t="shared" ca="1" si="184"/>
        <v>0</v>
      </c>
      <c r="V243" s="323">
        <f t="shared" ca="1" si="184"/>
        <v>0</v>
      </c>
      <c r="W243" s="323">
        <f t="shared" ca="1" si="184"/>
        <v>0</v>
      </c>
      <c r="X243" s="323">
        <f t="shared" ca="1" si="184"/>
        <v>0</v>
      </c>
      <c r="Y243" s="323">
        <f t="shared" ca="1" si="184"/>
        <v>0</v>
      </c>
      <c r="Z243" s="323">
        <f t="shared" ca="1" si="184"/>
        <v>0</v>
      </c>
      <c r="AA243" s="323">
        <f t="shared" ca="1" si="184"/>
        <v>0</v>
      </c>
      <c r="AB243" s="323">
        <f t="shared" ca="1" si="184"/>
        <v>0</v>
      </c>
      <c r="AC243" s="323">
        <f t="shared" ca="1" si="184"/>
        <v>0</v>
      </c>
      <c r="AD243" s="323">
        <f t="shared" ca="1" si="184"/>
        <v>0</v>
      </c>
      <c r="AE243" s="323">
        <f t="shared" ca="1" si="184"/>
        <v>0</v>
      </c>
      <c r="AF243" s="323">
        <f ca="1">SUM(AF11:AF242)</f>
        <v>0</v>
      </c>
      <c r="AG243" s="323">
        <f ca="1">SUM(AG11:AG242)</f>
        <v>0</v>
      </c>
      <c r="AH243" s="323">
        <f t="shared" ca="1" si="184"/>
        <v>0</v>
      </c>
      <c r="AI243" s="323">
        <f t="shared" ca="1" si="184"/>
        <v>0</v>
      </c>
      <c r="AJ243" s="323">
        <f t="shared" ca="1" si="184"/>
        <v>0</v>
      </c>
      <c r="AK243" s="323">
        <f t="shared" ca="1" si="184"/>
        <v>0</v>
      </c>
      <c r="AL243" s="323">
        <f t="shared" ca="1" si="184"/>
        <v>10580244</v>
      </c>
      <c r="AM243" s="323">
        <f t="shared" ca="1" si="184"/>
        <v>0</v>
      </c>
      <c r="AN243" s="323">
        <f t="shared" ca="1" si="184"/>
        <v>0</v>
      </c>
      <c r="AO243" s="323">
        <f t="shared" ca="1" si="184"/>
        <v>0</v>
      </c>
      <c r="AP243" s="323">
        <f t="shared" ca="1" si="184"/>
        <v>0</v>
      </c>
      <c r="AQ243" s="323">
        <f t="shared" ca="1" si="184"/>
        <v>0</v>
      </c>
      <c r="AR243" s="323">
        <f t="shared" ca="1" si="184"/>
        <v>0</v>
      </c>
      <c r="AS243" s="323">
        <f t="shared" ca="1" si="184"/>
        <v>0</v>
      </c>
      <c r="AT243" s="323">
        <f t="shared" ca="1" si="184"/>
        <v>0</v>
      </c>
      <c r="AU243" s="323">
        <f t="shared" ca="1" si="184"/>
        <v>0</v>
      </c>
      <c r="AV243" s="323">
        <f t="shared" ca="1" si="184"/>
        <v>0</v>
      </c>
      <c r="AW243" s="323">
        <f t="shared" ca="1" si="184"/>
        <v>0</v>
      </c>
      <c r="AX243" s="323">
        <f t="shared" ca="1" si="184"/>
        <v>0</v>
      </c>
      <c r="AY243" s="323">
        <f t="shared" ca="1" si="184"/>
        <v>0</v>
      </c>
      <c r="AZ243" s="323">
        <f t="shared" ca="1" si="184"/>
        <v>0</v>
      </c>
      <c r="BA243" s="323">
        <f t="shared" ca="1" si="184"/>
        <v>10580244</v>
      </c>
    </row>
    <row r="244" spans="1:53" s="314" customFormat="1" ht="15.75" customHeight="1">
      <c r="A244" s="324"/>
      <c r="B244" s="324"/>
      <c r="C244" s="324"/>
      <c r="D244" s="324"/>
      <c r="E244" s="325" t="s">
        <v>307</v>
      </c>
      <c r="F244" s="324"/>
      <c r="G244" s="326"/>
      <c r="H244" s="326"/>
      <c r="I244" s="324"/>
      <c r="J244" s="346">
        <f ca="1">MAX(J10+J243-K10-K243,0)</f>
        <v>1332078410</v>
      </c>
      <c r="K244" s="346">
        <f ca="1">MAX(K10+K243-J10-J243,0)</f>
        <v>0</v>
      </c>
      <c r="L244" s="346">
        <f ca="1">MAX(L10+L243-M10-M243,0)</f>
        <v>1694774692</v>
      </c>
      <c r="M244" s="346">
        <f ca="1">MAX(M10+M243-L10-L243,0)</f>
        <v>0</v>
      </c>
      <c r="N244" s="346">
        <f ca="1">MAX(N10+N243-O10-O243,0)</f>
        <v>0</v>
      </c>
      <c r="O244" s="346">
        <f ca="1">MAX(O10+O243-N10-N243,0)</f>
        <v>0</v>
      </c>
      <c r="P244" s="346">
        <f ca="1">MAX(P10+P243-Q10-Q243,0)</f>
        <v>452614594</v>
      </c>
      <c r="Q244" s="346">
        <f ca="1">MAX(Q10+Q243-P10-P243,0)</f>
        <v>0</v>
      </c>
      <c r="R244" s="346">
        <f ca="1">MAX(R10+R243-S10-S243,0)</f>
        <v>0</v>
      </c>
      <c r="S244" s="346">
        <f ca="1">MAX(S10+S243-R10-R243,0)</f>
        <v>0</v>
      </c>
      <c r="T244" s="346">
        <f ca="1">MAX(T10+T243-U10-U243,0)</f>
        <v>22610074302</v>
      </c>
      <c r="U244" s="346">
        <f ca="1">MAX(U10+U243-T10-T243,0)</f>
        <v>0</v>
      </c>
      <c r="V244" s="346">
        <f ca="1">MAX(V10+V243-W10-W243,0)</f>
        <v>4299540884</v>
      </c>
      <c r="W244" s="346">
        <f ca="1">MAX(W10+W243-V10-V243,0)</f>
        <v>0</v>
      </c>
      <c r="X244" s="346">
        <f ca="1">MAX(X10+X243-Y10-Y243,0)</f>
        <v>0</v>
      </c>
      <c r="Y244" s="346">
        <f ca="1">MAX(Y10+Y243-X10-X243,0)</f>
        <v>0</v>
      </c>
      <c r="Z244" s="346">
        <f ca="1">MAX(Z10+Z243-AA10-AA243,0)</f>
        <v>0</v>
      </c>
      <c r="AA244" s="346">
        <f ca="1">MAX(AA10+AA243-Z10-Z243,0)</f>
        <v>0</v>
      </c>
      <c r="AB244" s="346">
        <f ca="1">MAX(AB10+AB243-AC10-AC243,0)</f>
        <v>0</v>
      </c>
      <c r="AC244" s="346">
        <f ca="1">MAX(AC10+AC243-AB10-AB243,0)</f>
        <v>5000000000</v>
      </c>
      <c r="AD244" s="346">
        <f ca="1">MAX(AD10+AD243-AE10-AE243,0)</f>
        <v>0</v>
      </c>
      <c r="AE244" s="346">
        <f ca="1">MAX(AE10+AE243-AD10-AD243,0)</f>
        <v>20000000000</v>
      </c>
      <c r="AF244" s="346">
        <f ca="1">MAX(AF10+AF243-AG10-AG243,0)</f>
        <v>0</v>
      </c>
      <c r="AG244" s="346">
        <f ca="1">MAX(AG10+AG243-AF10-AF243,0)</f>
        <v>1982640000</v>
      </c>
      <c r="AH244" s="346">
        <f ca="1">MAX(AH10+AH243-AI10-AI243,0)</f>
        <v>0</v>
      </c>
      <c r="AI244" s="346">
        <f ca="1">MAX(AI10+AI243-AH10-AH243,0)</f>
        <v>4000000000</v>
      </c>
      <c r="AJ244" s="346">
        <f ca="1">MAX(AJ10+AJ243-AK10-AK243,0)</f>
        <v>583066238</v>
      </c>
      <c r="AK244" s="346">
        <f ca="1">MAX(AK10+AK243-AJ10-AJ243,0)</f>
        <v>0</v>
      </c>
      <c r="AL244" s="346">
        <f ca="1">MAX(AL10+AL243-AM10-AM243,0)</f>
        <v>54726467</v>
      </c>
      <c r="AM244" s="346">
        <f ca="1">MAX(AM10+AM243-AL10-AL243,0)</f>
        <v>0</v>
      </c>
      <c r="AN244" s="346">
        <f ca="1">MAX(AN10+AN243-AO10-AO243,0)</f>
        <v>0</v>
      </c>
      <c r="AO244" s="346">
        <f ca="1">MAX(AO10+AO243-AN10-AN243,0)</f>
        <v>0</v>
      </c>
      <c r="AP244" s="346">
        <f ca="1">MAX(AP10+AP243-AQ10-AQ243,0)</f>
        <v>0</v>
      </c>
      <c r="AQ244" s="346">
        <f ca="1">MAX(AQ10+AQ243-AP10-AP243,0)</f>
        <v>0</v>
      </c>
      <c r="AR244" s="346">
        <f ca="1">MAX(AR10+AR243-AS10-AS243,0)</f>
        <v>0</v>
      </c>
      <c r="AS244" s="346">
        <f ca="1">MAX(AS10+AS243-AR10-AR243,0)</f>
        <v>0</v>
      </c>
      <c r="AT244" s="346">
        <f ca="1">MAX(AT10+AT243-AU10-AU243,0)</f>
        <v>0</v>
      </c>
      <c r="AU244" s="346">
        <f ca="1">MAX(AU10+AU243-AT10-AT243,0)</f>
        <v>0</v>
      </c>
      <c r="AV244" s="346">
        <f ca="1">MAX(AV10+AV243-AW10-AW243,0)</f>
        <v>0</v>
      </c>
      <c r="AW244" s="346">
        <f ca="1">MAX(AW10+AW243-AV10-AV243,0)</f>
        <v>0</v>
      </c>
      <c r="AX244" s="346">
        <f ca="1">MAX(AX10+AX243-AY10-AY243,0)</f>
        <v>0</v>
      </c>
      <c r="AY244" s="346">
        <f ca="1">MAX(AY10+AY243-AX10-AX243,0)</f>
        <v>0</v>
      </c>
      <c r="AZ244" s="346">
        <f ca="1">MAX(AZ10+AZ243-BA10-BA243,0)</f>
        <v>0</v>
      </c>
      <c r="BA244" s="346">
        <f ca="1">MAX(BA10+BA243-AZ10-AZ243,0)</f>
        <v>44235587</v>
      </c>
    </row>
    <row r="245" spans="1:53" s="314" customFormat="1" ht="15.75" customHeight="1">
      <c r="A245" s="328"/>
      <c r="B245" s="328"/>
      <c r="C245" s="329"/>
      <c r="D245" s="328"/>
      <c r="E245" s="330" t="s">
        <v>308</v>
      </c>
      <c r="F245" s="328"/>
      <c r="G245" s="331"/>
      <c r="H245" s="331"/>
      <c r="I245" s="328"/>
      <c r="J245" s="328">
        <f ca="1">J243+'SC-II'!J157</f>
        <v>0</v>
      </c>
      <c r="K245" s="328">
        <f ca="1">K243+'SC-II'!K157</f>
        <v>10087000</v>
      </c>
      <c r="L245" s="328">
        <f ca="1">L243+'SC-II'!L157</f>
        <v>0</v>
      </c>
      <c r="M245" s="328">
        <f ca="1">M243+'SC-II'!M157</f>
        <v>0</v>
      </c>
      <c r="N245" s="328">
        <f ca="1">N243+'SC-II'!N157</f>
        <v>0</v>
      </c>
      <c r="O245" s="328">
        <f ca="1">O243+'SC-II'!O157</f>
        <v>0</v>
      </c>
      <c r="P245" s="328">
        <f ca="1">P243+'SC-II'!P157</f>
        <v>0</v>
      </c>
      <c r="Q245" s="328">
        <f ca="1">Q243+'SC-II'!Q157</f>
        <v>0</v>
      </c>
      <c r="R245" s="328">
        <f ca="1">R243+'SC-II'!R157</f>
        <v>0</v>
      </c>
      <c r="S245" s="328">
        <f ca="1">S243+'SC-II'!S157</f>
        <v>0</v>
      </c>
      <c r="T245" s="328">
        <f ca="1">T243+'SC-II'!T157</f>
        <v>10087000</v>
      </c>
      <c r="U245" s="328">
        <f ca="1">U243+'SC-II'!U157</f>
        <v>0</v>
      </c>
      <c r="V245" s="328">
        <f ca="1">V243+'SC-II'!V157</f>
        <v>0</v>
      </c>
      <c r="W245" s="328">
        <f ca="1">W243+'SC-II'!W157</f>
        <v>10490880</v>
      </c>
      <c r="X245" s="328">
        <f ca="1">X243+'SC-II'!X157</f>
        <v>0</v>
      </c>
      <c r="Y245" s="328">
        <f ca="1">Y243+'SC-II'!Y157</f>
        <v>0</v>
      </c>
      <c r="Z245" s="328">
        <f ca="1">Z243+'SC-II'!Z157</f>
        <v>0</v>
      </c>
      <c r="AA245" s="328">
        <f ca="1">AA243+'SC-II'!AA157</f>
        <v>0</v>
      </c>
      <c r="AB245" s="328">
        <f ca="1">AB243+'SC-II'!AB157</f>
        <v>0</v>
      </c>
      <c r="AC245" s="328">
        <f ca="1">AC243+'SC-II'!AC157</f>
        <v>0</v>
      </c>
      <c r="AD245" s="328">
        <f ca="1">AD243+'SC-II'!AD157</f>
        <v>0</v>
      </c>
      <c r="AE245" s="328">
        <f ca="1">AE243+'SC-II'!AE157</f>
        <v>0</v>
      </c>
      <c r="AF245" s="328">
        <f ca="1">AF243+'SC-II'!AF157</f>
        <v>0</v>
      </c>
      <c r="AG245" s="328">
        <f ca="1">AG243+'SC-II'!AG157</f>
        <v>0</v>
      </c>
      <c r="AH245" s="328">
        <f ca="1">AH243+'SC-II'!AH157</f>
        <v>0</v>
      </c>
      <c r="AI245" s="328">
        <f ca="1">AI243+'SC-II'!AI157</f>
        <v>0</v>
      </c>
      <c r="AJ245" s="328">
        <f ca="1">AJ243+'SC-II'!AJ157</f>
        <v>359476733</v>
      </c>
      <c r="AK245" s="328">
        <f ca="1">AK243+'SC-II'!AK157</f>
        <v>0</v>
      </c>
      <c r="AL245" s="328">
        <f ca="1">AL243+'SC-II'!AL157</f>
        <v>54726467</v>
      </c>
      <c r="AM245" s="328">
        <f ca="1">AM243+'SC-II'!AM157</f>
        <v>359476733</v>
      </c>
      <c r="AN245" s="328">
        <f ca="1">AN243+'SC-II'!AN157</f>
        <v>0</v>
      </c>
      <c r="AO245" s="328">
        <f ca="1">AO243+'SC-II'!AO157</f>
        <v>0</v>
      </c>
      <c r="AP245" s="328">
        <f ca="1">AP243+'SC-II'!AP157</f>
        <v>0</v>
      </c>
      <c r="AQ245" s="328">
        <f ca="1">AQ243+'SC-II'!AQ157</f>
        <v>0</v>
      </c>
      <c r="AR245" s="328">
        <f ca="1">AR243+'SC-II'!AR157</f>
        <v>10490880</v>
      </c>
      <c r="AS245" s="328">
        <f ca="1">AS243+'SC-II'!AS157</f>
        <v>10490880</v>
      </c>
      <c r="AT245" s="328">
        <f ca="1">AT243+'SC-II'!AT157</f>
        <v>0</v>
      </c>
      <c r="AU245" s="328">
        <f ca="1">AU243+'SC-II'!AU157</f>
        <v>0</v>
      </c>
      <c r="AV245" s="328">
        <f ca="1">AV243+'SC-II'!AV157</f>
        <v>0</v>
      </c>
      <c r="AW245" s="328">
        <f ca="1">AW243+'SC-II'!AW157</f>
        <v>0</v>
      </c>
      <c r="AX245" s="328">
        <f ca="1">AX243+'SC-II'!AX157</f>
        <v>0</v>
      </c>
      <c r="AY245" s="328">
        <f ca="1">AY243+'SC-II'!AY157</f>
        <v>0</v>
      </c>
      <c r="AZ245" s="328">
        <f ca="1">AZ243+'SC-II'!AZ157</f>
        <v>10490880</v>
      </c>
      <c r="BA245" s="328">
        <f ca="1">BA243+'SC-II'!BA157</f>
        <v>54726467</v>
      </c>
    </row>
    <row r="246" spans="1:53" ht="12" customHeight="1">
      <c r="B246" s="333"/>
      <c r="C246" s="334"/>
      <c r="D246" s="334"/>
      <c r="E246" s="334"/>
      <c r="F246" s="334"/>
      <c r="G246" s="335"/>
      <c r="H246" s="335"/>
      <c r="I246" s="334"/>
      <c r="J246" s="334"/>
      <c r="K246" s="334"/>
      <c r="AR246" s="333"/>
      <c r="AS246" s="333"/>
      <c r="AT246" s="334"/>
      <c r="AU246" s="334"/>
      <c r="AV246" s="334"/>
      <c r="AW246" s="335"/>
      <c r="AX246" s="335"/>
      <c r="AY246" s="335"/>
      <c r="AZ246" s="335"/>
      <c r="BA246" s="351"/>
    </row>
    <row r="247" spans="1:53">
      <c r="F247" s="292"/>
      <c r="M247" s="336"/>
      <c r="O247" s="336"/>
      <c r="Q247" s="336"/>
      <c r="R247" s="336"/>
      <c r="S247" s="336"/>
      <c r="T247" s="336"/>
      <c r="U247" s="336"/>
      <c r="V247" s="336"/>
      <c r="AL247" s="337" t="s">
        <v>339</v>
      </c>
      <c r="AM247" s="338"/>
      <c r="AN247" s="338"/>
      <c r="AO247" s="338"/>
      <c r="AP247" s="338"/>
      <c r="AQ247" s="338"/>
      <c r="AR247" s="339"/>
      <c r="AS247" s="339"/>
      <c r="AT247" s="338"/>
    </row>
    <row r="248" spans="1:53">
      <c r="F248" s="292"/>
      <c r="M248" s="336"/>
      <c r="O248" s="336"/>
      <c r="Q248" s="336"/>
      <c r="R248" s="336"/>
      <c r="S248" s="336"/>
      <c r="T248" s="336"/>
      <c r="U248" s="336"/>
      <c r="V248" s="336"/>
      <c r="AL248" s="340" t="s">
        <v>314</v>
      </c>
      <c r="AM248" s="338"/>
      <c r="AN248" s="338"/>
      <c r="AO248" s="338"/>
      <c r="AP248" s="338"/>
      <c r="AQ248" s="338"/>
      <c r="AR248" s="339"/>
      <c r="AS248" s="339"/>
      <c r="AT248" s="338"/>
    </row>
    <row r="249" spans="1:53">
      <c r="F249" s="292"/>
      <c r="M249" s="336"/>
      <c r="O249" s="336"/>
      <c r="Q249" s="336"/>
      <c r="R249" s="336"/>
      <c r="S249" s="336"/>
      <c r="T249" s="336"/>
      <c r="U249" s="336"/>
      <c r="V249" s="336"/>
      <c r="AL249" s="338"/>
      <c r="AM249" s="338"/>
      <c r="AN249" s="338"/>
      <c r="AO249" s="338"/>
      <c r="AP249" s="338"/>
      <c r="AQ249" s="338"/>
      <c r="AR249" s="338"/>
      <c r="AS249" s="338"/>
      <c r="AT249" s="339"/>
    </row>
    <row r="250" spans="1:53">
      <c r="F250" s="292"/>
      <c r="M250" s="336"/>
      <c r="O250" s="336"/>
      <c r="Q250" s="336"/>
      <c r="R250" s="336"/>
      <c r="S250" s="336"/>
      <c r="T250" s="336"/>
      <c r="U250" s="336"/>
      <c r="V250" s="336"/>
      <c r="AL250" s="338"/>
      <c r="AM250" s="338"/>
      <c r="AN250" s="338"/>
      <c r="AO250" s="338"/>
      <c r="AP250" s="338"/>
      <c r="AQ250" s="338"/>
      <c r="AR250" s="338"/>
      <c r="AS250" s="338"/>
      <c r="AT250" s="339"/>
      <c r="AZ250" s="341" t="str">
        <f>"Ngày 30 tháng 09 năm 2015 "</f>
        <v xml:space="preserve">Ngày 30 tháng 09 năm 2015 </v>
      </c>
    </row>
    <row r="251" spans="1:53">
      <c r="F251" s="292"/>
      <c r="M251" s="336"/>
      <c r="O251" s="336"/>
      <c r="Q251" s="336"/>
      <c r="R251" s="336"/>
      <c r="S251" s="336"/>
      <c r="T251" s="336"/>
      <c r="U251" s="336"/>
      <c r="V251" s="336"/>
      <c r="AL251" s="338"/>
      <c r="AM251" s="342" t="s">
        <v>14</v>
      </c>
      <c r="AN251" s="338"/>
      <c r="AO251" s="338"/>
      <c r="AP251" s="338"/>
      <c r="AQ251" s="338"/>
      <c r="AR251" s="338"/>
      <c r="AS251" s="343" t="s">
        <v>15</v>
      </c>
      <c r="AT251" s="339"/>
      <c r="AZ251" s="342" t="s">
        <v>206</v>
      </c>
    </row>
    <row r="252" spans="1:53">
      <c r="F252" s="292"/>
      <c r="M252" s="336"/>
      <c r="O252" s="336"/>
      <c r="Q252" s="336"/>
      <c r="R252" s="336"/>
      <c r="S252" s="336"/>
      <c r="T252" s="336"/>
      <c r="U252" s="336"/>
      <c r="V252" s="336"/>
      <c r="AL252" s="338"/>
      <c r="AM252" s="344" t="s">
        <v>16</v>
      </c>
      <c r="AN252" s="338"/>
      <c r="AO252" s="338"/>
      <c r="AP252" s="338"/>
      <c r="AQ252" s="338"/>
      <c r="AR252" s="338"/>
      <c r="AS252" s="345" t="s">
        <v>16</v>
      </c>
      <c r="AT252" s="339"/>
      <c r="AZ252" s="344" t="s">
        <v>241</v>
      </c>
    </row>
    <row r="253" spans="1:53">
      <c r="F253" s="292"/>
      <c r="M253" s="336"/>
      <c r="O253" s="336"/>
      <c r="Q253" s="336"/>
      <c r="R253" s="336"/>
      <c r="S253" s="336"/>
      <c r="T253" s="336"/>
      <c r="U253" s="336"/>
      <c r="V253" s="336"/>
      <c r="AL253" s="338"/>
      <c r="AM253" s="338"/>
      <c r="AN253" s="338"/>
      <c r="AO253" s="338"/>
      <c r="AP253" s="338"/>
      <c r="AQ253" s="338"/>
      <c r="AR253" s="338"/>
      <c r="AS253" s="338"/>
      <c r="AT253" s="339"/>
      <c r="AZ253" s="338"/>
    </row>
    <row r="254" spans="1:53">
      <c r="F254" s="292"/>
      <c r="M254" s="336"/>
      <c r="O254" s="336"/>
      <c r="Q254" s="336"/>
      <c r="R254" s="336"/>
      <c r="S254" s="336"/>
      <c r="T254" s="336"/>
      <c r="U254" s="336"/>
      <c r="V254" s="336"/>
      <c r="AZ254" s="338"/>
    </row>
    <row r="255" spans="1:53">
      <c r="F255" s="292"/>
      <c r="M255" s="336"/>
      <c r="O255" s="336"/>
      <c r="Q255" s="336"/>
      <c r="R255" s="336"/>
      <c r="S255" s="336"/>
      <c r="T255" s="336"/>
      <c r="U255" s="336"/>
      <c r="V255" s="336"/>
    </row>
    <row r="256" spans="1:53">
      <c r="F256" s="292"/>
      <c r="M256" s="336"/>
      <c r="O256" s="336"/>
      <c r="Q256" s="336"/>
      <c r="R256" s="336"/>
      <c r="S256" s="336"/>
      <c r="T256" s="336"/>
      <c r="U256" s="336"/>
      <c r="V256" s="336"/>
    </row>
    <row r="257" spans="6:22">
      <c r="F257" s="292"/>
      <c r="M257" s="336"/>
      <c r="O257" s="336"/>
      <c r="Q257" s="336"/>
      <c r="R257" s="336"/>
      <c r="S257" s="336"/>
      <c r="T257" s="336"/>
      <c r="U257" s="336"/>
      <c r="V257" s="336"/>
    </row>
    <row r="258" spans="6:22">
      <c r="F258" s="292"/>
      <c r="M258" s="336"/>
      <c r="O258" s="336"/>
      <c r="Q258" s="336"/>
      <c r="R258" s="336"/>
      <c r="S258" s="336"/>
      <c r="T258" s="336"/>
      <c r="U258" s="336"/>
      <c r="V258" s="336"/>
    </row>
    <row r="259" spans="6:22">
      <c r="F259" s="292"/>
      <c r="M259" s="336"/>
      <c r="O259" s="336"/>
      <c r="Q259" s="336"/>
      <c r="R259" s="336"/>
      <c r="S259" s="336"/>
      <c r="T259" s="336"/>
      <c r="U259" s="336"/>
      <c r="V259" s="336"/>
    </row>
    <row r="260" spans="6:22">
      <c r="F260" s="292"/>
      <c r="M260" s="336"/>
      <c r="O260" s="336"/>
      <c r="Q260" s="336"/>
      <c r="R260" s="336"/>
      <c r="S260" s="336"/>
      <c r="T260" s="336"/>
      <c r="U260" s="336"/>
      <c r="V260" s="336"/>
    </row>
    <row r="269" spans="6:22">
      <c r="R269" s="336"/>
    </row>
    <row r="270" spans="6:22">
      <c r="R270" s="336"/>
    </row>
    <row r="271" spans="6:22">
      <c r="M271" s="336"/>
      <c r="O271" s="336"/>
      <c r="P271" s="336"/>
      <c r="Q271" s="336"/>
      <c r="R271" s="336"/>
    </row>
    <row r="272" spans="6:22">
      <c r="M272" s="336"/>
      <c r="O272" s="336"/>
      <c r="P272" s="336"/>
      <c r="Q272" s="336"/>
      <c r="R272" s="336"/>
    </row>
    <row r="273" spans="13:18">
      <c r="M273" s="336"/>
      <c r="O273" s="336"/>
      <c r="P273" s="336"/>
      <c r="Q273" s="336"/>
    </row>
    <row r="274" spans="13:18">
      <c r="M274" s="336"/>
      <c r="O274" s="336"/>
      <c r="P274" s="336"/>
      <c r="Q274" s="336"/>
    </row>
    <row r="276" spans="13:18">
      <c r="M276" s="336"/>
      <c r="O276" s="336"/>
      <c r="P276" s="336"/>
      <c r="Q276" s="336"/>
      <c r="R276" s="336"/>
    </row>
    <row r="277" spans="13:18">
      <c r="M277" s="336"/>
      <c r="O277" s="336"/>
      <c r="P277" s="336"/>
      <c r="Q277" s="336"/>
      <c r="R277" s="336"/>
    </row>
    <row r="284" spans="13:18">
      <c r="M284" s="336"/>
      <c r="O284" s="336"/>
      <c r="P284" s="336"/>
      <c r="Q284" s="336"/>
      <c r="R284" s="336"/>
    </row>
    <row r="285" spans="13:18">
      <c r="M285" s="336"/>
      <c r="O285" s="336"/>
      <c r="P285" s="336"/>
      <c r="Q285" s="336"/>
      <c r="R285" s="336"/>
    </row>
    <row r="286" spans="13:18">
      <c r="M286" s="336"/>
      <c r="O286" s="336"/>
      <c r="P286" s="336"/>
      <c r="Q286" s="336"/>
      <c r="R286" s="336"/>
    </row>
    <row r="290" spans="13:18">
      <c r="M290" s="336"/>
      <c r="O290" s="336"/>
      <c r="P290" s="336"/>
      <c r="Q290" s="336"/>
      <c r="R290" s="336"/>
    </row>
    <row r="291" spans="13:18">
      <c r="M291" s="336"/>
      <c r="O291" s="336"/>
      <c r="P291" s="336"/>
      <c r="Q291" s="336"/>
      <c r="R291" s="336"/>
    </row>
    <row r="292" spans="13:18">
      <c r="M292" s="336"/>
      <c r="O292" s="336"/>
      <c r="P292" s="336"/>
      <c r="Q292" s="336"/>
      <c r="R292" s="336"/>
    </row>
    <row r="293" spans="13:18">
      <c r="M293" s="336"/>
      <c r="O293" s="336"/>
      <c r="P293" s="336"/>
      <c r="Q293" s="336"/>
      <c r="R293" s="336"/>
    </row>
    <row r="294" spans="13:18">
      <c r="M294" s="336"/>
      <c r="O294" s="336"/>
      <c r="P294" s="336"/>
      <c r="Q294" s="336"/>
      <c r="R294" s="336"/>
    </row>
    <row r="295" spans="13:18">
      <c r="M295" s="336"/>
      <c r="O295" s="336"/>
      <c r="P295" s="336"/>
      <c r="Q295" s="336"/>
      <c r="R295" s="336"/>
    </row>
    <row r="296" spans="13:18">
      <c r="M296" s="336"/>
      <c r="O296" s="336"/>
      <c r="P296" s="336"/>
      <c r="Q296" s="336"/>
      <c r="R296" s="336"/>
    </row>
    <row r="297" spans="13:18">
      <c r="M297" s="336"/>
      <c r="O297" s="336"/>
      <c r="P297" s="336"/>
      <c r="Q297" s="336"/>
      <c r="R297" s="336"/>
    </row>
    <row r="298" spans="13:18">
      <c r="M298" s="336"/>
      <c r="O298" s="336"/>
      <c r="P298" s="336"/>
      <c r="Q298" s="336"/>
      <c r="R298" s="336"/>
    </row>
    <row r="299" spans="13:18">
      <c r="M299" s="336"/>
      <c r="O299" s="336"/>
      <c r="P299" s="336"/>
      <c r="Q299" s="336"/>
      <c r="R299" s="336"/>
    </row>
    <row r="300" spans="13:18">
      <c r="M300" s="336"/>
      <c r="O300" s="336"/>
      <c r="P300" s="336"/>
      <c r="Q300" s="336"/>
      <c r="R300" s="336"/>
    </row>
    <row r="301" spans="13:18">
      <c r="M301" s="336"/>
      <c r="O301" s="336"/>
      <c r="P301" s="336"/>
      <c r="Q301" s="336"/>
      <c r="R301" s="336"/>
    </row>
    <row r="302" spans="13:18">
      <c r="M302" s="336"/>
      <c r="O302" s="336"/>
      <c r="P302" s="336"/>
      <c r="Q302" s="336"/>
      <c r="R302" s="336"/>
    </row>
    <row r="303" spans="13:18">
      <c r="M303" s="336"/>
      <c r="O303" s="336"/>
      <c r="P303" s="336"/>
      <c r="Q303" s="336"/>
      <c r="R303" s="336"/>
    </row>
    <row r="304" spans="13:18">
      <c r="M304" s="336"/>
      <c r="O304" s="336"/>
      <c r="P304" s="336"/>
      <c r="Q304" s="336"/>
      <c r="R304" s="336"/>
    </row>
    <row r="305" spans="13:18">
      <c r="M305" s="336"/>
      <c r="O305" s="336"/>
      <c r="P305" s="336"/>
      <c r="Q305" s="336"/>
      <c r="R305" s="336"/>
    </row>
    <row r="306" spans="13:18">
      <c r="M306" s="336"/>
      <c r="O306" s="336"/>
      <c r="P306" s="336"/>
      <c r="Q306" s="336"/>
      <c r="R306" s="336"/>
    </row>
    <row r="307" spans="13:18">
      <c r="M307" s="336"/>
      <c r="O307" s="336"/>
      <c r="P307" s="336"/>
      <c r="Q307" s="336"/>
      <c r="R307" s="336"/>
    </row>
    <row r="308" spans="13:18">
      <c r="M308" s="336"/>
      <c r="O308" s="336"/>
      <c r="P308" s="336"/>
      <c r="Q308" s="336"/>
      <c r="R308" s="336"/>
    </row>
    <row r="309" spans="13:18">
      <c r="M309" s="336"/>
      <c r="O309" s="336"/>
      <c r="P309" s="336"/>
      <c r="Q309" s="336"/>
      <c r="R309" s="336"/>
    </row>
    <row r="310" spans="13:18">
      <c r="M310" s="336"/>
      <c r="O310" s="336"/>
      <c r="P310" s="336"/>
      <c r="Q310" s="336"/>
      <c r="R310" s="336"/>
    </row>
    <row r="311" spans="13:18">
      <c r="M311" s="336"/>
      <c r="O311" s="336"/>
      <c r="P311" s="336"/>
      <c r="Q311" s="336"/>
      <c r="R311" s="336"/>
    </row>
    <row r="312" spans="13:18">
      <c r="M312" s="336"/>
      <c r="O312" s="336"/>
      <c r="P312" s="336"/>
      <c r="Q312" s="336"/>
      <c r="R312" s="336"/>
    </row>
    <row r="313" spans="13:18">
      <c r="M313" s="336"/>
      <c r="O313" s="336"/>
      <c r="P313" s="336"/>
      <c r="Q313" s="336"/>
      <c r="R313" s="336"/>
    </row>
    <row r="314" spans="13:18">
      <c r="M314" s="336"/>
      <c r="O314" s="336"/>
      <c r="P314" s="336"/>
      <c r="Q314" s="336"/>
      <c r="R314" s="336"/>
    </row>
    <row r="315" spans="13:18">
      <c r="M315" s="336"/>
      <c r="O315" s="336"/>
      <c r="P315" s="336"/>
      <c r="Q315" s="336"/>
      <c r="R315" s="336"/>
    </row>
    <row r="316" spans="13:18">
      <c r="M316" s="336"/>
      <c r="O316" s="336"/>
      <c r="P316" s="336"/>
      <c r="Q316" s="336"/>
      <c r="R316" s="336"/>
    </row>
    <row r="317" spans="13:18">
      <c r="M317" s="336"/>
      <c r="O317" s="336"/>
      <c r="P317" s="336"/>
      <c r="Q317" s="336"/>
      <c r="R317" s="336"/>
    </row>
    <row r="318" spans="13:18">
      <c r="M318" s="336"/>
      <c r="O318" s="336"/>
      <c r="P318" s="336"/>
      <c r="Q318" s="336"/>
      <c r="R318" s="336"/>
    </row>
    <row r="319" spans="13:18">
      <c r="M319" s="336"/>
      <c r="O319" s="336"/>
      <c r="P319" s="336"/>
      <c r="Q319" s="336"/>
      <c r="R319" s="336"/>
    </row>
    <row r="320" spans="13:18">
      <c r="M320" s="336"/>
      <c r="O320" s="336"/>
      <c r="P320" s="336"/>
      <c r="Q320" s="336"/>
      <c r="R320" s="336"/>
    </row>
    <row r="321" spans="13:18">
      <c r="M321" s="336"/>
      <c r="O321" s="336"/>
      <c r="P321" s="336"/>
      <c r="Q321" s="336"/>
      <c r="R321" s="336"/>
    </row>
    <row r="322" spans="13:18">
      <c r="M322" s="336"/>
      <c r="O322" s="336"/>
      <c r="P322" s="336"/>
      <c r="Q322" s="336"/>
      <c r="R322" s="336"/>
    </row>
    <row r="323" spans="13:18">
      <c r="M323" s="336"/>
      <c r="O323" s="336"/>
      <c r="P323" s="336"/>
      <c r="Q323" s="336"/>
      <c r="R323" s="336"/>
    </row>
    <row r="324" spans="13:18">
      <c r="M324" s="336"/>
      <c r="O324" s="336"/>
      <c r="P324" s="336"/>
      <c r="Q324" s="336"/>
      <c r="R324" s="336"/>
    </row>
    <row r="325" spans="13:18">
      <c r="M325" s="336"/>
      <c r="O325" s="336"/>
      <c r="P325" s="336"/>
      <c r="Q325" s="336"/>
      <c r="R325" s="336"/>
    </row>
    <row r="326" spans="13:18">
      <c r="M326" s="336"/>
      <c r="O326" s="336"/>
      <c r="P326" s="336"/>
      <c r="Q326" s="336"/>
      <c r="R326" s="336"/>
    </row>
    <row r="327" spans="13:18">
      <c r="M327" s="336"/>
      <c r="O327" s="336"/>
      <c r="P327" s="336"/>
      <c r="Q327" s="336"/>
      <c r="R327" s="336"/>
    </row>
    <row r="328" spans="13:18">
      <c r="M328" s="336"/>
      <c r="O328" s="336"/>
      <c r="P328" s="336"/>
      <c r="Q328" s="336"/>
      <c r="R328" s="336"/>
    </row>
    <row r="329" spans="13:18">
      <c r="M329" s="336"/>
      <c r="O329" s="336"/>
      <c r="P329" s="336"/>
      <c r="Q329" s="336"/>
      <c r="R329" s="336"/>
    </row>
    <row r="330" spans="13:18">
      <c r="M330" s="336"/>
      <c r="O330" s="336"/>
      <c r="P330" s="336"/>
      <c r="Q330" s="336"/>
      <c r="R330" s="336"/>
    </row>
    <row r="331" spans="13:18">
      <c r="M331" s="336"/>
      <c r="O331" s="336"/>
      <c r="P331" s="336"/>
      <c r="Q331" s="336"/>
      <c r="R331" s="336"/>
    </row>
    <row r="332" spans="13:18">
      <c r="M332" s="336"/>
      <c r="O332" s="336"/>
      <c r="P332" s="336"/>
      <c r="Q332" s="336"/>
      <c r="R332" s="336"/>
    </row>
    <row r="333" spans="13:18">
      <c r="M333" s="336"/>
      <c r="O333" s="336"/>
      <c r="P333" s="336"/>
      <c r="Q333" s="336"/>
      <c r="R333" s="336"/>
    </row>
    <row r="334" spans="13:18">
      <c r="M334" s="336"/>
      <c r="O334" s="336"/>
      <c r="P334" s="336"/>
      <c r="Q334" s="336"/>
      <c r="R334" s="336"/>
    </row>
    <row r="335" spans="13:18">
      <c r="M335" s="336"/>
      <c r="O335" s="336"/>
      <c r="P335" s="336"/>
      <c r="Q335" s="336"/>
      <c r="R335" s="336"/>
    </row>
    <row r="336" spans="13:18">
      <c r="M336" s="336"/>
      <c r="O336" s="336"/>
      <c r="P336" s="336"/>
      <c r="Q336" s="336"/>
      <c r="R336" s="336"/>
    </row>
    <row r="337" spans="13:18">
      <c r="M337" s="336"/>
      <c r="O337" s="336"/>
      <c r="P337" s="336"/>
      <c r="Q337" s="336"/>
      <c r="R337" s="336"/>
    </row>
    <row r="338" spans="13:18">
      <c r="M338" s="336"/>
      <c r="O338" s="336"/>
      <c r="P338" s="336"/>
      <c r="Q338" s="336"/>
      <c r="R338" s="336"/>
    </row>
    <row r="339" spans="13:18">
      <c r="M339" s="336"/>
      <c r="O339" s="336"/>
      <c r="P339" s="336"/>
      <c r="Q339" s="336"/>
      <c r="R339" s="336"/>
    </row>
    <row r="340" spans="13:18">
      <c r="M340" s="336"/>
      <c r="O340" s="336"/>
      <c r="P340" s="336"/>
      <c r="Q340" s="336"/>
      <c r="R340" s="336"/>
    </row>
    <row r="341" spans="13:18">
      <c r="M341" s="336"/>
      <c r="O341" s="336"/>
      <c r="P341" s="336"/>
      <c r="Q341" s="336"/>
      <c r="R341" s="336"/>
    </row>
    <row r="342" spans="13:18">
      <c r="M342" s="336"/>
      <c r="O342" s="336"/>
      <c r="P342" s="336"/>
      <c r="Q342" s="336"/>
      <c r="R342" s="336"/>
    </row>
    <row r="343" spans="13:18">
      <c r="M343" s="336"/>
      <c r="O343" s="336"/>
      <c r="P343" s="336"/>
      <c r="Q343" s="336"/>
      <c r="R343" s="336"/>
    </row>
    <row r="344" spans="13:18">
      <c r="M344" s="336"/>
      <c r="O344" s="336"/>
      <c r="P344" s="336"/>
      <c r="Q344" s="336"/>
      <c r="R344" s="336"/>
    </row>
    <row r="345" spans="13:18">
      <c r="M345" s="336"/>
      <c r="O345" s="336"/>
      <c r="P345" s="336"/>
      <c r="Q345" s="336"/>
      <c r="R345" s="336"/>
    </row>
    <row r="346" spans="13:18">
      <c r="M346" s="336"/>
      <c r="O346" s="336"/>
      <c r="P346" s="336"/>
      <c r="Q346" s="336"/>
      <c r="R346" s="336"/>
    </row>
    <row r="347" spans="13:18">
      <c r="M347" s="336"/>
      <c r="O347" s="336"/>
      <c r="P347" s="336"/>
      <c r="Q347" s="336"/>
      <c r="R347" s="336"/>
    </row>
    <row r="348" spans="13:18">
      <c r="M348" s="336"/>
      <c r="O348" s="336"/>
      <c r="P348" s="336"/>
      <c r="Q348" s="336"/>
      <c r="R348" s="336"/>
    </row>
    <row r="349" spans="13:18">
      <c r="M349" s="336"/>
      <c r="O349" s="336"/>
      <c r="P349" s="336"/>
      <c r="Q349" s="336"/>
      <c r="R349" s="336"/>
    </row>
    <row r="350" spans="13:18">
      <c r="M350" s="336"/>
      <c r="O350" s="336"/>
      <c r="P350" s="336"/>
      <c r="Q350" s="336"/>
      <c r="R350" s="336"/>
    </row>
    <row r="351" spans="13:18">
      <c r="M351" s="336"/>
      <c r="O351" s="336"/>
      <c r="P351" s="336"/>
      <c r="Q351" s="336"/>
      <c r="R351" s="336"/>
    </row>
    <row r="352" spans="13:18">
      <c r="M352" s="336"/>
      <c r="O352" s="336"/>
      <c r="P352" s="336"/>
      <c r="Q352" s="336"/>
      <c r="R352" s="336"/>
    </row>
    <row r="353" spans="13:18">
      <c r="M353" s="336"/>
      <c r="O353" s="336"/>
      <c r="P353" s="336"/>
      <c r="Q353" s="336"/>
      <c r="R353" s="336"/>
    </row>
    <row r="354" spans="13:18">
      <c r="M354" s="336"/>
      <c r="O354" s="336"/>
      <c r="P354" s="336"/>
      <c r="Q354" s="336"/>
      <c r="R354" s="336"/>
    </row>
    <row r="355" spans="13:18">
      <c r="M355" s="336"/>
      <c r="O355" s="336"/>
      <c r="P355" s="336"/>
      <c r="Q355" s="336"/>
      <c r="R355" s="336"/>
    </row>
    <row r="356" spans="13:18">
      <c r="M356" s="336"/>
      <c r="O356" s="336"/>
      <c r="P356" s="336"/>
      <c r="Q356" s="336"/>
      <c r="R356" s="336"/>
    </row>
    <row r="357" spans="13:18">
      <c r="M357" s="336"/>
      <c r="O357" s="336"/>
      <c r="P357" s="336"/>
      <c r="Q357" s="336"/>
      <c r="R357" s="336"/>
    </row>
    <row r="358" spans="13:18">
      <c r="M358" s="336"/>
      <c r="O358" s="336"/>
      <c r="P358" s="336"/>
      <c r="Q358" s="336"/>
      <c r="R358" s="336"/>
    </row>
    <row r="359" spans="13:18">
      <c r="M359" s="336"/>
      <c r="O359" s="336"/>
      <c r="P359" s="336"/>
      <c r="Q359" s="336"/>
      <c r="R359" s="336"/>
    </row>
    <row r="360" spans="13:18">
      <c r="M360" s="336"/>
      <c r="O360" s="336"/>
      <c r="P360" s="336"/>
      <c r="Q360" s="336"/>
      <c r="R360" s="336"/>
    </row>
    <row r="361" spans="13:18">
      <c r="M361" s="336"/>
      <c r="O361" s="336"/>
      <c r="P361" s="336"/>
      <c r="Q361" s="336"/>
      <c r="R361" s="336"/>
    </row>
    <row r="362" spans="13:18">
      <c r="M362" s="336"/>
      <c r="O362" s="336"/>
      <c r="P362" s="336"/>
      <c r="Q362" s="336"/>
      <c r="R362" s="336"/>
    </row>
    <row r="363" spans="13:18">
      <c r="M363" s="336"/>
      <c r="O363" s="336"/>
      <c r="P363" s="336"/>
      <c r="Q363" s="336"/>
      <c r="R363" s="336"/>
    </row>
    <row r="364" spans="13:18">
      <c r="M364" s="336"/>
      <c r="O364" s="336"/>
      <c r="P364" s="336"/>
      <c r="Q364" s="336"/>
      <c r="R364" s="336"/>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2" customWidth="1"/>
    <col min="2" max="2" width="8.42578125" style="292" customWidth="1"/>
    <col min="3" max="3" width="7.85546875" style="292" customWidth="1"/>
    <col min="4" max="4" width="8.7109375" style="292" customWidth="1"/>
    <col min="5" max="5" width="44" style="292" customWidth="1"/>
    <col min="6" max="6" width="13.5703125" style="292" customWidth="1"/>
    <col min="7" max="8" width="5.85546875" style="293" customWidth="1"/>
    <col min="9" max="9" width="4.85546875" style="292" customWidth="1"/>
    <col min="10" max="10" width="13.140625" style="292" customWidth="1"/>
    <col min="11" max="11" width="13.28515625" style="292" customWidth="1"/>
    <col min="12" max="12" width="13.7109375" style="292" customWidth="1"/>
    <col min="13" max="13" width="14" style="292" customWidth="1"/>
    <col min="14" max="14" width="13.7109375" style="292" customWidth="1"/>
    <col min="15" max="15" width="14" style="292" customWidth="1"/>
    <col min="16" max="16" width="12.7109375" style="292" customWidth="1"/>
    <col min="17" max="17" width="14.5703125" style="292" customWidth="1"/>
    <col min="18" max="18" width="13.28515625" style="292" customWidth="1"/>
    <col min="19" max="19" width="13" style="292" customWidth="1"/>
    <col min="20" max="20" width="14" style="292" customWidth="1"/>
    <col min="21" max="21" width="5" style="292" customWidth="1"/>
    <col min="22" max="22" width="13.7109375" style="292" customWidth="1"/>
    <col min="23" max="23" width="13.42578125" style="292" customWidth="1"/>
    <col min="24" max="24" width="6.140625" style="292" customWidth="1"/>
    <col min="25" max="25" width="7.140625" style="292" customWidth="1"/>
    <col min="26" max="27" width="9.42578125" style="292" customWidth="1"/>
    <col min="28" max="28" width="11.140625" style="292" customWidth="1"/>
    <col min="29" max="29" width="13" style="292" customWidth="1"/>
    <col min="30" max="30" width="4.5703125" style="292" customWidth="1"/>
    <col min="31" max="31" width="13.5703125" style="292" customWidth="1"/>
    <col min="32" max="32" width="4.5703125" style="292" customWidth="1"/>
    <col min="33" max="33" width="13.5703125" style="292" customWidth="1"/>
    <col min="34" max="34" width="4.42578125" style="292" customWidth="1"/>
    <col min="35" max="35" width="12.7109375" style="292" customWidth="1"/>
    <col min="36" max="36" width="11.140625" style="292" customWidth="1"/>
    <col min="37" max="37" width="4.7109375" style="292" customWidth="1"/>
    <col min="38" max="38" width="12.28515625" style="292" customWidth="1"/>
    <col min="39" max="39" width="11.42578125" style="292" customWidth="1"/>
    <col min="40" max="40" width="11.28515625" style="292" customWidth="1"/>
    <col min="41" max="41" width="11.140625" style="292" customWidth="1"/>
    <col min="42" max="43" width="12.5703125" style="292" customWidth="1"/>
    <col min="44" max="44" width="13.42578125" style="292" customWidth="1"/>
    <col min="45" max="45" width="12.7109375" style="292" customWidth="1"/>
    <col min="46" max="46" width="11.85546875" style="292" customWidth="1"/>
    <col min="47" max="47" width="11.5703125" style="292" customWidth="1"/>
    <col min="48" max="48" width="7.5703125" style="292" customWidth="1"/>
    <col min="49" max="49" width="8.140625" style="292" customWidth="1"/>
    <col min="50" max="50" width="7.5703125" style="292" customWidth="1"/>
    <col min="51" max="51" width="7.42578125" style="292" customWidth="1"/>
    <col min="52" max="53" width="13.140625" style="292" customWidth="1"/>
    <col min="54" max="16384" width="9.140625" style="292"/>
  </cols>
  <sheetData>
    <row r="1" spans="1:53" ht="12.75" customHeight="1">
      <c r="A1" s="288"/>
      <c r="B1" s="289" t="s">
        <v>157</v>
      </c>
      <c r="C1" s="290"/>
      <c r="D1" s="290"/>
      <c r="E1" s="291"/>
      <c r="I1" s="290"/>
      <c r="L1" s="1081" t="s">
        <v>282</v>
      </c>
      <c r="M1" s="1081"/>
      <c r="N1" s="1081"/>
      <c r="O1" s="1081"/>
      <c r="P1" s="1081"/>
      <c r="Q1" s="1081"/>
      <c r="R1" s="419"/>
      <c r="T1" s="290"/>
      <c r="U1" s="290"/>
      <c r="V1" s="290"/>
      <c r="W1" s="290"/>
      <c r="X1" s="290"/>
      <c r="Y1" s="290"/>
      <c r="Z1" s="290"/>
      <c r="AA1" s="290"/>
      <c r="AB1" s="290"/>
      <c r="AC1" s="290"/>
      <c r="AD1" s="290"/>
      <c r="AE1" s="290"/>
      <c r="AF1" s="499"/>
      <c r="AG1" s="499"/>
      <c r="AH1" s="290"/>
      <c r="AI1" s="290"/>
      <c r="AJ1" s="290"/>
      <c r="AK1" s="290"/>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L2" s="1082" t="s">
        <v>224</v>
      </c>
      <c r="M2" s="1082"/>
      <c r="N2" s="1082"/>
      <c r="O2" s="1082"/>
      <c r="P2" s="1082"/>
      <c r="Q2" s="1082"/>
      <c r="R2" s="420"/>
      <c r="T2" s="294"/>
      <c r="U2" s="294"/>
      <c r="V2" s="294"/>
      <c r="W2" s="294"/>
      <c r="X2" s="294"/>
      <c r="Y2" s="294"/>
      <c r="Z2" s="294"/>
      <c r="AA2" s="294"/>
      <c r="AB2" s="294"/>
      <c r="AC2" s="294"/>
      <c r="AD2" s="294"/>
      <c r="AE2" s="294"/>
      <c r="AF2" s="500"/>
      <c r="AG2" s="500"/>
      <c r="AH2" s="294"/>
      <c r="AI2" s="294"/>
      <c r="AJ2" s="294"/>
      <c r="AK2" s="294"/>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L3" s="1082"/>
      <c r="M3" s="1082"/>
      <c r="N3" s="1082"/>
      <c r="O3" s="1082"/>
      <c r="P3" s="1082"/>
      <c r="Q3" s="1082"/>
      <c r="R3" s="420"/>
      <c r="T3" s="294"/>
      <c r="U3" s="294"/>
      <c r="V3" s="294"/>
      <c r="W3" s="294"/>
      <c r="X3" s="294"/>
      <c r="Y3" s="294"/>
      <c r="Z3" s="294"/>
      <c r="AA3" s="294"/>
      <c r="AB3" s="294"/>
      <c r="AC3" s="294"/>
      <c r="AD3" s="294"/>
      <c r="AE3" s="294"/>
      <c r="AF3" s="500"/>
      <c r="AG3" s="500"/>
      <c r="AH3" s="294"/>
      <c r="AI3" s="294"/>
      <c r="AJ3" s="294"/>
      <c r="AK3" s="294"/>
      <c r="AL3" s="294"/>
      <c r="AM3" s="294"/>
      <c r="AN3" s="294"/>
      <c r="AO3" s="294"/>
      <c r="AP3" s="294"/>
      <c r="AQ3" s="294"/>
      <c r="AR3" s="294"/>
      <c r="AS3" s="294"/>
      <c r="AT3" s="294"/>
      <c r="AU3" s="294"/>
      <c r="AV3" s="294"/>
      <c r="AW3" s="294"/>
      <c r="AX3" s="294"/>
      <c r="AY3" s="294"/>
      <c r="AZ3" s="294"/>
      <c r="BA3" s="294"/>
    </row>
    <row r="4" spans="1:53" ht="19.5" customHeight="1">
      <c r="B4" s="1083" t="s">
        <v>147</v>
      </c>
      <c r="C4" s="1083"/>
      <c r="D4" s="1083"/>
      <c r="E4" s="1083"/>
      <c r="F4" s="1083"/>
      <c r="G4" s="1083"/>
      <c r="H4" s="1083"/>
      <c r="I4" s="1083"/>
      <c r="J4" s="1083"/>
      <c r="K4" s="1083"/>
      <c r="L4" s="1083"/>
      <c r="M4" s="1083"/>
      <c r="N4" s="1083"/>
      <c r="O4" s="1083"/>
      <c r="P4" s="1083"/>
      <c r="Q4" s="1083"/>
      <c r="R4" s="1083"/>
      <c r="S4" s="297"/>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row>
    <row r="5" spans="1:53" ht="15">
      <c r="B5" s="1084" t="s">
        <v>315</v>
      </c>
      <c r="C5" s="1084"/>
      <c r="D5" s="1084"/>
      <c r="E5" s="1084"/>
      <c r="F5" s="1084"/>
      <c r="G5" s="1084"/>
      <c r="H5" s="1084"/>
      <c r="I5" s="1084"/>
      <c r="J5" s="1084"/>
      <c r="K5" s="1084"/>
      <c r="L5" s="1084"/>
      <c r="M5" s="1084"/>
      <c r="N5" s="1084"/>
      <c r="O5" s="1084"/>
      <c r="P5" s="1084"/>
      <c r="Q5" s="1084"/>
      <c r="R5" s="1084"/>
      <c r="S5" s="300"/>
    </row>
    <row r="7" spans="1:53" ht="13.5" customHeight="1">
      <c r="A7" s="1085" t="s">
        <v>46</v>
      </c>
      <c r="B7" s="1079" t="s">
        <v>27</v>
      </c>
      <c r="C7" s="1087" t="s">
        <v>1</v>
      </c>
      <c r="D7" s="1088"/>
      <c r="E7" s="1079" t="s">
        <v>0</v>
      </c>
      <c r="F7" s="1079" t="s">
        <v>148</v>
      </c>
      <c r="G7" s="1089" t="s">
        <v>149</v>
      </c>
      <c r="H7" s="1089"/>
      <c r="I7" s="1080" t="s">
        <v>46</v>
      </c>
      <c r="J7" s="1079" t="s">
        <v>284</v>
      </c>
      <c r="K7" s="1079"/>
      <c r="L7" s="1079" t="s">
        <v>285</v>
      </c>
      <c r="M7" s="1079"/>
      <c r="N7" s="1079" t="s">
        <v>466</v>
      </c>
      <c r="O7" s="1079"/>
      <c r="P7" s="1079" t="s">
        <v>286</v>
      </c>
      <c r="Q7" s="1079"/>
      <c r="R7" s="1079" t="s">
        <v>287</v>
      </c>
      <c r="S7" s="1079"/>
      <c r="T7" s="1079" t="s">
        <v>288</v>
      </c>
      <c r="U7" s="1079"/>
      <c r="V7" s="1079" t="s">
        <v>289</v>
      </c>
      <c r="W7" s="1079"/>
      <c r="X7" s="1079" t="s">
        <v>290</v>
      </c>
      <c r="Y7" s="1079"/>
      <c r="Z7" s="1079" t="s">
        <v>291</v>
      </c>
      <c r="AA7" s="1079"/>
      <c r="AB7" s="1079" t="s">
        <v>292</v>
      </c>
      <c r="AC7" s="1079"/>
      <c r="AD7" s="1079" t="s">
        <v>293</v>
      </c>
      <c r="AE7" s="1079"/>
      <c r="AF7" s="1079" t="s">
        <v>455</v>
      </c>
      <c r="AG7" s="1079"/>
      <c r="AH7" s="1079" t="s">
        <v>294</v>
      </c>
      <c r="AI7" s="1079"/>
      <c r="AJ7" s="1079" t="s">
        <v>295</v>
      </c>
      <c r="AK7" s="1079"/>
      <c r="AL7" s="1079" t="s">
        <v>296</v>
      </c>
      <c r="AM7" s="1079"/>
      <c r="AN7" s="1079" t="s">
        <v>297</v>
      </c>
      <c r="AO7" s="1079"/>
      <c r="AP7" s="1079" t="s">
        <v>298</v>
      </c>
      <c r="AQ7" s="1079"/>
      <c r="AR7" s="1079" t="s">
        <v>299</v>
      </c>
      <c r="AS7" s="1079"/>
      <c r="AT7" s="1079" t="s">
        <v>300</v>
      </c>
      <c r="AU7" s="1079"/>
      <c r="AV7" s="1079" t="s">
        <v>301</v>
      </c>
      <c r="AW7" s="1079"/>
      <c r="AX7" s="1079" t="s">
        <v>302</v>
      </c>
      <c r="AY7" s="1079"/>
      <c r="AZ7" s="1079" t="s">
        <v>303</v>
      </c>
      <c r="BA7" s="1079"/>
    </row>
    <row r="8" spans="1:53" ht="22.5" customHeight="1">
      <c r="A8" s="1086"/>
      <c r="B8" s="1079"/>
      <c r="C8" s="421" t="s">
        <v>20</v>
      </c>
      <c r="D8" s="418" t="s">
        <v>39</v>
      </c>
      <c r="E8" s="1079"/>
      <c r="F8" s="1079"/>
      <c r="G8" s="422" t="s">
        <v>29</v>
      </c>
      <c r="H8" s="422" t="s">
        <v>30</v>
      </c>
      <c r="I8" s="1080"/>
      <c r="J8" s="418" t="s">
        <v>29</v>
      </c>
      <c r="K8" s="418" t="s">
        <v>30</v>
      </c>
      <c r="L8" s="418" t="s">
        <v>29</v>
      </c>
      <c r="M8" s="418" t="s">
        <v>30</v>
      </c>
      <c r="N8" s="503" t="s">
        <v>29</v>
      </c>
      <c r="O8" s="503" t="s">
        <v>30</v>
      </c>
      <c r="P8" s="418" t="s">
        <v>29</v>
      </c>
      <c r="Q8" s="418" t="s">
        <v>30</v>
      </c>
      <c r="R8" s="418" t="s">
        <v>29</v>
      </c>
      <c r="S8" s="418" t="s">
        <v>30</v>
      </c>
      <c r="T8" s="418" t="s">
        <v>29</v>
      </c>
      <c r="U8" s="418" t="s">
        <v>30</v>
      </c>
      <c r="V8" s="418" t="s">
        <v>29</v>
      </c>
      <c r="W8" s="418" t="s">
        <v>30</v>
      </c>
      <c r="X8" s="418" t="s">
        <v>29</v>
      </c>
      <c r="Y8" s="418" t="s">
        <v>30</v>
      </c>
      <c r="Z8" s="418" t="s">
        <v>29</v>
      </c>
      <c r="AA8" s="418" t="s">
        <v>30</v>
      </c>
      <c r="AB8" s="418" t="s">
        <v>29</v>
      </c>
      <c r="AC8" s="418" t="s">
        <v>30</v>
      </c>
      <c r="AD8" s="418" t="s">
        <v>29</v>
      </c>
      <c r="AE8" s="418" t="s">
        <v>30</v>
      </c>
      <c r="AF8" s="498" t="s">
        <v>29</v>
      </c>
      <c r="AG8" s="498" t="s">
        <v>30</v>
      </c>
      <c r="AH8" s="418" t="s">
        <v>29</v>
      </c>
      <c r="AI8" s="418" t="s">
        <v>30</v>
      </c>
      <c r="AJ8" s="418" t="s">
        <v>29</v>
      </c>
      <c r="AK8" s="418" t="s">
        <v>30</v>
      </c>
      <c r="AL8" s="418" t="s">
        <v>29</v>
      </c>
      <c r="AM8" s="418" t="s">
        <v>30</v>
      </c>
      <c r="AN8" s="418" t="s">
        <v>29</v>
      </c>
      <c r="AO8" s="418" t="s">
        <v>30</v>
      </c>
      <c r="AP8" s="418" t="s">
        <v>29</v>
      </c>
      <c r="AQ8" s="418" t="s">
        <v>30</v>
      </c>
      <c r="AR8" s="418" t="s">
        <v>29</v>
      </c>
      <c r="AS8" s="418" t="s">
        <v>30</v>
      </c>
      <c r="AT8" s="418" t="s">
        <v>29</v>
      </c>
      <c r="AU8" s="418" t="s">
        <v>30</v>
      </c>
      <c r="AV8" s="418" t="s">
        <v>29</v>
      </c>
      <c r="AW8" s="418" t="s">
        <v>30</v>
      </c>
      <c r="AX8" s="418" t="s">
        <v>29</v>
      </c>
      <c r="AY8" s="418" t="s">
        <v>30</v>
      </c>
      <c r="AZ8" s="418" t="s">
        <v>29</v>
      </c>
      <c r="BA8" s="418"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6.5" customHeight="1">
      <c r="A10" s="63" t="str">
        <f t="array" ref="A10">IF(C10&lt;&gt;0,SUM(($C10:C$15&lt;&gt;0)*1),"")</f>
        <v/>
      </c>
      <c r="B10" s="307"/>
      <c r="C10" s="308"/>
      <c r="D10" s="307"/>
      <c r="E10" s="309" t="s">
        <v>262</v>
      </c>
      <c r="F10" s="310"/>
      <c r="G10" s="311"/>
      <c r="H10" s="311"/>
      <c r="I10" s="312"/>
      <c r="J10" s="313">
        <f ca="1">'SC-III'!J244</f>
        <v>1332078410</v>
      </c>
      <c r="K10" s="313">
        <f ca="1">'SC-III'!K244</f>
        <v>0</v>
      </c>
      <c r="L10" s="313">
        <f ca="1">'SC-III'!L244</f>
        <v>1694774692</v>
      </c>
      <c r="M10" s="313">
        <f ca="1">'SC-III'!M244</f>
        <v>0</v>
      </c>
      <c r="N10" s="313">
        <f ca="1">'SC-III'!N244</f>
        <v>0</v>
      </c>
      <c r="O10" s="313">
        <f ca="1">'SC-III'!O244</f>
        <v>0</v>
      </c>
      <c r="P10" s="313">
        <f ca="1">'SC-III'!P244</f>
        <v>452614594</v>
      </c>
      <c r="Q10" s="313">
        <f ca="1">'SC-III'!Q244</f>
        <v>0</v>
      </c>
      <c r="R10" s="313">
        <f ca="1">'SC-III'!R244</f>
        <v>0</v>
      </c>
      <c r="S10" s="313">
        <f ca="1">'SC-III'!S244</f>
        <v>0</v>
      </c>
      <c r="T10" s="313">
        <f ca="1">'SC-III'!T244</f>
        <v>22610074302</v>
      </c>
      <c r="U10" s="313">
        <f ca="1">'SC-III'!U244</f>
        <v>0</v>
      </c>
      <c r="V10" s="313">
        <f ca="1">'SC-III'!V244</f>
        <v>4299540884</v>
      </c>
      <c r="W10" s="313">
        <f ca="1">'SC-III'!W244</f>
        <v>0</v>
      </c>
      <c r="X10" s="313">
        <f ca="1">'SC-III'!X244</f>
        <v>0</v>
      </c>
      <c r="Y10" s="313">
        <f ca="1">'SC-III'!Y244</f>
        <v>0</v>
      </c>
      <c r="Z10" s="313">
        <f ca="1">'SC-III'!Z244</f>
        <v>0</v>
      </c>
      <c r="AA10" s="313">
        <f ca="1">'SC-III'!AA244</f>
        <v>0</v>
      </c>
      <c r="AB10" s="313">
        <f ca="1">'SC-III'!AB244</f>
        <v>0</v>
      </c>
      <c r="AC10" s="313">
        <f ca="1">'SC-III'!AC244</f>
        <v>5000000000</v>
      </c>
      <c r="AD10" s="313">
        <f ca="1">'SC-III'!AD244</f>
        <v>0</v>
      </c>
      <c r="AE10" s="313">
        <f ca="1">'SC-III'!AE244</f>
        <v>20000000000</v>
      </c>
      <c r="AF10" s="313">
        <f ca="1">'SC-III'!AF244</f>
        <v>0</v>
      </c>
      <c r="AG10" s="313">
        <f ca="1">'SC-III'!AG244</f>
        <v>1982640000</v>
      </c>
      <c r="AH10" s="313">
        <f ca="1">'SC-III'!AH244</f>
        <v>0</v>
      </c>
      <c r="AI10" s="313">
        <f ca="1">'SC-III'!AI244</f>
        <v>4000000000</v>
      </c>
      <c r="AJ10" s="313">
        <f ca="1">'SC-III'!AJ244</f>
        <v>583066238</v>
      </c>
      <c r="AK10" s="313">
        <f ca="1">'SC-III'!AK244</f>
        <v>0</v>
      </c>
      <c r="AL10" s="313">
        <f ca="1">'SC-III'!AL244</f>
        <v>54726467</v>
      </c>
      <c r="AM10" s="313">
        <f ca="1">'SC-III'!AM244</f>
        <v>0</v>
      </c>
      <c r="AN10" s="313">
        <f ca="1">'SC-III'!AN244</f>
        <v>0</v>
      </c>
      <c r="AO10" s="313">
        <f ca="1">'SC-III'!AO244</f>
        <v>0</v>
      </c>
      <c r="AP10" s="313">
        <f ca="1">'SC-III'!AP244</f>
        <v>0</v>
      </c>
      <c r="AQ10" s="313">
        <f ca="1">'SC-III'!AQ244</f>
        <v>0</v>
      </c>
      <c r="AR10" s="313">
        <f ca="1">'SC-III'!AR244</f>
        <v>0</v>
      </c>
      <c r="AS10" s="313">
        <f ca="1">'SC-III'!AS244</f>
        <v>0</v>
      </c>
      <c r="AT10" s="313">
        <f ca="1">'SC-III'!AT244</f>
        <v>0</v>
      </c>
      <c r="AU10" s="313">
        <f ca="1">'SC-III'!AU244</f>
        <v>0</v>
      </c>
      <c r="AV10" s="313">
        <f ca="1">'SC-III'!AV244</f>
        <v>0</v>
      </c>
      <c r="AW10" s="313">
        <f ca="1">'SC-III'!AW244</f>
        <v>0</v>
      </c>
      <c r="AX10" s="313">
        <f ca="1">'SC-III'!AX244</f>
        <v>0</v>
      </c>
      <c r="AY10" s="313">
        <f ca="1">'SC-III'!AY244</f>
        <v>0</v>
      </c>
      <c r="AZ10" s="313">
        <f ca="1">'SC-III'!AZ244</f>
        <v>0</v>
      </c>
      <c r="BA10" s="313">
        <f ca="1">'SC-III'!BA244</f>
        <v>44235587</v>
      </c>
    </row>
    <row r="11" spans="1:53" s="314" customFormat="1" ht="16.5" customHeight="1">
      <c r="A11" s="63">
        <f t="array" aca="1" ref="A11" ca="1">IF(C11&lt;&gt;0,SUM(($C$11:C11&lt;&gt;0)*1),"")</f>
        <v>1</v>
      </c>
      <c r="B11" s="315" t="str">
        <f ca="1">IF(ROWS($1:1)&gt;COUNT(Dong9),"",OFFSET(TH!C$1,SMALL(Dong9,ROWS($1:1)),))</f>
        <v/>
      </c>
      <c r="C11" s="315" t="str">
        <f ca="1">IF(ROWS($1:1)&gt;COUNT(Dong9),"",OFFSET(TH!D$1,SMALL(Dong9,ROWS($1:1)),))</f>
        <v/>
      </c>
      <c r="D11" s="315" t="str">
        <f ca="1">IF(ROWS($1:1)&gt;COUNT(Dong9),"",OFFSET(TH!E$1,SMALL(Dong9,ROWS($1:1)),))</f>
        <v/>
      </c>
      <c r="E11" s="433" t="str">
        <f ca="1">IF(ROWS($1:1)&gt;COUNT(Dong9),"",OFFSET(TH!F$1,SMALL(Dong9,ROWS($1:1)),))</f>
        <v/>
      </c>
      <c r="F11" s="371" t="str">
        <f ca="1">IF(ROWS($1:1)&gt;COUNT(Dong9),"",OFFSET(TH!M$1,SMALL(Dong9,ROWS($1:1)),))</f>
        <v/>
      </c>
      <c r="G11" s="373" t="str">
        <f ca="1">IF(ROWS($1:1)&gt;COUNT(Dong9),"",OFFSET(TH!N$1,SMALL(Dong9,ROWS($1:1)),))</f>
        <v/>
      </c>
      <c r="H11" s="373" t="str">
        <f ca="1">IF(ROWS($1:1)&gt;COUNT(Dong9),"",OFFSET(TH!O$1,SMALL(Dong9,ROWS($1:1)),))</f>
        <v/>
      </c>
      <c r="I11" s="63">
        <f t="shared" ref="I11:I89"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6.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6.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6.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6.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6.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6.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6.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6.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6.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6.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6.5" customHeight="1">
      <c r="A22" s="63" t="str">
        <f t="array" ref="A22">IF(C22&lt;&gt;0,SUM(($C$11:C22&lt;&gt;0)*1),"")</f>
        <v/>
      </c>
      <c r="B22" s="315"/>
      <c r="C22" s="315"/>
      <c r="D22" s="315"/>
      <c r="E22" s="433"/>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6.5" customHeight="1">
      <c r="A23" s="63" t="str">
        <f t="array" ref="A23">IF(C23&lt;&gt;0,SUM(($C$11:C23&lt;&gt;0)*1),"")</f>
        <v/>
      </c>
      <c r="B23" s="315"/>
      <c r="C23" s="315"/>
      <c r="D23" s="315"/>
      <c r="E23" s="433"/>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6.5" customHeight="1">
      <c r="A24" s="63" t="str">
        <f t="array" ref="A24">IF(C24&lt;&gt;0,SUM(($C$11:C24&lt;&gt;0)*1),"")</f>
        <v/>
      </c>
      <c r="B24" s="315"/>
      <c r="C24" s="315"/>
      <c r="D24" s="315"/>
      <c r="E24" s="433"/>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6.5" customHeight="1">
      <c r="A25" s="63" t="str">
        <f t="array" ref="A25">IF(C25&lt;&gt;0,SUM(($C$11:C25&lt;&gt;0)*1),"")</f>
        <v/>
      </c>
      <c r="B25" s="315"/>
      <c r="C25" s="315"/>
      <c r="D25" s="315"/>
      <c r="E25" s="433"/>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6.5" customHeight="1">
      <c r="A26" s="63" t="str">
        <f t="array" ref="A26">IF(C26&lt;&gt;0,SUM(($C$11:C26&lt;&gt;0)*1),"")</f>
        <v/>
      </c>
      <c r="B26" s="315"/>
      <c r="C26" s="315"/>
      <c r="D26" s="315"/>
      <c r="E26" s="433"/>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6.5" customHeight="1">
      <c r="A27" s="63" t="str">
        <f t="array" ref="A27">IF(C27&lt;&gt;0,SUM(($C$11:C27&lt;&gt;0)*1),"")</f>
        <v/>
      </c>
      <c r="B27" s="315"/>
      <c r="C27" s="315"/>
      <c r="D27" s="315"/>
      <c r="E27" s="433"/>
      <c r="F27" s="371"/>
      <c r="G27" s="373"/>
      <c r="H27" s="373"/>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6.5" customHeight="1">
      <c r="A28" s="63" t="str">
        <f t="array" ref="A28">IF(C28&lt;&gt;0,SUM(($C$11:C28&lt;&gt;0)*1),"")</f>
        <v/>
      </c>
      <c r="B28" s="315"/>
      <c r="C28" s="315"/>
      <c r="D28" s="315"/>
      <c r="E28" s="433"/>
      <c r="F28" s="371"/>
      <c r="G28" s="373"/>
      <c r="H28" s="373"/>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6.5" customHeight="1">
      <c r="A29" s="63" t="str">
        <f t="array" ref="A29">IF(C29&lt;&gt;0,SUM(($C$11:C29&lt;&gt;0)*1),"")</f>
        <v/>
      </c>
      <c r="B29" s="315"/>
      <c r="C29" s="315"/>
      <c r="D29" s="315"/>
      <c r="E29" s="433"/>
      <c r="F29" s="371"/>
      <c r="G29" s="373"/>
      <c r="H29" s="373"/>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6.5" customHeight="1">
      <c r="A30" s="63" t="str">
        <f t="array" ref="A30">IF(C30&lt;&gt;0,SUM(($C$11:C30&lt;&gt;0)*1),"")</f>
        <v/>
      </c>
      <c r="B30" s="315"/>
      <c r="C30" s="315"/>
      <c r="D30" s="315"/>
      <c r="E30" s="433"/>
      <c r="F30" s="371"/>
      <c r="G30" s="373"/>
      <c r="H30" s="373"/>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6.5" customHeight="1">
      <c r="A31" s="63" t="str">
        <f t="array" ref="A31">IF(C31&lt;&gt;0,SUM(($C$11:C31&lt;&gt;0)*1),"")</f>
        <v/>
      </c>
      <c r="B31" s="315"/>
      <c r="C31" s="315"/>
      <c r="D31" s="315"/>
      <c r="E31" s="433"/>
      <c r="F31" s="371"/>
      <c r="G31" s="373"/>
      <c r="H31" s="373"/>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6.5" customHeight="1">
      <c r="A32" s="63" t="str">
        <f t="array" ref="A32">IF(C32&lt;&gt;0,SUM(($C$11:C32&lt;&gt;0)*1),"")</f>
        <v/>
      </c>
      <c r="B32" s="315"/>
      <c r="C32" s="315"/>
      <c r="D32" s="315"/>
      <c r="E32" s="433"/>
      <c r="F32" s="371"/>
      <c r="G32" s="373"/>
      <c r="H32" s="373"/>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6.5" customHeight="1">
      <c r="A33" s="63" t="str">
        <f t="array" ref="A33">IF(C33&lt;&gt;0,SUM(($C$11:C33&lt;&gt;0)*1),"")</f>
        <v/>
      </c>
      <c r="B33" s="315"/>
      <c r="C33" s="315"/>
      <c r="D33" s="315"/>
      <c r="E33" s="433"/>
      <c r="F33" s="371"/>
      <c r="G33" s="373"/>
      <c r="H33" s="373"/>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6.5" customHeight="1">
      <c r="A34" s="63" t="str">
        <f t="array" ref="A34">IF(C34&lt;&gt;0,SUM(($C$11:C34&lt;&gt;0)*1),"")</f>
        <v/>
      </c>
      <c r="B34" s="315"/>
      <c r="C34" s="315"/>
      <c r="D34" s="315"/>
      <c r="E34" s="433"/>
      <c r="F34" s="371"/>
      <c r="G34" s="373"/>
      <c r="H34" s="373"/>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6.5" customHeight="1">
      <c r="A35" s="63" t="str">
        <f t="array" ref="A35">IF(C35&lt;&gt;0,SUM(($C$11:C35&lt;&gt;0)*1),"")</f>
        <v/>
      </c>
      <c r="B35" s="315"/>
      <c r="C35" s="315"/>
      <c r="D35" s="315"/>
      <c r="E35" s="433"/>
      <c r="F35" s="371"/>
      <c r="G35" s="373"/>
      <c r="H35" s="373"/>
      <c r="I35" s="63" t="str">
        <f t="shared" si="0"/>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6.5" customHeight="1">
      <c r="A36" s="63" t="str">
        <f t="array" ref="A36">IF(C36&lt;&gt;0,SUM(($C$11:C36&lt;&gt;0)*1),"")</f>
        <v/>
      </c>
      <c r="B36" s="315"/>
      <c r="C36" s="315"/>
      <c r="D36" s="315"/>
      <c r="E36" s="433"/>
      <c r="F36" s="371"/>
      <c r="G36" s="373"/>
      <c r="H36" s="373"/>
      <c r="I36" s="63" t="str">
        <f t="shared" si="0"/>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6.5" customHeight="1">
      <c r="A37" s="63" t="str">
        <f t="array" ref="A37">IF(C37&lt;&gt;0,SUM(($C$11:C37&lt;&gt;0)*1),"")</f>
        <v/>
      </c>
      <c r="B37" s="315"/>
      <c r="C37" s="315"/>
      <c r="D37" s="315"/>
      <c r="E37" s="433"/>
      <c r="F37" s="371"/>
      <c r="G37" s="373"/>
      <c r="H37" s="373"/>
      <c r="I37" s="63" t="str">
        <f t="shared" si="0"/>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6.5" customHeight="1">
      <c r="A38" s="63" t="str">
        <f t="array" ref="A38">IF(C38&lt;&gt;0,SUM(($C$11:C38&lt;&gt;0)*1),"")</f>
        <v/>
      </c>
      <c r="B38" s="315"/>
      <c r="C38" s="315"/>
      <c r="D38" s="315"/>
      <c r="E38" s="433"/>
      <c r="F38" s="371"/>
      <c r="G38" s="373"/>
      <c r="H38" s="373"/>
      <c r="I38" s="63" t="str">
        <f t="shared" si="0"/>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6.5" customHeight="1">
      <c r="A39" s="63" t="str">
        <f t="array" ref="A39">IF(C39&lt;&gt;0,SUM(($C$11:C39&lt;&gt;0)*1),"")</f>
        <v/>
      </c>
      <c r="B39" s="315"/>
      <c r="C39" s="315"/>
      <c r="D39" s="315"/>
      <c r="E39" s="433"/>
      <c r="F39" s="371"/>
      <c r="G39" s="373"/>
      <c r="H39" s="373"/>
      <c r="I39" s="63" t="str">
        <f t="shared" si="0"/>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6.5" customHeight="1">
      <c r="A40" s="63" t="str">
        <f t="array" ref="A40">IF(C40&lt;&gt;0,SUM(($C$11:C40&lt;&gt;0)*1),"")</f>
        <v/>
      </c>
      <c r="B40" s="315"/>
      <c r="C40" s="315"/>
      <c r="D40" s="315"/>
      <c r="E40" s="433"/>
      <c r="F40" s="371"/>
      <c r="G40" s="373"/>
      <c r="H40" s="373"/>
      <c r="I40" s="63" t="str">
        <f t="shared" si="0"/>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6.5" customHeight="1">
      <c r="A41" s="63" t="str">
        <f t="array" ref="A41">IF(C41&lt;&gt;0,SUM(($C$11:C41&lt;&gt;0)*1),"")</f>
        <v/>
      </c>
      <c r="B41" s="315"/>
      <c r="C41" s="315"/>
      <c r="D41" s="315"/>
      <c r="E41" s="433"/>
      <c r="F41" s="371"/>
      <c r="G41" s="373"/>
      <c r="H41" s="373"/>
      <c r="I41" s="63" t="str">
        <f t="shared" si="0"/>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6.5" customHeight="1">
      <c r="A42" s="63" t="str">
        <f t="array" ref="A42">IF(C42&lt;&gt;0,SUM(($C$11:C42&lt;&gt;0)*1),"")</f>
        <v/>
      </c>
      <c r="B42" s="315"/>
      <c r="C42" s="315"/>
      <c r="D42" s="315"/>
      <c r="E42" s="433"/>
      <c r="F42" s="371"/>
      <c r="G42" s="373"/>
      <c r="H42" s="373"/>
      <c r="I42" s="63" t="str">
        <f t="shared" si="0"/>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6.5" customHeight="1">
      <c r="A43" s="63" t="str">
        <f t="array" ref="A43">IF(C43&lt;&gt;0,SUM(($C$11:C43&lt;&gt;0)*1),"")</f>
        <v/>
      </c>
      <c r="B43" s="315"/>
      <c r="C43" s="315"/>
      <c r="D43" s="315"/>
      <c r="E43" s="433"/>
      <c r="F43" s="371"/>
      <c r="G43" s="373"/>
      <c r="H43" s="373"/>
      <c r="I43" s="63" t="str">
        <f t="shared" si="0"/>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6.5" customHeight="1">
      <c r="A44" s="63" t="str">
        <f t="array" ref="A44">IF(C44&lt;&gt;0,SUM(($C$11:C44&lt;&gt;0)*1),"")</f>
        <v/>
      </c>
      <c r="B44" s="315"/>
      <c r="C44" s="315"/>
      <c r="D44" s="315"/>
      <c r="E44" s="433"/>
      <c r="F44" s="371"/>
      <c r="G44" s="373"/>
      <c r="H44" s="373"/>
      <c r="I44" s="63" t="str">
        <f t="shared" si="0"/>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6.5" customHeight="1">
      <c r="A45" s="63" t="str">
        <f t="array" ref="A45">IF(C45&lt;&gt;0,SUM(($C$11:C45&lt;&gt;0)*1),"")</f>
        <v/>
      </c>
      <c r="B45" s="315"/>
      <c r="C45" s="315"/>
      <c r="D45" s="315"/>
      <c r="E45" s="433"/>
      <c r="F45" s="371"/>
      <c r="G45" s="373"/>
      <c r="H45" s="373"/>
      <c r="I45" s="63" t="str">
        <f t="shared" si="0"/>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6.5" customHeight="1">
      <c r="A46" s="63" t="str">
        <f t="array" ref="A46">IF(C46&lt;&gt;0,SUM(($C$11:C46&lt;&gt;0)*1),"")</f>
        <v/>
      </c>
      <c r="B46" s="315"/>
      <c r="C46" s="315"/>
      <c r="D46" s="315"/>
      <c r="E46" s="433"/>
      <c r="F46" s="371"/>
      <c r="G46" s="373"/>
      <c r="H46" s="373"/>
      <c r="I46" s="63" t="str">
        <f t="shared" si="0"/>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6.5" customHeight="1">
      <c r="A47" s="63" t="str">
        <f t="array" ref="A47">IF(C47&lt;&gt;0,SUM(($C$11:C47&lt;&gt;0)*1),"")</f>
        <v/>
      </c>
      <c r="B47" s="315"/>
      <c r="C47" s="315"/>
      <c r="D47" s="315"/>
      <c r="E47" s="433"/>
      <c r="F47" s="371"/>
      <c r="G47" s="373"/>
      <c r="H47" s="373"/>
      <c r="I47" s="63" t="str">
        <f t="shared" si="0"/>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6.5" customHeight="1">
      <c r="A48" s="63" t="str">
        <f t="array" ref="A48">IF(C48&lt;&gt;0,SUM(($C$11:C48&lt;&gt;0)*1),"")</f>
        <v/>
      </c>
      <c r="B48" s="315"/>
      <c r="C48" s="315"/>
      <c r="D48" s="315"/>
      <c r="E48" s="433"/>
      <c r="F48" s="371"/>
      <c r="G48" s="373"/>
      <c r="H48" s="373"/>
      <c r="I48" s="63" t="str">
        <f t="shared" si="0"/>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6.5" customHeight="1">
      <c r="A49" s="63" t="str">
        <f t="array" ref="A49">IF(C49&lt;&gt;0,SUM(($C$11:C49&lt;&gt;0)*1),"")</f>
        <v/>
      </c>
      <c r="B49" s="315"/>
      <c r="C49" s="315"/>
      <c r="D49" s="315"/>
      <c r="E49" s="433"/>
      <c r="F49" s="371"/>
      <c r="G49" s="373"/>
      <c r="H49" s="373"/>
      <c r="I49" s="63" t="str">
        <f t="shared" si="0"/>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6.5" customHeight="1">
      <c r="A50" s="63" t="str">
        <f t="array" ref="A50">IF(C50&lt;&gt;0,SUM(($C$11:C50&lt;&gt;0)*1),"")</f>
        <v/>
      </c>
      <c r="B50" s="315"/>
      <c r="C50" s="315"/>
      <c r="D50" s="315"/>
      <c r="E50" s="433"/>
      <c r="F50" s="371"/>
      <c r="G50" s="373"/>
      <c r="H50" s="373"/>
      <c r="I50" s="63" t="str">
        <f t="shared" si="0"/>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6.5" customHeight="1">
      <c r="A51" s="63" t="str">
        <f t="array" ref="A51">IF(C51&lt;&gt;0,SUM(($C$11:C51&lt;&gt;0)*1),"")</f>
        <v/>
      </c>
      <c r="B51" s="315"/>
      <c r="C51" s="315"/>
      <c r="D51" s="315"/>
      <c r="E51" s="433"/>
      <c r="F51" s="371"/>
      <c r="G51" s="373"/>
      <c r="H51" s="373"/>
      <c r="I51" s="63" t="str">
        <f t="shared" si="0"/>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6.5" customHeight="1">
      <c r="A52" s="63" t="str">
        <f t="array" ref="A52">IF(C52&lt;&gt;0,SUM(($C$11:C52&lt;&gt;0)*1),"")</f>
        <v/>
      </c>
      <c r="B52" s="315"/>
      <c r="C52" s="315"/>
      <c r="D52" s="315"/>
      <c r="E52" s="433"/>
      <c r="F52" s="371"/>
      <c r="G52" s="373"/>
      <c r="H52" s="373"/>
      <c r="I52" s="63" t="str">
        <f t="shared" si="0"/>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6.5" customHeight="1">
      <c r="A53" s="63" t="str">
        <f t="array" ref="A53">IF(C53&lt;&gt;0,SUM(($C$11:C53&lt;&gt;0)*1),"")</f>
        <v/>
      </c>
      <c r="B53" s="315"/>
      <c r="C53" s="315"/>
      <c r="D53" s="315"/>
      <c r="E53" s="433"/>
      <c r="F53" s="371"/>
      <c r="G53" s="373"/>
      <c r="H53" s="373"/>
      <c r="I53" s="63" t="str">
        <f t="shared" si="0"/>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6.5" customHeight="1">
      <c r="A54" s="63" t="str">
        <f t="array" ref="A54">IF(C54&lt;&gt;0,SUM(($C$11:C54&lt;&gt;0)*1),"")</f>
        <v/>
      </c>
      <c r="B54" s="315"/>
      <c r="C54" s="315"/>
      <c r="D54" s="315"/>
      <c r="E54" s="433"/>
      <c r="F54" s="371"/>
      <c r="G54" s="373"/>
      <c r="H54" s="373"/>
      <c r="I54" s="63" t="str">
        <f t="shared" si="0"/>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6.5" customHeight="1">
      <c r="A55" s="63" t="str">
        <f t="array" ref="A55">IF(C55&lt;&gt;0,SUM(($C$11:C55&lt;&gt;0)*1),"")</f>
        <v/>
      </c>
      <c r="B55" s="315"/>
      <c r="C55" s="315"/>
      <c r="D55" s="315"/>
      <c r="E55" s="433"/>
      <c r="F55" s="371"/>
      <c r="G55" s="373"/>
      <c r="H55" s="373"/>
      <c r="I55" s="63" t="str">
        <f t="shared" si="0"/>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6.5" customHeight="1">
      <c r="A56" s="63" t="str">
        <f t="array" ref="A56">IF(C56&lt;&gt;0,SUM(($C$11:C56&lt;&gt;0)*1),"")</f>
        <v/>
      </c>
      <c r="B56" s="315"/>
      <c r="C56" s="315"/>
      <c r="D56" s="315"/>
      <c r="E56" s="433"/>
      <c r="F56" s="371"/>
      <c r="G56" s="373"/>
      <c r="H56" s="373"/>
      <c r="I56" s="63" t="str">
        <f t="shared" si="0"/>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6.5" customHeight="1">
      <c r="A57" s="63" t="str">
        <f t="array" ref="A57">IF(C57&lt;&gt;0,SUM(($C$11:C57&lt;&gt;0)*1),"")</f>
        <v/>
      </c>
      <c r="B57" s="315"/>
      <c r="C57" s="315"/>
      <c r="D57" s="315"/>
      <c r="E57" s="433"/>
      <c r="F57" s="371"/>
      <c r="G57" s="373"/>
      <c r="H57" s="373"/>
      <c r="I57" s="63" t="str">
        <f t="shared" si="0"/>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6.5" customHeight="1">
      <c r="A58" s="63" t="str">
        <f t="array" ref="A58">IF(C58&lt;&gt;0,SUM(($C$11:C58&lt;&gt;0)*1),"")</f>
        <v/>
      </c>
      <c r="B58" s="315"/>
      <c r="C58" s="315"/>
      <c r="D58" s="315"/>
      <c r="E58" s="433"/>
      <c r="F58" s="371"/>
      <c r="G58" s="373"/>
      <c r="H58" s="373"/>
      <c r="I58" s="63" t="str">
        <f t="shared" si="0"/>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6.5" customHeight="1">
      <c r="A59" s="63" t="str">
        <f t="array" ref="A59">IF(C59&lt;&gt;0,SUM(($C$11:C59&lt;&gt;0)*1),"")</f>
        <v/>
      </c>
      <c r="B59" s="315"/>
      <c r="C59" s="315"/>
      <c r="D59" s="315"/>
      <c r="E59" s="433"/>
      <c r="F59" s="371"/>
      <c r="G59" s="373"/>
      <c r="H59" s="373"/>
      <c r="I59" s="63" t="str">
        <f t="shared" si="0"/>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6.5" customHeight="1">
      <c r="A60" s="63" t="str">
        <f t="array" ref="A60">IF(C60&lt;&gt;0,SUM(($C$11:C60&lt;&gt;0)*1),"")</f>
        <v/>
      </c>
      <c r="B60" s="315"/>
      <c r="C60" s="315"/>
      <c r="D60" s="315"/>
      <c r="E60" s="433"/>
      <c r="F60" s="371"/>
      <c r="G60" s="373"/>
      <c r="H60" s="373"/>
      <c r="I60" s="63" t="str">
        <f t="shared" si="0"/>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6.5" customHeight="1">
      <c r="A61" s="63" t="str">
        <f t="array" ref="A61">IF(C61&lt;&gt;0,SUM(($C$11:C61&lt;&gt;0)*1),"")</f>
        <v/>
      </c>
      <c r="B61" s="315"/>
      <c r="C61" s="315"/>
      <c r="D61" s="315"/>
      <c r="E61" s="433"/>
      <c r="F61" s="371"/>
      <c r="G61" s="373"/>
      <c r="H61" s="373"/>
      <c r="I61" s="63" t="str">
        <f t="shared" si="0"/>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6.5" customHeight="1">
      <c r="A62" s="63" t="str">
        <f t="array" ref="A62">IF(C62&lt;&gt;0,SUM(($C$11:C62&lt;&gt;0)*1),"")</f>
        <v/>
      </c>
      <c r="B62" s="315"/>
      <c r="C62" s="315"/>
      <c r="D62" s="315"/>
      <c r="E62" s="433"/>
      <c r="F62" s="371"/>
      <c r="G62" s="373"/>
      <c r="H62" s="373"/>
      <c r="I62" s="63" t="str">
        <f t="shared" si="0"/>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6.5" customHeight="1">
      <c r="A63" s="63" t="str">
        <f t="array" ref="A63">IF(C63&lt;&gt;0,SUM(($C$11:C63&lt;&gt;0)*1),"")</f>
        <v/>
      </c>
      <c r="B63" s="315"/>
      <c r="C63" s="315"/>
      <c r="D63" s="315"/>
      <c r="E63" s="433"/>
      <c r="F63" s="371"/>
      <c r="G63" s="373"/>
      <c r="H63" s="373"/>
      <c r="I63" s="63" t="str">
        <f t="shared" si="0"/>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6.5" customHeight="1">
      <c r="A64" s="63" t="str">
        <f t="array" ref="A64">IF(C64&lt;&gt;0,SUM(($C$11:C64&lt;&gt;0)*1),"")</f>
        <v/>
      </c>
      <c r="B64" s="315"/>
      <c r="C64" s="315"/>
      <c r="D64" s="315"/>
      <c r="E64" s="433"/>
      <c r="F64" s="371"/>
      <c r="G64" s="373"/>
      <c r="H64" s="373"/>
      <c r="I64" s="63" t="str">
        <f t="shared" si="0"/>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6.5" customHeight="1">
      <c r="A65" s="63" t="str">
        <f t="array" ref="A65">IF(C65&lt;&gt;0,SUM(($C$11:C65&lt;&gt;0)*1),"")</f>
        <v/>
      </c>
      <c r="B65" s="315"/>
      <c r="C65" s="315"/>
      <c r="D65" s="315"/>
      <c r="E65" s="433"/>
      <c r="F65" s="371"/>
      <c r="G65" s="373"/>
      <c r="H65" s="373"/>
      <c r="I65" s="63" t="str">
        <f t="shared" si="0"/>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6.5" customHeight="1">
      <c r="A66" s="63" t="str">
        <f t="array" ref="A66">IF(C66&lt;&gt;0,SUM(($C$11:C66&lt;&gt;0)*1),"")</f>
        <v/>
      </c>
      <c r="B66" s="315"/>
      <c r="C66" s="315"/>
      <c r="D66" s="315"/>
      <c r="E66" s="433"/>
      <c r="F66" s="371"/>
      <c r="G66" s="373"/>
      <c r="H66" s="373"/>
      <c r="I66" s="63" t="str">
        <f t="shared" si="0"/>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6.5" customHeight="1">
      <c r="A67" s="63" t="str">
        <f t="array" ref="A67">IF(C67&lt;&gt;0,SUM(($C$11:C67&lt;&gt;0)*1),"")</f>
        <v/>
      </c>
      <c r="B67" s="315"/>
      <c r="C67" s="315"/>
      <c r="D67" s="315"/>
      <c r="E67" s="433"/>
      <c r="F67" s="371"/>
      <c r="G67" s="373"/>
      <c r="H67" s="373"/>
      <c r="I67" s="63" t="str">
        <f t="shared" si="0"/>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6.5" customHeight="1">
      <c r="A68" s="63" t="str">
        <f t="array" ref="A68">IF(C68&lt;&gt;0,SUM(($C$11:C68&lt;&gt;0)*1),"")</f>
        <v/>
      </c>
      <c r="B68" s="315"/>
      <c r="C68" s="315"/>
      <c r="D68" s="315"/>
      <c r="E68" s="433"/>
      <c r="F68" s="371"/>
      <c r="G68" s="373"/>
      <c r="H68" s="373"/>
      <c r="I68" s="63" t="str">
        <f t="shared" si="0"/>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6.5" customHeight="1">
      <c r="A69" s="63" t="str">
        <f t="array" ref="A69">IF(C69&lt;&gt;0,SUM(($C$11:C69&lt;&gt;0)*1),"")</f>
        <v/>
      </c>
      <c r="B69" s="315"/>
      <c r="C69" s="315"/>
      <c r="D69" s="315"/>
      <c r="E69" s="433"/>
      <c r="F69" s="371"/>
      <c r="G69" s="373"/>
      <c r="H69" s="373"/>
      <c r="I69" s="63" t="str">
        <f t="shared" si="0"/>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6.5" customHeight="1">
      <c r="A70" s="63" t="str">
        <f t="array" ref="A70">IF(C70&lt;&gt;0,SUM(($C$11:C70&lt;&gt;0)*1),"")</f>
        <v/>
      </c>
      <c r="B70" s="315"/>
      <c r="C70" s="315"/>
      <c r="D70" s="315"/>
      <c r="E70" s="433"/>
      <c r="F70" s="371"/>
      <c r="G70" s="373"/>
      <c r="H70" s="373"/>
      <c r="I70" s="63" t="str">
        <f t="shared" si="0"/>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6.5" customHeight="1">
      <c r="A71" s="63" t="str">
        <f t="array" ref="A71">IF(C71&lt;&gt;0,SUM(($C$11:C71&lt;&gt;0)*1),"")</f>
        <v/>
      </c>
      <c r="B71" s="315"/>
      <c r="C71" s="315"/>
      <c r="D71" s="315"/>
      <c r="E71" s="433"/>
      <c r="F71" s="371"/>
      <c r="G71" s="373"/>
      <c r="H71" s="373"/>
      <c r="I71" s="63" t="str">
        <f t="shared" si="0"/>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6.5" customHeight="1">
      <c r="A72" s="63" t="str">
        <f t="array" ref="A72">IF(C72&lt;&gt;0,SUM(($C$11:C72&lt;&gt;0)*1),"")</f>
        <v/>
      </c>
      <c r="B72" s="315"/>
      <c r="C72" s="315"/>
      <c r="D72" s="315"/>
      <c r="E72" s="433"/>
      <c r="F72" s="371"/>
      <c r="G72" s="373"/>
      <c r="H72" s="373"/>
      <c r="I72" s="63" t="str">
        <f t="shared" si="0"/>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6.5" customHeight="1">
      <c r="A73" s="63" t="str">
        <f t="array" ref="A73">IF(C73&lt;&gt;0,SUM(($C$11:C73&lt;&gt;0)*1),"")</f>
        <v/>
      </c>
      <c r="B73" s="315"/>
      <c r="C73" s="315"/>
      <c r="D73" s="315"/>
      <c r="E73" s="433"/>
      <c r="F73" s="371"/>
      <c r="G73" s="373"/>
      <c r="H73" s="373"/>
      <c r="I73" s="63" t="str">
        <f t="shared" si="0"/>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6.5" customHeight="1">
      <c r="A74" s="63" t="str">
        <f t="array" ref="A74">IF(C74&lt;&gt;0,SUM(($C$11:C74&lt;&gt;0)*1),"")</f>
        <v/>
      </c>
      <c r="B74" s="315"/>
      <c r="C74" s="315"/>
      <c r="D74" s="315"/>
      <c r="E74" s="433"/>
      <c r="F74" s="371"/>
      <c r="G74" s="373"/>
      <c r="H74" s="373"/>
      <c r="I74" s="63" t="str">
        <f t="shared" si="0"/>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6.5" customHeight="1">
      <c r="A75" s="63" t="str">
        <f t="array" ref="A75">IF(C75&lt;&gt;0,SUM(($C$11:C75&lt;&gt;0)*1),"")</f>
        <v/>
      </c>
      <c r="B75" s="315"/>
      <c r="C75" s="315"/>
      <c r="D75" s="315"/>
      <c r="E75" s="433"/>
      <c r="F75" s="371"/>
      <c r="G75" s="373"/>
      <c r="H75" s="373"/>
      <c r="I75" s="63" t="str">
        <f t="shared" si="0"/>
        <v/>
      </c>
      <c r="J75" s="317">
        <f t="shared" ref="J75:J113" si="45">IF($G75="1111",$F75,0)</f>
        <v>0</v>
      </c>
      <c r="K75" s="317">
        <f t="shared" ref="K75:K113" si="46">IF($H75="1111",$F75,0)</f>
        <v>0</v>
      </c>
      <c r="L75" s="317">
        <f t="shared" ref="L75:L113" si="47">IF($G75="1121",$F75,0)</f>
        <v>0</v>
      </c>
      <c r="M75" s="317">
        <f t="shared" ref="M75:M113" si="48">IF($H75="1121",$F75,0)</f>
        <v>0</v>
      </c>
      <c r="N75" s="317">
        <f t="shared" si="39"/>
        <v>0</v>
      </c>
      <c r="O75" s="317">
        <f t="shared" si="40"/>
        <v>0</v>
      </c>
      <c r="P75" s="317">
        <f t="shared" ref="P75:P113" si="49">IF($G75="1331",$F75,0)</f>
        <v>0</v>
      </c>
      <c r="Q75" s="317">
        <f t="shared" ref="Q75:Q113" si="50">IF($H75="1331",$F75,0)</f>
        <v>0</v>
      </c>
      <c r="R75" s="317">
        <f t="shared" ref="R75:R113" si="51">IF($G75="1388",$F75,0)</f>
        <v>0</v>
      </c>
      <c r="S75" s="317">
        <f t="shared" ref="S75:S113" si="52">IF($H75="1388",$F75,0)</f>
        <v>0</v>
      </c>
      <c r="T75" s="317">
        <f t="shared" si="41"/>
        <v>0</v>
      </c>
      <c r="U75" s="317">
        <f t="shared" si="42"/>
        <v>0</v>
      </c>
      <c r="V75" s="317">
        <f t="shared" ref="V75:V113" si="53">IF($G75="331",$F75,0)</f>
        <v>0</v>
      </c>
      <c r="W75" s="317">
        <f t="shared" ref="W75:W113" si="54">IF($H75="331",$F75,0)</f>
        <v>0</v>
      </c>
      <c r="X75" s="317">
        <f t="shared" ref="X75:X113" si="55">IF($G75="3334",$F75,0)</f>
        <v>0</v>
      </c>
      <c r="Y75" s="317">
        <f t="shared" ref="Y75:Y113" si="56">IF($H75="3334",$F75,0)</f>
        <v>0</v>
      </c>
      <c r="Z75" s="317">
        <f t="shared" ref="Z75:Z113" si="57">IF($G75="33382",$F75,0)</f>
        <v>0</v>
      </c>
      <c r="AA75" s="317">
        <f t="shared" ref="AA75:AA113" si="58">IF($H75="33382",$F75,0)</f>
        <v>0</v>
      </c>
      <c r="AB75" s="317">
        <f t="shared" ref="AB75:AB113" si="59">IF($G75="3388",$F75,0)</f>
        <v>0</v>
      </c>
      <c r="AC75" s="317">
        <f t="shared" ref="AC75:AC113" si="60">IF($H75="3388",$F75,0)</f>
        <v>0</v>
      </c>
      <c r="AD75" s="317">
        <f t="shared" ref="AD75:AD113" si="61">IF($G75="3411",$F75,0)</f>
        <v>0</v>
      </c>
      <c r="AE75" s="317">
        <f t="shared" ref="AE75:AE113" si="62">IF($H75="3411",$F75,0)</f>
        <v>0</v>
      </c>
      <c r="AF75" s="317">
        <f t="shared" si="43"/>
        <v>0</v>
      </c>
      <c r="AG75" s="317">
        <f t="shared" si="44"/>
        <v>0</v>
      </c>
      <c r="AH75" s="317">
        <f t="shared" ref="AH75:AH113" si="63">IF($G75="4111",$F75,0)</f>
        <v>0</v>
      </c>
      <c r="AI75" s="317">
        <f t="shared" ref="AI75:AI113" si="64">IF($H75="4111",$F75,0)</f>
        <v>0</v>
      </c>
      <c r="AJ75" s="317">
        <f t="shared" ref="AJ75:AJ113" si="65">IF($G75="4211",$F75,0)</f>
        <v>0</v>
      </c>
      <c r="AK75" s="317">
        <f t="shared" ref="AK75:AK113" si="66">IF($H75="4211",$F75,0)</f>
        <v>0</v>
      </c>
      <c r="AL75" s="317">
        <f t="shared" ref="AL75:AL113" si="67">IF($G75="4212",$F75,0)</f>
        <v>0</v>
      </c>
      <c r="AM75" s="317">
        <f t="shared" ref="AM75:AM113" si="68">IF($H75="4212",$F75,0)</f>
        <v>0</v>
      </c>
      <c r="AN75" s="317">
        <f t="shared" ref="AN75:AN113" si="69">IF($G75="515",$F75,0)</f>
        <v>0</v>
      </c>
      <c r="AO75" s="317">
        <f t="shared" ref="AO75:AO113" si="70">IF($H75="515",$F75,0)</f>
        <v>0</v>
      </c>
      <c r="AP75" s="317">
        <f t="shared" ref="AP75:AP113" si="71">IF($G75="635",$F75,0)</f>
        <v>0</v>
      </c>
      <c r="AQ75" s="317">
        <f t="shared" ref="AQ75:AQ113" si="72">IF($H75="635",$F75,0)</f>
        <v>0</v>
      </c>
      <c r="AR75" s="317">
        <f t="shared" ref="AR75:AR113" si="73">IF($G75="642",$F75,0)</f>
        <v>0</v>
      </c>
      <c r="AS75" s="317">
        <f t="shared" ref="AS75:AS113" si="74">IF($H75="642",$F75,0)</f>
        <v>0</v>
      </c>
      <c r="AT75" s="317">
        <f t="shared" ref="AT75:AT113" si="75">IF($G75="711",$F75,0)</f>
        <v>0</v>
      </c>
      <c r="AU75" s="317">
        <f t="shared" ref="AU75:AU113" si="76">IF($H75="711",$F75,0)</f>
        <v>0</v>
      </c>
      <c r="AV75" s="317">
        <f t="shared" ref="AV75:AV113" si="77">IF($G75="811",$F75,0)</f>
        <v>0</v>
      </c>
      <c r="AW75" s="317">
        <f t="shared" ref="AW75:AW113" si="78">IF($H75="811",$F75,0)</f>
        <v>0</v>
      </c>
      <c r="AX75" s="317">
        <f t="shared" ref="AX75:AX113" si="79">IF($G75="821",$F75,0)</f>
        <v>0</v>
      </c>
      <c r="AY75" s="317">
        <f t="shared" ref="AY75:AY113" si="80">IF($H75="821",$F75,0)</f>
        <v>0</v>
      </c>
      <c r="AZ75" s="317">
        <f t="shared" ref="AZ75:AZ113" si="81">IF($G75="911",$F75,0)</f>
        <v>0</v>
      </c>
      <c r="BA75" s="317">
        <f t="shared" ref="BA75:BA113" si="82">IF($H75="911",$F75,0)</f>
        <v>0</v>
      </c>
    </row>
    <row r="76" spans="1:53" s="314" customFormat="1" ht="16.5" customHeight="1">
      <c r="A76" s="63" t="str">
        <f t="array" ref="A76">IF(C76&lt;&gt;0,SUM(($C$11:C76&lt;&gt;0)*1),"")</f>
        <v/>
      </c>
      <c r="B76" s="315"/>
      <c r="C76" s="315"/>
      <c r="D76" s="315"/>
      <c r="E76" s="433"/>
      <c r="F76" s="371"/>
      <c r="G76" s="373"/>
      <c r="H76" s="373"/>
      <c r="I76" s="63" t="str">
        <f t="shared" si="0"/>
        <v/>
      </c>
      <c r="J76" s="317">
        <f t="shared" si="45"/>
        <v>0</v>
      </c>
      <c r="K76" s="317">
        <f t="shared" si="46"/>
        <v>0</v>
      </c>
      <c r="L76" s="317">
        <f t="shared" si="47"/>
        <v>0</v>
      </c>
      <c r="M76" s="317">
        <f t="shared" si="48"/>
        <v>0</v>
      </c>
      <c r="N76" s="317">
        <f t="shared" ref="N76:N139" si="83">IF($G76="1122",$F76,0)</f>
        <v>0</v>
      </c>
      <c r="O76" s="317">
        <f t="shared" ref="O76:O139" si="84">IF($H76="1122",$F76,0)</f>
        <v>0</v>
      </c>
      <c r="P76" s="317">
        <f t="shared" si="49"/>
        <v>0</v>
      </c>
      <c r="Q76" s="317">
        <f t="shared" si="50"/>
        <v>0</v>
      </c>
      <c r="R76" s="317">
        <f t="shared" si="51"/>
        <v>0</v>
      </c>
      <c r="S76" s="317">
        <f t="shared" si="52"/>
        <v>0</v>
      </c>
      <c r="T76" s="317">
        <f t="shared" ref="T76:T139" si="85">IF($G76="2412",$F76,0)</f>
        <v>0</v>
      </c>
      <c r="U76" s="317">
        <f t="shared" ref="U76:U139" si="86">IF($H76="2412",$F76,0)</f>
        <v>0</v>
      </c>
      <c r="V76" s="317">
        <f t="shared" si="53"/>
        <v>0</v>
      </c>
      <c r="W76" s="317">
        <f t="shared" si="54"/>
        <v>0</v>
      </c>
      <c r="X76" s="317">
        <f t="shared" si="55"/>
        <v>0</v>
      </c>
      <c r="Y76" s="317">
        <f t="shared" si="56"/>
        <v>0</v>
      </c>
      <c r="Z76" s="317">
        <f t="shared" si="57"/>
        <v>0</v>
      </c>
      <c r="AA76" s="317">
        <f t="shared" si="58"/>
        <v>0</v>
      </c>
      <c r="AB76" s="317">
        <f t="shared" si="59"/>
        <v>0</v>
      </c>
      <c r="AC76" s="317">
        <f t="shared" si="60"/>
        <v>0</v>
      </c>
      <c r="AD76" s="317">
        <f t="shared" si="61"/>
        <v>0</v>
      </c>
      <c r="AE76" s="317">
        <f t="shared" si="62"/>
        <v>0</v>
      </c>
      <c r="AF76" s="317">
        <f t="shared" ref="AF76:AF139" si="87">IF($G76="3412",$F76,0)</f>
        <v>0</v>
      </c>
      <c r="AG76" s="317">
        <f t="shared" ref="AG76:AG139" si="88">IF($H76="3412",$F76,0)</f>
        <v>0</v>
      </c>
      <c r="AH76" s="317">
        <f t="shared" si="63"/>
        <v>0</v>
      </c>
      <c r="AI76" s="317">
        <f t="shared" si="64"/>
        <v>0</v>
      </c>
      <c r="AJ76" s="317">
        <f t="shared" si="65"/>
        <v>0</v>
      </c>
      <c r="AK76" s="317">
        <f t="shared" si="66"/>
        <v>0</v>
      </c>
      <c r="AL76" s="317">
        <f t="shared" si="67"/>
        <v>0</v>
      </c>
      <c r="AM76" s="317">
        <f t="shared" si="68"/>
        <v>0</v>
      </c>
      <c r="AN76" s="317">
        <f t="shared" si="69"/>
        <v>0</v>
      </c>
      <c r="AO76" s="317">
        <f t="shared" si="70"/>
        <v>0</v>
      </c>
      <c r="AP76" s="317">
        <f t="shared" si="71"/>
        <v>0</v>
      </c>
      <c r="AQ76" s="317">
        <f t="shared" si="72"/>
        <v>0</v>
      </c>
      <c r="AR76" s="317">
        <f t="shared" si="73"/>
        <v>0</v>
      </c>
      <c r="AS76" s="317">
        <f t="shared" si="74"/>
        <v>0</v>
      </c>
      <c r="AT76" s="317">
        <f t="shared" si="75"/>
        <v>0</v>
      </c>
      <c r="AU76" s="317">
        <f t="shared" si="76"/>
        <v>0</v>
      </c>
      <c r="AV76" s="317">
        <f t="shared" si="77"/>
        <v>0</v>
      </c>
      <c r="AW76" s="317">
        <f t="shared" si="78"/>
        <v>0</v>
      </c>
      <c r="AX76" s="317">
        <f t="shared" si="79"/>
        <v>0</v>
      </c>
      <c r="AY76" s="317">
        <f t="shared" si="80"/>
        <v>0</v>
      </c>
      <c r="AZ76" s="317">
        <f t="shared" si="81"/>
        <v>0</v>
      </c>
      <c r="BA76" s="317">
        <f t="shared" si="82"/>
        <v>0</v>
      </c>
    </row>
    <row r="77" spans="1:53" s="314" customFormat="1" ht="16.5" customHeight="1">
      <c r="A77" s="63" t="str">
        <f t="array" ref="A77">IF(C77&lt;&gt;0,SUM(($C$11:C77&lt;&gt;0)*1),"")</f>
        <v/>
      </c>
      <c r="B77" s="315"/>
      <c r="C77" s="315"/>
      <c r="D77" s="315"/>
      <c r="E77" s="433"/>
      <c r="F77" s="371"/>
      <c r="G77" s="373"/>
      <c r="H77" s="373"/>
      <c r="I77" s="63" t="str">
        <f t="shared" si="0"/>
        <v/>
      </c>
      <c r="J77" s="317">
        <f t="shared" si="45"/>
        <v>0</v>
      </c>
      <c r="K77" s="317">
        <f t="shared" si="46"/>
        <v>0</v>
      </c>
      <c r="L77" s="317">
        <f t="shared" si="47"/>
        <v>0</v>
      </c>
      <c r="M77" s="317">
        <f t="shared" si="48"/>
        <v>0</v>
      </c>
      <c r="N77" s="317">
        <f t="shared" si="83"/>
        <v>0</v>
      </c>
      <c r="O77" s="317">
        <f t="shared" si="84"/>
        <v>0</v>
      </c>
      <c r="P77" s="317">
        <f t="shared" si="49"/>
        <v>0</v>
      </c>
      <c r="Q77" s="317">
        <f t="shared" si="50"/>
        <v>0</v>
      </c>
      <c r="R77" s="317">
        <f t="shared" si="51"/>
        <v>0</v>
      </c>
      <c r="S77" s="317">
        <f t="shared" si="52"/>
        <v>0</v>
      </c>
      <c r="T77" s="317">
        <f t="shared" si="85"/>
        <v>0</v>
      </c>
      <c r="U77" s="317">
        <f t="shared" si="86"/>
        <v>0</v>
      </c>
      <c r="V77" s="317">
        <f t="shared" si="53"/>
        <v>0</v>
      </c>
      <c r="W77" s="317">
        <f t="shared" si="54"/>
        <v>0</v>
      </c>
      <c r="X77" s="317">
        <f t="shared" si="55"/>
        <v>0</v>
      </c>
      <c r="Y77" s="317">
        <f t="shared" si="56"/>
        <v>0</v>
      </c>
      <c r="Z77" s="317">
        <f t="shared" si="57"/>
        <v>0</v>
      </c>
      <c r="AA77" s="317">
        <f t="shared" si="58"/>
        <v>0</v>
      </c>
      <c r="AB77" s="317">
        <f t="shared" si="59"/>
        <v>0</v>
      </c>
      <c r="AC77" s="317">
        <f t="shared" si="60"/>
        <v>0</v>
      </c>
      <c r="AD77" s="317">
        <f t="shared" si="61"/>
        <v>0</v>
      </c>
      <c r="AE77" s="317">
        <f t="shared" si="62"/>
        <v>0</v>
      </c>
      <c r="AF77" s="317">
        <f t="shared" si="87"/>
        <v>0</v>
      </c>
      <c r="AG77" s="317">
        <f t="shared" si="88"/>
        <v>0</v>
      </c>
      <c r="AH77" s="317">
        <f t="shared" si="63"/>
        <v>0</v>
      </c>
      <c r="AI77" s="317">
        <f t="shared" si="64"/>
        <v>0</v>
      </c>
      <c r="AJ77" s="317">
        <f t="shared" si="65"/>
        <v>0</v>
      </c>
      <c r="AK77" s="317">
        <f t="shared" si="66"/>
        <v>0</v>
      </c>
      <c r="AL77" s="317">
        <f t="shared" si="67"/>
        <v>0</v>
      </c>
      <c r="AM77" s="317">
        <f t="shared" si="68"/>
        <v>0</v>
      </c>
      <c r="AN77" s="317">
        <f t="shared" si="69"/>
        <v>0</v>
      </c>
      <c r="AO77" s="317">
        <f t="shared" si="70"/>
        <v>0</v>
      </c>
      <c r="AP77" s="317">
        <f t="shared" si="71"/>
        <v>0</v>
      </c>
      <c r="AQ77" s="317">
        <f t="shared" si="72"/>
        <v>0</v>
      </c>
      <c r="AR77" s="317">
        <f t="shared" si="73"/>
        <v>0</v>
      </c>
      <c r="AS77" s="317">
        <f t="shared" si="74"/>
        <v>0</v>
      </c>
      <c r="AT77" s="317">
        <f t="shared" si="75"/>
        <v>0</v>
      </c>
      <c r="AU77" s="317">
        <f t="shared" si="76"/>
        <v>0</v>
      </c>
      <c r="AV77" s="317">
        <f t="shared" si="77"/>
        <v>0</v>
      </c>
      <c r="AW77" s="317">
        <f t="shared" si="78"/>
        <v>0</v>
      </c>
      <c r="AX77" s="317">
        <f t="shared" si="79"/>
        <v>0</v>
      </c>
      <c r="AY77" s="317">
        <f t="shared" si="80"/>
        <v>0</v>
      </c>
      <c r="AZ77" s="317">
        <f t="shared" si="81"/>
        <v>0</v>
      </c>
      <c r="BA77" s="317">
        <f t="shared" si="82"/>
        <v>0</v>
      </c>
    </row>
    <row r="78" spans="1:53" s="314" customFormat="1" ht="16.5" customHeight="1">
      <c r="A78" s="63" t="str">
        <f t="array" ref="A78">IF(C78&lt;&gt;0,SUM(($C$11:C78&lt;&gt;0)*1),"")</f>
        <v/>
      </c>
      <c r="B78" s="315"/>
      <c r="C78" s="315"/>
      <c r="D78" s="315"/>
      <c r="E78" s="433"/>
      <c r="F78" s="371"/>
      <c r="G78" s="373"/>
      <c r="H78" s="373"/>
      <c r="I78" s="63" t="str">
        <f t="shared" si="0"/>
        <v/>
      </c>
      <c r="J78" s="317">
        <f t="shared" si="45"/>
        <v>0</v>
      </c>
      <c r="K78" s="317">
        <f t="shared" si="46"/>
        <v>0</v>
      </c>
      <c r="L78" s="317">
        <f t="shared" si="47"/>
        <v>0</v>
      </c>
      <c r="M78" s="317">
        <f t="shared" si="48"/>
        <v>0</v>
      </c>
      <c r="N78" s="317">
        <f t="shared" si="83"/>
        <v>0</v>
      </c>
      <c r="O78" s="317">
        <f t="shared" si="84"/>
        <v>0</v>
      </c>
      <c r="P78" s="317">
        <f t="shared" si="49"/>
        <v>0</v>
      </c>
      <c r="Q78" s="317">
        <f t="shared" si="50"/>
        <v>0</v>
      </c>
      <c r="R78" s="317">
        <f t="shared" si="51"/>
        <v>0</v>
      </c>
      <c r="S78" s="317">
        <f t="shared" si="52"/>
        <v>0</v>
      </c>
      <c r="T78" s="317">
        <f t="shared" si="85"/>
        <v>0</v>
      </c>
      <c r="U78" s="317">
        <f t="shared" si="86"/>
        <v>0</v>
      </c>
      <c r="V78" s="317">
        <f t="shared" si="53"/>
        <v>0</v>
      </c>
      <c r="W78" s="317">
        <f t="shared" si="54"/>
        <v>0</v>
      </c>
      <c r="X78" s="317">
        <f t="shared" si="55"/>
        <v>0</v>
      </c>
      <c r="Y78" s="317">
        <f t="shared" si="56"/>
        <v>0</v>
      </c>
      <c r="Z78" s="317">
        <f t="shared" si="57"/>
        <v>0</v>
      </c>
      <c r="AA78" s="317">
        <f t="shared" si="58"/>
        <v>0</v>
      </c>
      <c r="AB78" s="317">
        <f t="shared" si="59"/>
        <v>0</v>
      </c>
      <c r="AC78" s="317">
        <f t="shared" si="60"/>
        <v>0</v>
      </c>
      <c r="AD78" s="317">
        <f t="shared" si="61"/>
        <v>0</v>
      </c>
      <c r="AE78" s="317">
        <f t="shared" si="62"/>
        <v>0</v>
      </c>
      <c r="AF78" s="317">
        <f t="shared" si="87"/>
        <v>0</v>
      </c>
      <c r="AG78" s="317">
        <f t="shared" si="88"/>
        <v>0</v>
      </c>
      <c r="AH78" s="317">
        <f t="shared" si="63"/>
        <v>0</v>
      </c>
      <c r="AI78" s="317">
        <f t="shared" si="64"/>
        <v>0</v>
      </c>
      <c r="AJ78" s="317">
        <f t="shared" si="65"/>
        <v>0</v>
      </c>
      <c r="AK78" s="317">
        <f t="shared" si="66"/>
        <v>0</v>
      </c>
      <c r="AL78" s="317">
        <f t="shared" si="67"/>
        <v>0</v>
      </c>
      <c r="AM78" s="317">
        <f t="shared" si="68"/>
        <v>0</v>
      </c>
      <c r="AN78" s="317">
        <f t="shared" si="69"/>
        <v>0</v>
      </c>
      <c r="AO78" s="317">
        <f t="shared" si="70"/>
        <v>0</v>
      </c>
      <c r="AP78" s="317">
        <f t="shared" si="71"/>
        <v>0</v>
      </c>
      <c r="AQ78" s="317">
        <f t="shared" si="72"/>
        <v>0</v>
      </c>
      <c r="AR78" s="317">
        <f t="shared" si="73"/>
        <v>0</v>
      </c>
      <c r="AS78" s="317">
        <f t="shared" si="74"/>
        <v>0</v>
      </c>
      <c r="AT78" s="317">
        <f t="shared" si="75"/>
        <v>0</v>
      </c>
      <c r="AU78" s="317">
        <f t="shared" si="76"/>
        <v>0</v>
      </c>
      <c r="AV78" s="317">
        <f t="shared" si="77"/>
        <v>0</v>
      </c>
      <c r="AW78" s="317">
        <f t="shared" si="78"/>
        <v>0</v>
      </c>
      <c r="AX78" s="317">
        <f t="shared" si="79"/>
        <v>0</v>
      </c>
      <c r="AY78" s="317">
        <f t="shared" si="80"/>
        <v>0</v>
      </c>
      <c r="AZ78" s="317">
        <f t="shared" si="81"/>
        <v>0</v>
      </c>
      <c r="BA78" s="317">
        <f t="shared" si="82"/>
        <v>0</v>
      </c>
    </row>
    <row r="79" spans="1:53" s="314" customFormat="1" ht="16.5" customHeight="1">
      <c r="A79" s="63" t="str">
        <f t="array" ref="A79">IF(C79&lt;&gt;0,SUM(($C$11:C79&lt;&gt;0)*1),"")</f>
        <v/>
      </c>
      <c r="B79" s="315"/>
      <c r="C79" s="315"/>
      <c r="D79" s="315"/>
      <c r="E79" s="433"/>
      <c r="F79" s="371"/>
      <c r="G79" s="373"/>
      <c r="H79" s="373"/>
      <c r="I79" s="63" t="str">
        <f t="shared" si="0"/>
        <v/>
      </c>
      <c r="J79" s="317">
        <f t="shared" si="45"/>
        <v>0</v>
      </c>
      <c r="K79" s="317">
        <f t="shared" si="46"/>
        <v>0</v>
      </c>
      <c r="L79" s="317">
        <f t="shared" si="47"/>
        <v>0</v>
      </c>
      <c r="M79" s="317">
        <f t="shared" si="48"/>
        <v>0</v>
      </c>
      <c r="N79" s="317">
        <f t="shared" si="83"/>
        <v>0</v>
      </c>
      <c r="O79" s="317">
        <f t="shared" si="84"/>
        <v>0</v>
      </c>
      <c r="P79" s="317">
        <f t="shared" si="49"/>
        <v>0</v>
      </c>
      <c r="Q79" s="317">
        <f t="shared" si="50"/>
        <v>0</v>
      </c>
      <c r="R79" s="317">
        <f t="shared" si="51"/>
        <v>0</v>
      </c>
      <c r="S79" s="317">
        <f t="shared" si="52"/>
        <v>0</v>
      </c>
      <c r="T79" s="317">
        <f t="shared" si="85"/>
        <v>0</v>
      </c>
      <c r="U79" s="317">
        <f t="shared" si="86"/>
        <v>0</v>
      </c>
      <c r="V79" s="317">
        <f t="shared" si="53"/>
        <v>0</v>
      </c>
      <c r="W79" s="317">
        <f t="shared" si="54"/>
        <v>0</v>
      </c>
      <c r="X79" s="317">
        <f t="shared" si="55"/>
        <v>0</v>
      </c>
      <c r="Y79" s="317">
        <f t="shared" si="56"/>
        <v>0</v>
      </c>
      <c r="Z79" s="317">
        <f t="shared" si="57"/>
        <v>0</v>
      </c>
      <c r="AA79" s="317">
        <f t="shared" si="58"/>
        <v>0</v>
      </c>
      <c r="AB79" s="317">
        <f t="shared" si="59"/>
        <v>0</v>
      </c>
      <c r="AC79" s="317">
        <f t="shared" si="60"/>
        <v>0</v>
      </c>
      <c r="AD79" s="317">
        <f t="shared" si="61"/>
        <v>0</v>
      </c>
      <c r="AE79" s="317">
        <f t="shared" si="62"/>
        <v>0</v>
      </c>
      <c r="AF79" s="317">
        <f t="shared" si="87"/>
        <v>0</v>
      </c>
      <c r="AG79" s="317">
        <f t="shared" si="88"/>
        <v>0</v>
      </c>
      <c r="AH79" s="317">
        <f t="shared" si="63"/>
        <v>0</v>
      </c>
      <c r="AI79" s="317">
        <f t="shared" si="64"/>
        <v>0</v>
      </c>
      <c r="AJ79" s="317">
        <f t="shared" si="65"/>
        <v>0</v>
      </c>
      <c r="AK79" s="317">
        <f t="shared" si="66"/>
        <v>0</v>
      </c>
      <c r="AL79" s="317">
        <f t="shared" si="67"/>
        <v>0</v>
      </c>
      <c r="AM79" s="317">
        <f t="shared" si="68"/>
        <v>0</v>
      </c>
      <c r="AN79" s="317">
        <f t="shared" si="69"/>
        <v>0</v>
      </c>
      <c r="AO79" s="317">
        <f t="shared" si="70"/>
        <v>0</v>
      </c>
      <c r="AP79" s="317">
        <f t="shared" si="71"/>
        <v>0</v>
      </c>
      <c r="AQ79" s="317">
        <f t="shared" si="72"/>
        <v>0</v>
      </c>
      <c r="AR79" s="317">
        <f t="shared" si="73"/>
        <v>0</v>
      </c>
      <c r="AS79" s="317">
        <f t="shared" si="74"/>
        <v>0</v>
      </c>
      <c r="AT79" s="317">
        <f t="shared" si="75"/>
        <v>0</v>
      </c>
      <c r="AU79" s="317">
        <f t="shared" si="76"/>
        <v>0</v>
      </c>
      <c r="AV79" s="317">
        <f t="shared" si="77"/>
        <v>0</v>
      </c>
      <c r="AW79" s="317">
        <f t="shared" si="78"/>
        <v>0</v>
      </c>
      <c r="AX79" s="317">
        <f t="shared" si="79"/>
        <v>0</v>
      </c>
      <c r="AY79" s="317">
        <f t="shared" si="80"/>
        <v>0</v>
      </c>
      <c r="AZ79" s="317">
        <f t="shared" si="81"/>
        <v>0</v>
      </c>
      <c r="BA79" s="317">
        <f t="shared" si="82"/>
        <v>0</v>
      </c>
    </row>
    <row r="80" spans="1:53" s="314" customFormat="1" ht="16.5" customHeight="1">
      <c r="A80" s="63" t="str">
        <f t="array" ref="A80">IF(C80&lt;&gt;0,SUM(($C$11:C80&lt;&gt;0)*1),"")</f>
        <v/>
      </c>
      <c r="B80" s="315"/>
      <c r="C80" s="315"/>
      <c r="D80" s="315"/>
      <c r="E80" s="433"/>
      <c r="F80" s="371"/>
      <c r="G80" s="373"/>
      <c r="H80" s="373"/>
      <c r="I80" s="63" t="str">
        <f t="shared" si="0"/>
        <v/>
      </c>
      <c r="J80" s="317">
        <f t="shared" si="45"/>
        <v>0</v>
      </c>
      <c r="K80" s="317">
        <f t="shared" si="46"/>
        <v>0</v>
      </c>
      <c r="L80" s="317">
        <f t="shared" si="47"/>
        <v>0</v>
      </c>
      <c r="M80" s="317">
        <f t="shared" si="48"/>
        <v>0</v>
      </c>
      <c r="N80" s="317">
        <f t="shared" si="83"/>
        <v>0</v>
      </c>
      <c r="O80" s="317">
        <f t="shared" si="84"/>
        <v>0</v>
      </c>
      <c r="P80" s="317">
        <f t="shared" si="49"/>
        <v>0</v>
      </c>
      <c r="Q80" s="317">
        <f t="shared" si="50"/>
        <v>0</v>
      </c>
      <c r="R80" s="317">
        <f t="shared" si="51"/>
        <v>0</v>
      </c>
      <c r="S80" s="317">
        <f t="shared" si="52"/>
        <v>0</v>
      </c>
      <c r="T80" s="317">
        <f t="shared" si="85"/>
        <v>0</v>
      </c>
      <c r="U80" s="317">
        <f t="shared" si="86"/>
        <v>0</v>
      </c>
      <c r="V80" s="317">
        <f t="shared" si="53"/>
        <v>0</v>
      </c>
      <c r="W80" s="317">
        <f t="shared" si="54"/>
        <v>0</v>
      </c>
      <c r="X80" s="317">
        <f t="shared" si="55"/>
        <v>0</v>
      </c>
      <c r="Y80" s="317">
        <f t="shared" si="56"/>
        <v>0</v>
      </c>
      <c r="Z80" s="317">
        <f t="shared" si="57"/>
        <v>0</v>
      </c>
      <c r="AA80" s="317">
        <f t="shared" si="58"/>
        <v>0</v>
      </c>
      <c r="AB80" s="317">
        <f t="shared" si="59"/>
        <v>0</v>
      </c>
      <c r="AC80" s="317">
        <f t="shared" si="60"/>
        <v>0</v>
      </c>
      <c r="AD80" s="317">
        <f t="shared" si="61"/>
        <v>0</v>
      </c>
      <c r="AE80" s="317">
        <f t="shared" si="62"/>
        <v>0</v>
      </c>
      <c r="AF80" s="317">
        <f t="shared" si="87"/>
        <v>0</v>
      </c>
      <c r="AG80" s="317">
        <f t="shared" si="88"/>
        <v>0</v>
      </c>
      <c r="AH80" s="317">
        <f t="shared" si="63"/>
        <v>0</v>
      </c>
      <c r="AI80" s="317">
        <f t="shared" si="64"/>
        <v>0</v>
      </c>
      <c r="AJ80" s="317">
        <f t="shared" si="65"/>
        <v>0</v>
      </c>
      <c r="AK80" s="317">
        <f t="shared" si="66"/>
        <v>0</v>
      </c>
      <c r="AL80" s="317">
        <f t="shared" si="67"/>
        <v>0</v>
      </c>
      <c r="AM80" s="317">
        <f t="shared" si="68"/>
        <v>0</v>
      </c>
      <c r="AN80" s="317">
        <f t="shared" si="69"/>
        <v>0</v>
      </c>
      <c r="AO80" s="317">
        <f t="shared" si="70"/>
        <v>0</v>
      </c>
      <c r="AP80" s="317">
        <f t="shared" si="71"/>
        <v>0</v>
      </c>
      <c r="AQ80" s="317">
        <f t="shared" si="72"/>
        <v>0</v>
      </c>
      <c r="AR80" s="317">
        <f t="shared" si="73"/>
        <v>0</v>
      </c>
      <c r="AS80" s="317">
        <f t="shared" si="74"/>
        <v>0</v>
      </c>
      <c r="AT80" s="317">
        <f t="shared" si="75"/>
        <v>0</v>
      </c>
      <c r="AU80" s="317">
        <f t="shared" si="76"/>
        <v>0</v>
      </c>
      <c r="AV80" s="317">
        <f t="shared" si="77"/>
        <v>0</v>
      </c>
      <c r="AW80" s="317">
        <f t="shared" si="78"/>
        <v>0</v>
      </c>
      <c r="AX80" s="317">
        <f t="shared" si="79"/>
        <v>0</v>
      </c>
      <c r="AY80" s="317">
        <f t="shared" si="80"/>
        <v>0</v>
      </c>
      <c r="AZ80" s="317">
        <f t="shared" si="81"/>
        <v>0</v>
      </c>
      <c r="BA80" s="317">
        <f t="shared" si="82"/>
        <v>0</v>
      </c>
    </row>
    <row r="81" spans="1:53" s="314" customFormat="1" ht="16.5" customHeight="1">
      <c r="A81" s="63" t="str">
        <f t="array" ref="A81">IF(C81&lt;&gt;0,SUM(($C$11:C81&lt;&gt;0)*1),"")</f>
        <v/>
      </c>
      <c r="B81" s="315"/>
      <c r="C81" s="315"/>
      <c r="D81" s="315"/>
      <c r="E81" s="433"/>
      <c r="F81" s="371"/>
      <c r="G81" s="373"/>
      <c r="H81" s="373"/>
      <c r="I81" s="63" t="str">
        <f t="shared" si="0"/>
        <v/>
      </c>
      <c r="J81" s="317">
        <f t="shared" si="45"/>
        <v>0</v>
      </c>
      <c r="K81" s="317">
        <f t="shared" si="46"/>
        <v>0</v>
      </c>
      <c r="L81" s="317">
        <f t="shared" si="47"/>
        <v>0</v>
      </c>
      <c r="M81" s="317">
        <f t="shared" si="48"/>
        <v>0</v>
      </c>
      <c r="N81" s="317">
        <f t="shared" si="83"/>
        <v>0</v>
      </c>
      <c r="O81" s="317">
        <f t="shared" si="84"/>
        <v>0</v>
      </c>
      <c r="P81" s="317">
        <f t="shared" si="49"/>
        <v>0</v>
      </c>
      <c r="Q81" s="317">
        <f t="shared" si="50"/>
        <v>0</v>
      </c>
      <c r="R81" s="317">
        <f t="shared" si="51"/>
        <v>0</v>
      </c>
      <c r="S81" s="317">
        <f t="shared" si="52"/>
        <v>0</v>
      </c>
      <c r="T81" s="317">
        <f t="shared" si="85"/>
        <v>0</v>
      </c>
      <c r="U81" s="317">
        <f t="shared" si="86"/>
        <v>0</v>
      </c>
      <c r="V81" s="317">
        <f t="shared" si="53"/>
        <v>0</v>
      </c>
      <c r="W81" s="317">
        <f t="shared" si="54"/>
        <v>0</v>
      </c>
      <c r="X81" s="317">
        <f t="shared" si="55"/>
        <v>0</v>
      </c>
      <c r="Y81" s="317">
        <f t="shared" si="56"/>
        <v>0</v>
      </c>
      <c r="Z81" s="317">
        <f t="shared" si="57"/>
        <v>0</v>
      </c>
      <c r="AA81" s="317">
        <f t="shared" si="58"/>
        <v>0</v>
      </c>
      <c r="AB81" s="317">
        <f t="shared" si="59"/>
        <v>0</v>
      </c>
      <c r="AC81" s="317">
        <f t="shared" si="60"/>
        <v>0</v>
      </c>
      <c r="AD81" s="317">
        <f t="shared" si="61"/>
        <v>0</v>
      </c>
      <c r="AE81" s="317">
        <f t="shared" si="62"/>
        <v>0</v>
      </c>
      <c r="AF81" s="317">
        <f t="shared" si="87"/>
        <v>0</v>
      </c>
      <c r="AG81" s="317">
        <f t="shared" si="88"/>
        <v>0</v>
      </c>
      <c r="AH81" s="317">
        <f t="shared" si="63"/>
        <v>0</v>
      </c>
      <c r="AI81" s="317">
        <f t="shared" si="64"/>
        <v>0</v>
      </c>
      <c r="AJ81" s="317">
        <f t="shared" si="65"/>
        <v>0</v>
      </c>
      <c r="AK81" s="317">
        <f t="shared" si="66"/>
        <v>0</v>
      </c>
      <c r="AL81" s="317">
        <f t="shared" si="67"/>
        <v>0</v>
      </c>
      <c r="AM81" s="317">
        <f t="shared" si="68"/>
        <v>0</v>
      </c>
      <c r="AN81" s="317">
        <f t="shared" si="69"/>
        <v>0</v>
      </c>
      <c r="AO81" s="317">
        <f t="shared" si="70"/>
        <v>0</v>
      </c>
      <c r="AP81" s="317">
        <f t="shared" si="71"/>
        <v>0</v>
      </c>
      <c r="AQ81" s="317">
        <f t="shared" si="72"/>
        <v>0</v>
      </c>
      <c r="AR81" s="317">
        <f t="shared" si="73"/>
        <v>0</v>
      </c>
      <c r="AS81" s="317">
        <f t="shared" si="74"/>
        <v>0</v>
      </c>
      <c r="AT81" s="317">
        <f t="shared" si="75"/>
        <v>0</v>
      </c>
      <c r="AU81" s="317">
        <f t="shared" si="76"/>
        <v>0</v>
      </c>
      <c r="AV81" s="317">
        <f t="shared" si="77"/>
        <v>0</v>
      </c>
      <c r="AW81" s="317">
        <f t="shared" si="78"/>
        <v>0</v>
      </c>
      <c r="AX81" s="317">
        <f t="shared" si="79"/>
        <v>0</v>
      </c>
      <c r="AY81" s="317">
        <f t="shared" si="80"/>
        <v>0</v>
      </c>
      <c r="AZ81" s="317">
        <f t="shared" si="81"/>
        <v>0</v>
      </c>
      <c r="BA81" s="317">
        <f t="shared" si="82"/>
        <v>0</v>
      </c>
    </row>
    <row r="82" spans="1:53" s="314" customFormat="1" ht="16.5" customHeight="1">
      <c r="A82" s="63" t="str">
        <f t="array" ref="A82">IF(C82&lt;&gt;0,SUM(($C$11:C82&lt;&gt;0)*1),"")</f>
        <v/>
      </c>
      <c r="B82" s="315"/>
      <c r="C82" s="315"/>
      <c r="D82" s="315"/>
      <c r="E82" s="433"/>
      <c r="F82" s="371"/>
      <c r="G82" s="373"/>
      <c r="H82" s="373"/>
      <c r="I82" s="63" t="str">
        <f t="shared" si="0"/>
        <v/>
      </c>
      <c r="J82" s="317">
        <f t="shared" si="45"/>
        <v>0</v>
      </c>
      <c r="K82" s="317">
        <f t="shared" si="46"/>
        <v>0</v>
      </c>
      <c r="L82" s="317">
        <f t="shared" si="47"/>
        <v>0</v>
      </c>
      <c r="M82" s="317">
        <f t="shared" si="48"/>
        <v>0</v>
      </c>
      <c r="N82" s="317">
        <f t="shared" si="83"/>
        <v>0</v>
      </c>
      <c r="O82" s="317">
        <f t="shared" si="84"/>
        <v>0</v>
      </c>
      <c r="P82" s="317">
        <f t="shared" si="49"/>
        <v>0</v>
      </c>
      <c r="Q82" s="317">
        <f t="shared" si="50"/>
        <v>0</v>
      </c>
      <c r="R82" s="317">
        <f t="shared" si="51"/>
        <v>0</v>
      </c>
      <c r="S82" s="317">
        <f t="shared" si="52"/>
        <v>0</v>
      </c>
      <c r="T82" s="317">
        <f t="shared" si="85"/>
        <v>0</v>
      </c>
      <c r="U82" s="317">
        <f t="shared" si="86"/>
        <v>0</v>
      </c>
      <c r="V82" s="317">
        <f t="shared" si="53"/>
        <v>0</v>
      </c>
      <c r="W82" s="317">
        <f t="shared" si="54"/>
        <v>0</v>
      </c>
      <c r="X82" s="317">
        <f t="shared" si="55"/>
        <v>0</v>
      </c>
      <c r="Y82" s="317">
        <f t="shared" si="56"/>
        <v>0</v>
      </c>
      <c r="Z82" s="317">
        <f t="shared" si="57"/>
        <v>0</v>
      </c>
      <c r="AA82" s="317">
        <f t="shared" si="58"/>
        <v>0</v>
      </c>
      <c r="AB82" s="317">
        <f t="shared" si="59"/>
        <v>0</v>
      </c>
      <c r="AC82" s="317">
        <f t="shared" si="60"/>
        <v>0</v>
      </c>
      <c r="AD82" s="317">
        <f t="shared" si="61"/>
        <v>0</v>
      </c>
      <c r="AE82" s="317">
        <f t="shared" si="62"/>
        <v>0</v>
      </c>
      <c r="AF82" s="317">
        <f t="shared" si="87"/>
        <v>0</v>
      </c>
      <c r="AG82" s="317">
        <f t="shared" si="88"/>
        <v>0</v>
      </c>
      <c r="AH82" s="317">
        <f t="shared" si="63"/>
        <v>0</v>
      </c>
      <c r="AI82" s="317">
        <f t="shared" si="64"/>
        <v>0</v>
      </c>
      <c r="AJ82" s="317">
        <f t="shared" si="65"/>
        <v>0</v>
      </c>
      <c r="AK82" s="317">
        <f t="shared" si="66"/>
        <v>0</v>
      </c>
      <c r="AL82" s="317">
        <f t="shared" si="67"/>
        <v>0</v>
      </c>
      <c r="AM82" s="317">
        <f t="shared" si="68"/>
        <v>0</v>
      </c>
      <c r="AN82" s="317">
        <f t="shared" si="69"/>
        <v>0</v>
      </c>
      <c r="AO82" s="317">
        <f t="shared" si="70"/>
        <v>0</v>
      </c>
      <c r="AP82" s="317">
        <f t="shared" si="71"/>
        <v>0</v>
      </c>
      <c r="AQ82" s="317">
        <f t="shared" si="72"/>
        <v>0</v>
      </c>
      <c r="AR82" s="317">
        <f t="shared" si="73"/>
        <v>0</v>
      </c>
      <c r="AS82" s="317">
        <f t="shared" si="74"/>
        <v>0</v>
      </c>
      <c r="AT82" s="317">
        <f t="shared" si="75"/>
        <v>0</v>
      </c>
      <c r="AU82" s="317">
        <f t="shared" si="76"/>
        <v>0</v>
      </c>
      <c r="AV82" s="317">
        <f t="shared" si="77"/>
        <v>0</v>
      </c>
      <c r="AW82" s="317">
        <f t="shared" si="78"/>
        <v>0</v>
      </c>
      <c r="AX82" s="317">
        <f t="shared" si="79"/>
        <v>0</v>
      </c>
      <c r="AY82" s="317">
        <f t="shared" si="80"/>
        <v>0</v>
      </c>
      <c r="AZ82" s="317">
        <f t="shared" si="81"/>
        <v>0</v>
      </c>
      <c r="BA82" s="317">
        <f t="shared" si="82"/>
        <v>0</v>
      </c>
    </row>
    <row r="83" spans="1:53" s="314" customFormat="1" ht="16.5" customHeight="1">
      <c r="A83" s="63" t="str">
        <f t="array" ref="A83">IF(C83&lt;&gt;0,SUM(($C$11:C83&lt;&gt;0)*1),"")</f>
        <v/>
      </c>
      <c r="B83" s="315"/>
      <c r="C83" s="315"/>
      <c r="D83" s="315"/>
      <c r="E83" s="433"/>
      <c r="F83" s="371"/>
      <c r="G83" s="373"/>
      <c r="H83" s="373"/>
      <c r="I83" s="63" t="str">
        <f t="shared" si="0"/>
        <v/>
      </c>
      <c r="J83" s="317">
        <f t="shared" si="45"/>
        <v>0</v>
      </c>
      <c r="K83" s="317">
        <f t="shared" si="46"/>
        <v>0</v>
      </c>
      <c r="L83" s="317">
        <f t="shared" si="47"/>
        <v>0</v>
      </c>
      <c r="M83" s="317">
        <f t="shared" si="48"/>
        <v>0</v>
      </c>
      <c r="N83" s="317">
        <f t="shared" si="83"/>
        <v>0</v>
      </c>
      <c r="O83" s="317">
        <f t="shared" si="84"/>
        <v>0</v>
      </c>
      <c r="P83" s="317">
        <f t="shared" si="49"/>
        <v>0</v>
      </c>
      <c r="Q83" s="317">
        <f t="shared" si="50"/>
        <v>0</v>
      </c>
      <c r="R83" s="317">
        <f t="shared" si="51"/>
        <v>0</v>
      </c>
      <c r="S83" s="317">
        <f t="shared" si="52"/>
        <v>0</v>
      </c>
      <c r="T83" s="317">
        <f t="shared" si="85"/>
        <v>0</v>
      </c>
      <c r="U83" s="317">
        <f t="shared" si="86"/>
        <v>0</v>
      </c>
      <c r="V83" s="317">
        <f t="shared" si="53"/>
        <v>0</v>
      </c>
      <c r="W83" s="317">
        <f t="shared" si="54"/>
        <v>0</v>
      </c>
      <c r="X83" s="317">
        <f t="shared" si="55"/>
        <v>0</v>
      </c>
      <c r="Y83" s="317">
        <f t="shared" si="56"/>
        <v>0</v>
      </c>
      <c r="Z83" s="317">
        <f t="shared" si="57"/>
        <v>0</v>
      </c>
      <c r="AA83" s="317">
        <f t="shared" si="58"/>
        <v>0</v>
      </c>
      <c r="AB83" s="317">
        <f t="shared" si="59"/>
        <v>0</v>
      </c>
      <c r="AC83" s="317">
        <f t="shared" si="60"/>
        <v>0</v>
      </c>
      <c r="AD83" s="317">
        <f t="shared" si="61"/>
        <v>0</v>
      </c>
      <c r="AE83" s="317">
        <f t="shared" si="62"/>
        <v>0</v>
      </c>
      <c r="AF83" s="317">
        <f t="shared" si="87"/>
        <v>0</v>
      </c>
      <c r="AG83" s="317">
        <f t="shared" si="88"/>
        <v>0</v>
      </c>
      <c r="AH83" s="317">
        <f t="shared" si="63"/>
        <v>0</v>
      </c>
      <c r="AI83" s="317">
        <f t="shared" si="64"/>
        <v>0</v>
      </c>
      <c r="AJ83" s="317">
        <f t="shared" si="65"/>
        <v>0</v>
      </c>
      <c r="AK83" s="317">
        <f t="shared" si="66"/>
        <v>0</v>
      </c>
      <c r="AL83" s="317">
        <f t="shared" si="67"/>
        <v>0</v>
      </c>
      <c r="AM83" s="317">
        <f t="shared" si="68"/>
        <v>0</v>
      </c>
      <c r="AN83" s="317">
        <f t="shared" si="69"/>
        <v>0</v>
      </c>
      <c r="AO83" s="317">
        <f t="shared" si="70"/>
        <v>0</v>
      </c>
      <c r="AP83" s="317">
        <f t="shared" si="71"/>
        <v>0</v>
      </c>
      <c r="AQ83" s="317">
        <f t="shared" si="72"/>
        <v>0</v>
      </c>
      <c r="AR83" s="317">
        <f t="shared" si="73"/>
        <v>0</v>
      </c>
      <c r="AS83" s="317">
        <f t="shared" si="74"/>
        <v>0</v>
      </c>
      <c r="AT83" s="317">
        <f t="shared" si="75"/>
        <v>0</v>
      </c>
      <c r="AU83" s="317">
        <f t="shared" si="76"/>
        <v>0</v>
      </c>
      <c r="AV83" s="317">
        <f t="shared" si="77"/>
        <v>0</v>
      </c>
      <c r="AW83" s="317">
        <f t="shared" si="78"/>
        <v>0</v>
      </c>
      <c r="AX83" s="317">
        <f t="shared" si="79"/>
        <v>0</v>
      </c>
      <c r="AY83" s="317">
        <f t="shared" si="80"/>
        <v>0</v>
      </c>
      <c r="AZ83" s="317">
        <f t="shared" si="81"/>
        <v>0</v>
      </c>
      <c r="BA83" s="317">
        <f t="shared" si="82"/>
        <v>0</v>
      </c>
    </row>
    <row r="84" spans="1:53" s="314" customFormat="1" ht="16.5" customHeight="1">
      <c r="A84" s="63" t="str">
        <f t="array" ref="A84">IF(C84&lt;&gt;0,SUM(($C$11:C84&lt;&gt;0)*1),"")</f>
        <v/>
      </c>
      <c r="B84" s="315"/>
      <c r="C84" s="315"/>
      <c r="D84" s="315"/>
      <c r="E84" s="433"/>
      <c r="F84" s="371"/>
      <c r="G84" s="373"/>
      <c r="H84" s="373"/>
      <c r="I84" s="63" t="str">
        <f t="shared" si="0"/>
        <v/>
      </c>
      <c r="J84" s="317">
        <f t="shared" si="45"/>
        <v>0</v>
      </c>
      <c r="K84" s="317">
        <f t="shared" si="46"/>
        <v>0</v>
      </c>
      <c r="L84" s="317">
        <f t="shared" si="47"/>
        <v>0</v>
      </c>
      <c r="M84" s="317">
        <f t="shared" si="48"/>
        <v>0</v>
      </c>
      <c r="N84" s="317">
        <f t="shared" si="83"/>
        <v>0</v>
      </c>
      <c r="O84" s="317">
        <f t="shared" si="84"/>
        <v>0</v>
      </c>
      <c r="P84" s="317">
        <f t="shared" si="49"/>
        <v>0</v>
      </c>
      <c r="Q84" s="317">
        <f t="shared" si="50"/>
        <v>0</v>
      </c>
      <c r="R84" s="317">
        <f t="shared" si="51"/>
        <v>0</v>
      </c>
      <c r="S84" s="317">
        <f t="shared" si="52"/>
        <v>0</v>
      </c>
      <c r="T84" s="317">
        <f t="shared" si="85"/>
        <v>0</v>
      </c>
      <c r="U84" s="317">
        <f t="shared" si="86"/>
        <v>0</v>
      </c>
      <c r="V84" s="317">
        <f t="shared" si="53"/>
        <v>0</v>
      </c>
      <c r="W84" s="317">
        <f t="shared" si="54"/>
        <v>0</v>
      </c>
      <c r="X84" s="317">
        <f t="shared" si="55"/>
        <v>0</v>
      </c>
      <c r="Y84" s="317">
        <f t="shared" si="56"/>
        <v>0</v>
      </c>
      <c r="Z84" s="317">
        <f t="shared" si="57"/>
        <v>0</v>
      </c>
      <c r="AA84" s="317">
        <f t="shared" si="58"/>
        <v>0</v>
      </c>
      <c r="AB84" s="317">
        <f t="shared" si="59"/>
        <v>0</v>
      </c>
      <c r="AC84" s="317">
        <f t="shared" si="60"/>
        <v>0</v>
      </c>
      <c r="AD84" s="317">
        <f t="shared" si="61"/>
        <v>0</v>
      </c>
      <c r="AE84" s="317">
        <f t="shared" si="62"/>
        <v>0</v>
      </c>
      <c r="AF84" s="317">
        <f t="shared" si="87"/>
        <v>0</v>
      </c>
      <c r="AG84" s="317">
        <f t="shared" si="88"/>
        <v>0</v>
      </c>
      <c r="AH84" s="317">
        <f t="shared" si="63"/>
        <v>0</v>
      </c>
      <c r="AI84" s="317">
        <f t="shared" si="64"/>
        <v>0</v>
      </c>
      <c r="AJ84" s="317">
        <f t="shared" si="65"/>
        <v>0</v>
      </c>
      <c r="AK84" s="317">
        <f t="shared" si="66"/>
        <v>0</v>
      </c>
      <c r="AL84" s="317">
        <f t="shared" si="67"/>
        <v>0</v>
      </c>
      <c r="AM84" s="317">
        <f t="shared" si="68"/>
        <v>0</v>
      </c>
      <c r="AN84" s="317">
        <f t="shared" si="69"/>
        <v>0</v>
      </c>
      <c r="AO84" s="317">
        <f t="shared" si="70"/>
        <v>0</v>
      </c>
      <c r="AP84" s="317">
        <f t="shared" si="71"/>
        <v>0</v>
      </c>
      <c r="AQ84" s="317">
        <f t="shared" si="72"/>
        <v>0</v>
      </c>
      <c r="AR84" s="317">
        <f t="shared" si="73"/>
        <v>0</v>
      </c>
      <c r="AS84" s="317">
        <f t="shared" si="74"/>
        <v>0</v>
      </c>
      <c r="AT84" s="317">
        <f t="shared" si="75"/>
        <v>0</v>
      </c>
      <c r="AU84" s="317">
        <f t="shared" si="76"/>
        <v>0</v>
      </c>
      <c r="AV84" s="317">
        <f t="shared" si="77"/>
        <v>0</v>
      </c>
      <c r="AW84" s="317">
        <f t="shared" si="78"/>
        <v>0</v>
      </c>
      <c r="AX84" s="317">
        <f t="shared" si="79"/>
        <v>0</v>
      </c>
      <c r="AY84" s="317">
        <f t="shared" si="80"/>
        <v>0</v>
      </c>
      <c r="AZ84" s="317">
        <f t="shared" si="81"/>
        <v>0</v>
      </c>
      <c r="BA84" s="317">
        <f t="shared" si="82"/>
        <v>0</v>
      </c>
    </row>
    <row r="85" spans="1:53" s="314" customFormat="1" ht="16.5" customHeight="1">
      <c r="A85" s="63" t="str">
        <f t="array" ref="A85">IF(C85&lt;&gt;0,SUM(($C$11:C85&lt;&gt;0)*1),"")</f>
        <v/>
      </c>
      <c r="B85" s="315"/>
      <c r="C85" s="315"/>
      <c r="D85" s="315"/>
      <c r="E85" s="433"/>
      <c r="F85" s="371"/>
      <c r="G85" s="373"/>
      <c r="H85" s="373"/>
      <c r="I85" s="63" t="str">
        <f t="shared" si="0"/>
        <v/>
      </c>
      <c r="J85" s="317">
        <f t="shared" si="45"/>
        <v>0</v>
      </c>
      <c r="K85" s="317">
        <f t="shared" si="46"/>
        <v>0</v>
      </c>
      <c r="L85" s="317">
        <f t="shared" si="47"/>
        <v>0</v>
      </c>
      <c r="M85" s="317">
        <f t="shared" si="48"/>
        <v>0</v>
      </c>
      <c r="N85" s="317">
        <f t="shared" si="83"/>
        <v>0</v>
      </c>
      <c r="O85" s="317">
        <f t="shared" si="84"/>
        <v>0</v>
      </c>
      <c r="P85" s="317">
        <f t="shared" si="49"/>
        <v>0</v>
      </c>
      <c r="Q85" s="317">
        <f t="shared" si="50"/>
        <v>0</v>
      </c>
      <c r="R85" s="317">
        <f t="shared" si="51"/>
        <v>0</v>
      </c>
      <c r="S85" s="317">
        <f t="shared" si="52"/>
        <v>0</v>
      </c>
      <c r="T85" s="317">
        <f t="shared" si="85"/>
        <v>0</v>
      </c>
      <c r="U85" s="317">
        <f t="shared" si="86"/>
        <v>0</v>
      </c>
      <c r="V85" s="317">
        <f t="shared" si="53"/>
        <v>0</v>
      </c>
      <c r="W85" s="317">
        <f t="shared" si="54"/>
        <v>0</v>
      </c>
      <c r="X85" s="317">
        <f t="shared" si="55"/>
        <v>0</v>
      </c>
      <c r="Y85" s="317">
        <f t="shared" si="56"/>
        <v>0</v>
      </c>
      <c r="Z85" s="317">
        <f t="shared" si="57"/>
        <v>0</v>
      </c>
      <c r="AA85" s="317">
        <f t="shared" si="58"/>
        <v>0</v>
      </c>
      <c r="AB85" s="317">
        <f t="shared" si="59"/>
        <v>0</v>
      </c>
      <c r="AC85" s="317">
        <f t="shared" si="60"/>
        <v>0</v>
      </c>
      <c r="AD85" s="317">
        <f t="shared" si="61"/>
        <v>0</v>
      </c>
      <c r="AE85" s="317">
        <f t="shared" si="62"/>
        <v>0</v>
      </c>
      <c r="AF85" s="317">
        <f t="shared" si="87"/>
        <v>0</v>
      </c>
      <c r="AG85" s="317">
        <f t="shared" si="88"/>
        <v>0</v>
      </c>
      <c r="AH85" s="317">
        <f t="shared" si="63"/>
        <v>0</v>
      </c>
      <c r="AI85" s="317">
        <f t="shared" si="64"/>
        <v>0</v>
      </c>
      <c r="AJ85" s="317">
        <f t="shared" si="65"/>
        <v>0</v>
      </c>
      <c r="AK85" s="317">
        <f t="shared" si="66"/>
        <v>0</v>
      </c>
      <c r="AL85" s="317">
        <f t="shared" si="67"/>
        <v>0</v>
      </c>
      <c r="AM85" s="317">
        <f t="shared" si="68"/>
        <v>0</v>
      </c>
      <c r="AN85" s="317">
        <f t="shared" si="69"/>
        <v>0</v>
      </c>
      <c r="AO85" s="317">
        <f t="shared" si="70"/>
        <v>0</v>
      </c>
      <c r="AP85" s="317">
        <f t="shared" si="71"/>
        <v>0</v>
      </c>
      <c r="AQ85" s="317">
        <f t="shared" si="72"/>
        <v>0</v>
      </c>
      <c r="AR85" s="317">
        <f t="shared" si="73"/>
        <v>0</v>
      </c>
      <c r="AS85" s="317">
        <f t="shared" si="74"/>
        <v>0</v>
      </c>
      <c r="AT85" s="317">
        <f t="shared" si="75"/>
        <v>0</v>
      </c>
      <c r="AU85" s="317">
        <f t="shared" si="76"/>
        <v>0</v>
      </c>
      <c r="AV85" s="317">
        <f t="shared" si="77"/>
        <v>0</v>
      </c>
      <c r="AW85" s="317">
        <f t="shared" si="78"/>
        <v>0</v>
      </c>
      <c r="AX85" s="317">
        <f t="shared" si="79"/>
        <v>0</v>
      </c>
      <c r="AY85" s="317">
        <f t="shared" si="80"/>
        <v>0</v>
      </c>
      <c r="AZ85" s="317">
        <f t="shared" si="81"/>
        <v>0</v>
      </c>
      <c r="BA85" s="317">
        <f t="shared" si="82"/>
        <v>0</v>
      </c>
    </row>
    <row r="86" spans="1:53" s="314" customFormat="1" ht="16.5" customHeight="1">
      <c r="A86" s="63" t="str">
        <f t="array" ref="A86">IF(C86&lt;&gt;0,SUM(($C$11:C86&lt;&gt;0)*1),"")</f>
        <v/>
      </c>
      <c r="B86" s="315"/>
      <c r="C86" s="315"/>
      <c r="D86" s="315"/>
      <c r="E86" s="433"/>
      <c r="F86" s="371"/>
      <c r="G86" s="373"/>
      <c r="H86" s="373"/>
      <c r="I86" s="63" t="str">
        <f t="shared" si="0"/>
        <v/>
      </c>
      <c r="J86" s="317">
        <f t="shared" si="45"/>
        <v>0</v>
      </c>
      <c r="K86" s="317">
        <f t="shared" si="46"/>
        <v>0</v>
      </c>
      <c r="L86" s="317">
        <f t="shared" si="47"/>
        <v>0</v>
      </c>
      <c r="M86" s="317">
        <f t="shared" si="48"/>
        <v>0</v>
      </c>
      <c r="N86" s="317">
        <f t="shared" si="83"/>
        <v>0</v>
      </c>
      <c r="O86" s="317">
        <f t="shared" si="84"/>
        <v>0</v>
      </c>
      <c r="P86" s="317">
        <f t="shared" si="49"/>
        <v>0</v>
      </c>
      <c r="Q86" s="317">
        <f t="shared" si="50"/>
        <v>0</v>
      </c>
      <c r="R86" s="317">
        <f t="shared" si="51"/>
        <v>0</v>
      </c>
      <c r="S86" s="317">
        <f t="shared" si="52"/>
        <v>0</v>
      </c>
      <c r="T86" s="317">
        <f t="shared" si="85"/>
        <v>0</v>
      </c>
      <c r="U86" s="317">
        <f t="shared" si="86"/>
        <v>0</v>
      </c>
      <c r="V86" s="317">
        <f t="shared" si="53"/>
        <v>0</v>
      </c>
      <c r="W86" s="317">
        <f t="shared" si="54"/>
        <v>0</v>
      </c>
      <c r="X86" s="317">
        <f t="shared" si="55"/>
        <v>0</v>
      </c>
      <c r="Y86" s="317">
        <f t="shared" si="56"/>
        <v>0</v>
      </c>
      <c r="Z86" s="317">
        <f t="shared" si="57"/>
        <v>0</v>
      </c>
      <c r="AA86" s="317">
        <f t="shared" si="58"/>
        <v>0</v>
      </c>
      <c r="AB86" s="317">
        <f t="shared" si="59"/>
        <v>0</v>
      </c>
      <c r="AC86" s="317">
        <f t="shared" si="60"/>
        <v>0</v>
      </c>
      <c r="AD86" s="317">
        <f t="shared" si="61"/>
        <v>0</v>
      </c>
      <c r="AE86" s="317">
        <f t="shared" si="62"/>
        <v>0</v>
      </c>
      <c r="AF86" s="317">
        <f t="shared" si="87"/>
        <v>0</v>
      </c>
      <c r="AG86" s="317">
        <f t="shared" si="88"/>
        <v>0</v>
      </c>
      <c r="AH86" s="317">
        <f t="shared" si="63"/>
        <v>0</v>
      </c>
      <c r="AI86" s="317">
        <f t="shared" si="64"/>
        <v>0</v>
      </c>
      <c r="AJ86" s="317">
        <f t="shared" si="65"/>
        <v>0</v>
      </c>
      <c r="AK86" s="317">
        <f t="shared" si="66"/>
        <v>0</v>
      </c>
      <c r="AL86" s="317">
        <f t="shared" si="67"/>
        <v>0</v>
      </c>
      <c r="AM86" s="317">
        <f t="shared" si="68"/>
        <v>0</v>
      </c>
      <c r="AN86" s="317">
        <f t="shared" si="69"/>
        <v>0</v>
      </c>
      <c r="AO86" s="317">
        <f t="shared" si="70"/>
        <v>0</v>
      </c>
      <c r="AP86" s="317">
        <f t="shared" si="71"/>
        <v>0</v>
      </c>
      <c r="AQ86" s="317">
        <f t="shared" si="72"/>
        <v>0</v>
      </c>
      <c r="AR86" s="317">
        <f t="shared" si="73"/>
        <v>0</v>
      </c>
      <c r="AS86" s="317">
        <f t="shared" si="74"/>
        <v>0</v>
      </c>
      <c r="AT86" s="317">
        <f t="shared" si="75"/>
        <v>0</v>
      </c>
      <c r="AU86" s="317">
        <f t="shared" si="76"/>
        <v>0</v>
      </c>
      <c r="AV86" s="317">
        <f t="shared" si="77"/>
        <v>0</v>
      </c>
      <c r="AW86" s="317">
        <f t="shared" si="78"/>
        <v>0</v>
      </c>
      <c r="AX86" s="317">
        <f t="shared" si="79"/>
        <v>0</v>
      </c>
      <c r="AY86" s="317">
        <f t="shared" si="80"/>
        <v>0</v>
      </c>
      <c r="AZ86" s="317">
        <f t="shared" si="81"/>
        <v>0</v>
      </c>
      <c r="BA86" s="317">
        <f t="shared" si="82"/>
        <v>0</v>
      </c>
    </row>
    <row r="87" spans="1:53" s="314" customFormat="1" ht="16.5" customHeight="1">
      <c r="A87" s="63" t="str">
        <f t="array" ref="A87">IF(C87&lt;&gt;0,SUM(($C$11:C87&lt;&gt;0)*1),"")</f>
        <v/>
      </c>
      <c r="B87" s="315"/>
      <c r="C87" s="315"/>
      <c r="D87" s="315"/>
      <c r="E87" s="433"/>
      <c r="F87" s="371"/>
      <c r="G87" s="373"/>
      <c r="H87" s="373"/>
      <c r="I87" s="63" t="str">
        <f t="shared" si="0"/>
        <v/>
      </c>
      <c r="J87" s="317">
        <f t="shared" si="45"/>
        <v>0</v>
      </c>
      <c r="K87" s="317">
        <f t="shared" si="46"/>
        <v>0</v>
      </c>
      <c r="L87" s="317">
        <f t="shared" si="47"/>
        <v>0</v>
      </c>
      <c r="M87" s="317">
        <f t="shared" si="48"/>
        <v>0</v>
      </c>
      <c r="N87" s="317">
        <f t="shared" si="83"/>
        <v>0</v>
      </c>
      <c r="O87" s="317">
        <f t="shared" si="84"/>
        <v>0</v>
      </c>
      <c r="P87" s="317">
        <f t="shared" si="49"/>
        <v>0</v>
      </c>
      <c r="Q87" s="317">
        <f t="shared" si="50"/>
        <v>0</v>
      </c>
      <c r="R87" s="317">
        <f t="shared" si="51"/>
        <v>0</v>
      </c>
      <c r="S87" s="317">
        <f t="shared" si="52"/>
        <v>0</v>
      </c>
      <c r="T87" s="317">
        <f t="shared" si="85"/>
        <v>0</v>
      </c>
      <c r="U87" s="317">
        <f t="shared" si="86"/>
        <v>0</v>
      </c>
      <c r="V87" s="317">
        <f t="shared" si="53"/>
        <v>0</v>
      </c>
      <c r="W87" s="317">
        <f t="shared" si="54"/>
        <v>0</v>
      </c>
      <c r="X87" s="317">
        <f t="shared" si="55"/>
        <v>0</v>
      </c>
      <c r="Y87" s="317">
        <f t="shared" si="56"/>
        <v>0</v>
      </c>
      <c r="Z87" s="317">
        <f t="shared" si="57"/>
        <v>0</v>
      </c>
      <c r="AA87" s="317">
        <f t="shared" si="58"/>
        <v>0</v>
      </c>
      <c r="AB87" s="317">
        <f t="shared" si="59"/>
        <v>0</v>
      </c>
      <c r="AC87" s="317">
        <f t="shared" si="60"/>
        <v>0</v>
      </c>
      <c r="AD87" s="317">
        <f t="shared" si="61"/>
        <v>0</v>
      </c>
      <c r="AE87" s="317">
        <f t="shared" si="62"/>
        <v>0</v>
      </c>
      <c r="AF87" s="317">
        <f t="shared" si="87"/>
        <v>0</v>
      </c>
      <c r="AG87" s="317">
        <f t="shared" si="88"/>
        <v>0</v>
      </c>
      <c r="AH87" s="317">
        <f t="shared" si="63"/>
        <v>0</v>
      </c>
      <c r="AI87" s="317">
        <f t="shared" si="64"/>
        <v>0</v>
      </c>
      <c r="AJ87" s="317">
        <f t="shared" si="65"/>
        <v>0</v>
      </c>
      <c r="AK87" s="317">
        <f t="shared" si="66"/>
        <v>0</v>
      </c>
      <c r="AL87" s="317">
        <f t="shared" si="67"/>
        <v>0</v>
      </c>
      <c r="AM87" s="317">
        <f t="shared" si="68"/>
        <v>0</v>
      </c>
      <c r="AN87" s="317">
        <f t="shared" si="69"/>
        <v>0</v>
      </c>
      <c r="AO87" s="317">
        <f t="shared" si="70"/>
        <v>0</v>
      </c>
      <c r="AP87" s="317">
        <f t="shared" si="71"/>
        <v>0</v>
      </c>
      <c r="AQ87" s="317">
        <f t="shared" si="72"/>
        <v>0</v>
      </c>
      <c r="AR87" s="317">
        <f t="shared" si="73"/>
        <v>0</v>
      </c>
      <c r="AS87" s="317">
        <f t="shared" si="74"/>
        <v>0</v>
      </c>
      <c r="AT87" s="317">
        <f t="shared" si="75"/>
        <v>0</v>
      </c>
      <c r="AU87" s="317">
        <f t="shared" si="76"/>
        <v>0</v>
      </c>
      <c r="AV87" s="317">
        <f t="shared" si="77"/>
        <v>0</v>
      </c>
      <c r="AW87" s="317">
        <f t="shared" si="78"/>
        <v>0</v>
      </c>
      <c r="AX87" s="317">
        <f t="shared" si="79"/>
        <v>0</v>
      </c>
      <c r="AY87" s="317">
        <f t="shared" si="80"/>
        <v>0</v>
      </c>
      <c r="AZ87" s="317">
        <f t="shared" si="81"/>
        <v>0</v>
      </c>
      <c r="BA87" s="317">
        <f t="shared" si="82"/>
        <v>0</v>
      </c>
    </row>
    <row r="88" spans="1:53" s="314" customFormat="1" ht="16.5" customHeight="1">
      <c r="A88" s="63" t="str">
        <f t="array" ref="A88">IF(C88&lt;&gt;0,SUM(($C$11:C88&lt;&gt;0)*1),"")</f>
        <v/>
      </c>
      <c r="B88" s="315"/>
      <c r="C88" s="315"/>
      <c r="D88" s="315"/>
      <c r="E88" s="433"/>
      <c r="F88" s="371"/>
      <c r="G88" s="373"/>
      <c r="H88" s="373"/>
      <c r="I88" s="63" t="str">
        <f t="shared" si="0"/>
        <v/>
      </c>
      <c r="J88" s="317">
        <f t="shared" si="45"/>
        <v>0</v>
      </c>
      <c r="K88" s="317">
        <f t="shared" si="46"/>
        <v>0</v>
      </c>
      <c r="L88" s="317">
        <f t="shared" si="47"/>
        <v>0</v>
      </c>
      <c r="M88" s="317">
        <f t="shared" si="48"/>
        <v>0</v>
      </c>
      <c r="N88" s="317">
        <f t="shared" si="83"/>
        <v>0</v>
      </c>
      <c r="O88" s="317">
        <f t="shared" si="84"/>
        <v>0</v>
      </c>
      <c r="P88" s="317">
        <f t="shared" si="49"/>
        <v>0</v>
      </c>
      <c r="Q88" s="317">
        <f t="shared" si="50"/>
        <v>0</v>
      </c>
      <c r="R88" s="317">
        <f t="shared" si="51"/>
        <v>0</v>
      </c>
      <c r="S88" s="317">
        <f t="shared" si="52"/>
        <v>0</v>
      </c>
      <c r="T88" s="317">
        <f t="shared" si="85"/>
        <v>0</v>
      </c>
      <c r="U88" s="317">
        <f t="shared" si="86"/>
        <v>0</v>
      </c>
      <c r="V88" s="317">
        <f t="shared" si="53"/>
        <v>0</v>
      </c>
      <c r="W88" s="317">
        <f t="shared" si="54"/>
        <v>0</v>
      </c>
      <c r="X88" s="317">
        <f t="shared" si="55"/>
        <v>0</v>
      </c>
      <c r="Y88" s="317">
        <f t="shared" si="56"/>
        <v>0</v>
      </c>
      <c r="Z88" s="317">
        <f t="shared" si="57"/>
        <v>0</v>
      </c>
      <c r="AA88" s="317">
        <f t="shared" si="58"/>
        <v>0</v>
      </c>
      <c r="AB88" s="317">
        <f t="shared" si="59"/>
        <v>0</v>
      </c>
      <c r="AC88" s="317">
        <f t="shared" si="60"/>
        <v>0</v>
      </c>
      <c r="AD88" s="317">
        <f t="shared" si="61"/>
        <v>0</v>
      </c>
      <c r="AE88" s="317">
        <f t="shared" si="62"/>
        <v>0</v>
      </c>
      <c r="AF88" s="317">
        <f t="shared" si="87"/>
        <v>0</v>
      </c>
      <c r="AG88" s="317">
        <f t="shared" si="88"/>
        <v>0</v>
      </c>
      <c r="AH88" s="317">
        <f t="shared" si="63"/>
        <v>0</v>
      </c>
      <c r="AI88" s="317">
        <f t="shared" si="64"/>
        <v>0</v>
      </c>
      <c r="AJ88" s="317">
        <f t="shared" si="65"/>
        <v>0</v>
      </c>
      <c r="AK88" s="317">
        <f t="shared" si="66"/>
        <v>0</v>
      </c>
      <c r="AL88" s="317">
        <f t="shared" si="67"/>
        <v>0</v>
      </c>
      <c r="AM88" s="317">
        <f t="shared" si="68"/>
        <v>0</v>
      </c>
      <c r="AN88" s="317">
        <f t="shared" si="69"/>
        <v>0</v>
      </c>
      <c r="AO88" s="317">
        <f t="shared" si="70"/>
        <v>0</v>
      </c>
      <c r="AP88" s="317">
        <f t="shared" si="71"/>
        <v>0</v>
      </c>
      <c r="AQ88" s="317">
        <f t="shared" si="72"/>
        <v>0</v>
      </c>
      <c r="AR88" s="317">
        <f t="shared" si="73"/>
        <v>0</v>
      </c>
      <c r="AS88" s="317">
        <f t="shared" si="74"/>
        <v>0</v>
      </c>
      <c r="AT88" s="317">
        <f t="shared" si="75"/>
        <v>0</v>
      </c>
      <c r="AU88" s="317">
        <f t="shared" si="76"/>
        <v>0</v>
      </c>
      <c r="AV88" s="317">
        <f t="shared" si="77"/>
        <v>0</v>
      </c>
      <c r="AW88" s="317">
        <f t="shared" si="78"/>
        <v>0</v>
      </c>
      <c r="AX88" s="317">
        <f t="shared" si="79"/>
        <v>0</v>
      </c>
      <c r="AY88" s="317">
        <f t="shared" si="80"/>
        <v>0</v>
      </c>
      <c r="AZ88" s="317">
        <f t="shared" si="81"/>
        <v>0</v>
      </c>
      <c r="BA88" s="317">
        <f t="shared" si="82"/>
        <v>0</v>
      </c>
    </row>
    <row r="89" spans="1:53" s="314" customFormat="1" ht="16.5" customHeight="1">
      <c r="A89" s="63" t="str">
        <f t="array" ref="A89">IF(C89&lt;&gt;0,SUM(($C$11:C89&lt;&gt;0)*1),"")</f>
        <v/>
      </c>
      <c r="B89" s="315"/>
      <c r="C89" s="315"/>
      <c r="D89" s="315"/>
      <c r="E89" s="433"/>
      <c r="F89" s="371"/>
      <c r="G89" s="373"/>
      <c r="H89" s="373"/>
      <c r="I89" s="63" t="str">
        <f t="shared" si="0"/>
        <v/>
      </c>
      <c r="J89" s="317">
        <f t="shared" si="45"/>
        <v>0</v>
      </c>
      <c r="K89" s="317">
        <f t="shared" si="46"/>
        <v>0</v>
      </c>
      <c r="L89" s="317">
        <f t="shared" si="47"/>
        <v>0</v>
      </c>
      <c r="M89" s="317">
        <f t="shared" si="48"/>
        <v>0</v>
      </c>
      <c r="N89" s="317">
        <f t="shared" si="83"/>
        <v>0</v>
      </c>
      <c r="O89" s="317">
        <f t="shared" si="84"/>
        <v>0</v>
      </c>
      <c r="P89" s="317">
        <f t="shared" si="49"/>
        <v>0</v>
      </c>
      <c r="Q89" s="317">
        <f t="shared" si="50"/>
        <v>0</v>
      </c>
      <c r="R89" s="317">
        <f t="shared" si="51"/>
        <v>0</v>
      </c>
      <c r="S89" s="317">
        <f t="shared" si="52"/>
        <v>0</v>
      </c>
      <c r="T89" s="317">
        <f t="shared" si="85"/>
        <v>0</v>
      </c>
      <c r="U89" s="317">
        <f t="shared" si="86"/>
        <v>0</v>
      </c>
      <c r="V89" s="317">
        <f t="shared" si="53"/>
        <v>0</v>
      </c>
      <c r="W89" s="317">
        <f t="shared" si="54"/>
        <v>0</v>
      </c>
      <c r="X89" s="317">
        <f t="shared" si="55"/>
        <v>0</v>
      </c>
      <c r="Y89" s="317">
        <f t="shared" si="56"/>
        <v>0</v>
      </c>
      <c r="Z89" s="317">
        <f t="shared" si="57"/>
        <v>0</v>
      </c>
      <c r="AA89" s="317">
        <f t="shared" si="58"/>
        <v>0</v>
      </c>
      <c r="AB89" s="317">
        <f t="shared" si="59"/>
        <v>0</v>
      </c>
      <c r="AC89" s="317">
        <f t="shared" si="60"/>
        <v>0</v>
      </c>
      <c r="AD89" s="317">
        <f t="shared" si="61"/>
        <v>0</v>
      </c>
      <c r="AE89" s="317">
        <f t="shared" si="62"/>
        <v>0</v>
      </c>
      <c r="AF89" s="317">
        <f t="shared" si="87"/>
        <v>0</v>
      </c>
      <c r="AG89" s="317">
        <f t="shared" si="88"/>
        <v>0</v>
      </c>
      <c r="AH89" s="317">
        <f t="shared" si="63"/>
        <v>0</v>
      </c>
      <c r="AI89" s="317">
        <f t="shared" si="64"/>
        <v>0</v>
      </c>
      <c r="AJ89" s="317">
        <f t="shared" si="65"/>
        <v>0</v>
      </c>
      <c r="AK89" s="317">
        <f t="shared" si="66"/>
        <v>0</v>
      </c>
      <c r="AL89" s="317">
        <f t="shared" si="67"/>
        <v>0</v>
      </c>
      <c r="AM89" s="317">
        <f t="shared" si="68"/>
        <v>0</v>
      </c>
      <c r="AN89" s="317">
        <f t="shared" si="69"/>
        <v>0</v>
      </c>
      <c r="AO89" s="317">
        <f t="shared" si="70"/>
        <v>0</v>
      </c>
      <c r="AP89" s="317">
        <f t="shared" si="71"/>
        <v>0</v>
      </c>
      <c r="AQ89" s="317">
        <f t="shared" si="72"/>
        <v>0</v>
      </c>
      <c r="AR89" s="317">
        <f t="shared" si="73"/>
        <v>0</v>
      </c>
      <c r="AS89" s="317">
        <f t="shared" si="74"/>
        <v>0</v>
      </c>
      <c r="AT89" s="317">
        <f t="shared" si="75"/>
        <v>0</v>
      </c>
      <c r="AU89" s="317">
        <f t="shared" si="76"/>
        <v>0</v>
      </c>
      <c r="AV89" s="317">
        <f t="shared" si="77"/>
        <v>0</v>
      </c>
      <c r="AW89" s="317">
        <f t="shared" si="78"/>
        <v>0</v>
      </c>
      <c r="AX89" s="317">
        <f t="shared" si="79"/>
        <v>0</v>
      </c>
      <c r="AY89" s="317">
        <f t="shared" si="80"/>
        <v>0</v>
      </c>
      <c r="AZ89" s="317">
        <f t="shared" si="81"/>
        <v>0</v>
      </c>
      <c r="BA89" s="317">
        <f t="shared" si="82"/>
        <v>0</v>
      </c>
    </row>
    <row r="90" spans="1:53" s="314" customFormat="1" ht="16.5" customHeight="1">
      <c r="A90" s="63" t="str">
        <f t="array" ref="A90">IF(C90&lt;&gt;0,SUM(($C$11:C90&lt;&gt;0)*1),"")</f>
        <v/>
      </c>
      <c r="B90" s="315"/>
      <c r="C90" s="315"/>
      <c r="D90" s="315"/>
      <c r="E90" s="433"/>
      <c r="F90" s="371"/>
      <c r="G90" s="373"/>
      <c r="H90" s="373"/>
      <c r="I90" s="63" t="str">
        <f>A90</f>
        <v/>
      </c>
      <c r="J90" s="317">
        <f t="shared" si="45"/>
        <v>0</v>
      </c>
      <c r="K90" s="317">
        <f t="shared" si="46"/>
        <v>0</v>
      </c>
      <c r="L90" s="317">
        <f t="shared" si="47"/>
        <v>0</v>
      </c>
      <c r="M90" s="317">
        <f t="shared" si="48"/>
        <v>0</v>
      </c>
      <c r="N90" s="317">
        <f t="shared" si="83"/>
        <v>0</v>
      </c>
      <c r="O90" s="317">
        <f t="shared" si="84"/>
        <v>0</v>
      </c>
      <c r="P90" s="317">
        <f t="shared" si="49"/>
        <v>0</v>
      </c>
      <c r="Q90" s="317">
        <f t="shared" si="50"/>
        <v>0</v>
      </c>
      <c r="R90" s="317">
        <f t="shared" si="51"/>
        <v>0</v>
      </c>
      <c r="S90" s="317">
        <f t="shared" si="52"/>
        <v>0</v>
      </c>
      <c r="T90" s="317">
        <f t="shared" si="85"/>
        <v>0</v>
      </c>
      <c r="U90" s="317">
        <f t="shared" si="86"/>
        <v>0</v>
      </c>
      <c r="V90" s="317">
        <f t="shared" si="53"/>
        <v>0</v>
      </c>
      <c r="W90" s="317">
        <f t="shared" si="54"/>
        <v>0</v>
      </c>
      <c r="X90" s="317">
        <f t="shared" si="55"/>
        <v>0</v>
      </c>
      <c r="Y90" s="317">
        <f t="shared" si="56"/>
        <v>0</v>
      </c>
      <c r="Z90" s="317">
        <f t="shared" si="57"/>
        <v>0</v>
      </c>
      <c r="AA90" s="317">
        <f t="shared" si="58"/>
        <v>0</v>
      </c>
      <c r="AB90" s="317">
        <f t="shared" si="59"/>
        <v>0</v>
      </c>
      <c r="AC90" s="317">
        <f t="shared" si="60"/>
        <v>0</v>
      </c>
      <c r="AD90" s="317">
        <f t="shared" si="61"/>
        <v>0</v>
      </c>
      <c r="AE90" s="317">
        <f t="shared" si="62"/>
        <v>0</v>
      </c>
      <c r="AF90" s="317">
        <f t="shared" si="87"/>
        <v>0</v>
      </c>
      <c r="AG90" s="317">
        <f t="shared" si="88"/>
        <v>0</v>
      </c>
      <c r="AH90" s="317">
        <f t="shared" si="63"/>
        <v>0</v>
      </c>
      <c r="AI90" s="317">
        <f t="shared" si="64"/>
        <v>0</v>
      </c>
      <c r="AJ90" s="317">
        <f t="shared" si="65"/>
        <v>0</v>
      </c>
      <c r="AK90" s="317">
        <f t="shared" si="66"/>
        <v>0</v>
      </c>
      <c r="AL90" s="317">
        <f t="shared" si="67"/>
        <v>0</v>
      </c>
      <c r="AM90" s="317">
        <f t="shared" si="68"/>
        <v>0</v>
      </c>
      <c r="AN90" s="317">
        <f t="shared" si="69"/>
        <v>0</v>
      </c>
      <c r="AO90" s="317">
        <f t="shared" si="70"/>
        <v>0</v>
      </c>
      <c r="AP90" s="317">
        <f t="shared" si="71"/>
        <v>0</v>
      </c>
      <c r="AQ90" s="317">
        <f t="shared" si="72"/>
        <v>0</v>
      </c>
      <c r="AR90" s="317">
        <f t="shared" si="73"/>
        <v>0</v>
      </c>
      <c r="AS90" s="317">
        <f t="shared" si="74"/>
        <v>0</v>
      </c>
      <c r="AT90" s="317">
        <f t="shared" si="75"/>
        <v>0</v>
      </c>
      <c r="AU90" s="317">
        <f t="shared" si="76"/>
        <v>0</v>
      </c>
      <c r="AV90" s="317">
        <f t="shared" si="77"/>
        <v>0</v>
      </c>
      <c r="AW90" s="317">
        <f t="shared" si="78"/>
        <v>0</v>
      </c>
      <c r="AX90" s="317">
        <f t="shared" si="79"/>
        <v>0</v>
      </c>
      <c r="AY90" s="317">
        <f t="shared" si="80"/>
        <v>0</v>
      </c>
      <c r="AZ90" s="317">
        <f t="shared" si="81"/>
        <v>0</v>
      </c>
      <c r="BA90" s="317">
        <f t="shared" si="82"/>
        <v>0</v>
      </c>
    </row>
    <row r="91" spans="1:53" s="314" customFormat="1" ht="16.5" customHeight="1">
      <c r="A91" s="63" t="str">
        <f t="array" ref="A91">IF(C91&lt;&gt;0,SUM(($C$11:C91&lt;&gt;0)*1),"")</f>
        <v/>
      </c>
      <c r="B91" s="315"/>
      <c r="C91" s="315"/>
      <c r="D91" s="315"/>
      <c r="E91" s="433"/>
      <c r="F91" s="371"/>
      <c r="G91" s="373"/>
      <c r="H91" s="373"/>
      <c r="I91" s="63" t="str">
        <f>A91</f>
        <v/>
      </c>
      <c r="J91" s="317">
        <f t="shared" si="45"/>
        <v>0</v>
      </c>
      <c r="K91" s="317">
        <f t="shared" si="46"/>
        <v>0</v>
      </c>
      <c r="L91" s="317">
        <f t="shared" si="47"/>
        <v>0</v>
      </c>
      <c r="M91" s="317">
        <f t="shared" si="48"/>
        <v>0</v>
      </c>
      <c r="N91" s="317">
        <f t="shared" si="83"/>
        <v>0</v>
      </c>
      <c r="O91" s="317">
        <f t="shared" si="84"/>
        <v>0</v>
      </c>
      <c r="P91" s="317">
        <f t="shared" si="49"/>
        <v>0</v>
      </c>
      <c r="Q91" s="317">
        <f t="shared" si="50"/>
        <v>0</v>
      </c>
      <c r="R91" s="317">
        <f t="shared" si="51"/>
        <v>0</v>
      </c>
      <c r="S91" s="317">
        <f t="shared" si="52"/>
        <v>0</v>
      </c>
      <c r="T91" s="317">
        <f t="shared" si="85"/>
        <v>0</v>
      </c>
      <c r="U91" s="317">
        <f t="shared" si="86"/>
        <v>0</v>
      </c>
      <c r="V91" s="317">
        <f t="shared" si="53"/>
        <v>0</v>
      </c>
      <c r="W91" s="317">
        <f t="shared" si="54"/>
        <v>0</v>
      </c>
      <c r="X91" s="317">
        <f t="shared" si="55"/>
        <v>0</v>
      </c>
      <c r="Y91" s="317">
        <f t="shared" si="56"/>
        <v>0</v>
      </c>
      <c r="Z91" s="317">
        <f t="shared" si="57"/>
        <v>0</v>
      </c>
      <c r="AA91" s="317">
        <f t="shared" si="58"/>
        <v>0</v>
      </c>
      <c r="AB91" s="317">
        <f t="shared" si="59"/>
        <v>0</v>
      </c>
      <c r="AC91" s="317">
        <f t="shared" si="60"/>
        <v>0</v>
      </c>
      <c r="AD91" s="317">
        <f t="shared" si="61"/>
        <v>0</v>
      </c>
      <c r="AE91" s="317">
        <f t="shared" si="62"/>
        <v>0</v>
      </c>
      <c r="AF91" s="317">
        <f t="shared" si="87"/>
        <v>0</v>
      </c>
      <c r="AG91" s="317">
        <f t="shared" si="88"/>
        <v>0</v>
      </c>
      <c r="AH91" s="317">
        <f t="shared" si="63"/>
        <v>0</v>
      </c>
      <c r="AI91" s="317">
        <f t="shared" si="64"/>
        <v>0</v>
      </c>
      <c r="AJ91" s="317">
        <f t="shared" si="65"/>
        <v>0</v>
      </c>
      <c r="AK91" s="317">
        <f t="shared" si="66"/>
        <v>0</v>
      </c>
      <c r="AL91" s="317">
        <f t="shared" si="67"/>
        <v>0</v>
      </c>
      <c r="AM91" s="317">
        <f t="shared" si="68"/>
        <v>0</v>
      </c>
      <c r="AN91" s="317">
        <f t="shared" si="69"/>
        <v>0</v>
      </c>
      <c r="AO91" s="317">
        <f t="shared" si="70"/>
        <v>0</v>
      </c>
      <c r="AP91" s="317">
        <f t="shared" si="71"/>
        <v>0</v>
      </c>
      <c r="AQ91" s="317">
        <f t="shared" si="72"/>
        <v>0</v>
      </c>
      <c r="AR91" s="317">
        <f t="shared" si="73"/>
        <v>0</v>
      </c>
      <c r="AS91" s="317">
        <f t="shared" si="74"/>
        <v>0</v>
      </c>
      <c r="AT91" s="317">
        <f t="shared" si="75"/>
        <v>0</v>
      </c>
      <c r="AU91" s="317">
        <f t="shared" si="76"/>
        <v>0</v>
      </c>
      <c r="AV91" s="317">
        <f t="shared" si="77"/>
        <v>0</v>
      </c>
      <c r="AW91" s="317">
        <f t="shared" si="78"/>
        <v>0</v>
      </c>
      <c r="AX91" s="317">
        <f t="shared" si="79"/>
        <v>0</v>
      </c>
      <c r="AY91" s="317">
        <f t="shared" si="80"/>
        <v>0</v>
      </c>
      <c r="AZ91" s="317">
        <f t="shared" si="81"/>
        <v>0</v>
      </c>
      <c r="BA91" s="317">
        <f t="shared" si="82"/>
        <v>0</v>
      </c>
    </row>
    <row r="92" spans="1:53" s="314" customFormat="1" ht="16.5" customHeight="1">
      <c r="A92" s="63" t="str">
        <f t="array" ref="A92">IF(C92&lt;&gt;0,SUM(($C$11:C92&lt;&gt;0)*1),"")</f>
        <v/>
      </c>
      <c r="B92" s="315"/>
      <c r="C92" s="315"/>
      <c r="D92" s="315"/>
      <c r="E92" s="433"/>
      <c r="F92" s="371"/>
      <c r="G92" s="373"/>
      <c r="H92" s="373"/>
      <c r="I92" s="63" t="str">
        <f>A92</f>
        <v/>
      </c>
      <c r="J92" s="317">
        <f t="shared" si="45"/>
        <v>0</v>
      </c>
      <c r="K92" s="317">
        <f t="shared" si="46"/>
        <v>0</v>
      </c>
      <c r="L92" s="317">
        <f t="shared" si="47"/>
        <v>0</v>
      </c>
      <c r="M92" s="317">
        <f t="shared" si="48"/>
        <v>0</v>
      </c>
      <c r="N92" s="317">
        <f t="shared" si="83"/>
        <v>0</v>
      </c>
      <c r="O92" s="317">
        <f t="shared" si="84"/>
        <v>0</v>
      </c>
      <c r="P92" s="317">
        <f t="shared" si="49"/>
        <v>0</v>
      </c>
      <c r="Q92" s="317">
        <f t="shared" si="50"/>
        <v>0</v>
      </c>
      <c r="R92" s="317">
        <f t="shared" si="51"/>
        <v>0</v>
      </c>
      <c r="S92" s="317">
        <f t="shared" si="52"/>
        <v>0</v>
      </c>
      <c r="T92" s="317">
        <f t="shared" si="85"/>
        <v>0</v>
      </c>
      <c r="U92" s="317">
        <f t="shared" si="86"/>
        <v>0</v>
      </c>
      <c r="V92" s="317">
        <f t="shared" si="53"/>
        <v>0</v>
      </c>
      <c r="W92" s="317">
        <f t="shared" si="54"/>
        <v>0</v>
      </c>
      <c r="X92" s="317">
        <f t="shared" si="55"/>
        <v>0</v>
      </c>
      <c r="Y92" s="317">
        <f t="shared" si="56"/>
        <v>0</v>
      </c>
      <c r="Z92" s="317">
        <f t="shared" si="57"/>
        <v>0</v>
      </c>
      <c r="AA92" s="317">
        <f t="shared" si="58"/>
        <v>0</v>
      </c>
      <c r="AB92" s="317">
        <f t="shared" si="59"/>
        <v>0</v>
      </c>
      <c r="AC92" s="317">
        <f t="shared" si="60"/>
        <v>0</v>
      </c>
      <c r="AD92" s="317">
        <f t="shared" si="61"/>
        <v>0</v>
      </c>
      <c r="AE92" s="317">
        <f t="shared" si="62"/>
        <v>0</v>
      </c>
      <c r="AF92" s="317">
        <f t="shared" si="87"/>
        <v>0</v>
      </c>
      <c r="AG92" s="317">
        <f t="shared" si="88"/>
        <v>0</v>
      </c>
      <c r="AH92" s="317">
        <f t="shared" si="63"/>
        <v>0</v>
      </c>
      <c r="AI92" s="317">
        <f t="shared" si="64"/>
        <v>0</v>
      </c>
      <c r="AJ92" s="317">
        <f t="shared" si="65"/>
        <v>0</v>
      </c>
      <c r="AK92" s="317">
        <f t="shared" si="66"/>
        <v>0</v>
      </c>
      <c r="AL92" s="317">
        <f t="shared" si="67"/>
        <v>0</v>
      </c>
      <c r="AM92" s="317">
        <f t="shared" si="68"/>
        <v>0</v>
      </c>
      <c r="AN92" s="317">
        <f t="shared" si="69"/>
        <v>0</v>
      </c>
      <c r="AO92" s="317">
        <f t="shared" si="70"/>
        <v>0</v>
      </c>
      <c r="AP92" s="317">
        <f t="shared" si="71"/>
        <v>0</v>
      </c>
      <c r="AQ92" s="317">
        <f t="shared" si="72"/>
        <v>0</v>
      </c>
      <c r="AR92" s="317">
        <f t="shared" si="73"/>
        <v>0</v>
      </c>
      <c r="AS92" s="317">
        <f t="shared" si="74"/>
        <v>0</v>
      </c>
      <c r="AT92" s="317">
        <f t="shared" si="75"/>
        <v>0</v>
      </c>
      <c r="AU92" s="317">
        <f t="shared" si="76"/>
        <v>0</v>
      </c>
      <c r="AV92" s="317">
        <f t="shared" si="77"/>
        <v>0</v>
      </c>
      <c r="AW92" s="317">
        <f t="shared" si="78"/>
        <v>0</v>
      </c>
      <c r="AX92" s="317">
        <f t="shared" si="79"/>
        <v>0</v>
      </c>
      <c r="AY92" s="317">
        <f t="shared" si="80"/>
        <v>0</v>
      </c>
      <c r="AZ92" s="317">
        <f t="shared" si="81"/>
        <v>0</v>
      </c>
      <c r="BA92" s="317">
        <f t="shared" si="82"/>
        <v>0</v>
      </c>
    </row>
    <row r="93" spans="1:53" s="314" customFormat="1" ht="16.5" customHeight="1">
      <c r="A93" s="63" t="str">
        <f t="array" ref="A93">IF(C93&lt;&gt;0,SUM(($C$11:C93&lt;&gt;0)*1),"")</f>
        <v/>
      </c>
      <c r="B93" s="315"/>
      <c r="C93" s="315"/>
      <c r="D93" s="315"/>
      <c r="E93" s="433"/>
      <c r="F93" s="371"/>
      <c r="G93" s="373"/>
      <c r="H93" s="373"/>
      <c r="I93" s="63" t="str">
        <f>A93</f>
        <v/>
      </c>
      <c r="J93" s="317">
        <f t="shared" si="45"/>
        <v>0</v>
      </c>
      <c r="K93" s="317">
        <f t="shared" si="46"/>
        <v>0</v>
      </c>
      <c r="L93" s="317">
        <f t="shared" si="47"/>
        <v>0</v>
      </c>
      <c r="M93" s="317">
        <f t="shared" si="48"/>
        <v>0</v>
      </c>
      <c r="N93" s="317">
        <f t="shared" si="83"/>
        <v>0</v>
      </c>
      <c r="O93" s="317">
        <f t="shared" si="84"/>
        <v>0</v>
      </c>
      <c r="P93" s="317">
        <f t="shared" si="49"/>
        <v>0</v>
      </c>
      <c r="Q93" s="317">
        <f t="shared" si="50"/>
        <v>0</v>
      </c>
      <c r="R93" s="317">
        <f t="shared" si="51"/>
        <v>0</v>
      </c>
      <c r="S93" s="317">
        <f t="shared" si="52"/>
        <v>0</v>
      </c>
      <c r="T93" s="317">
        <f t="shared" si="85"/>
        <v>0</v>
      </c>
      <c r="U93" s="317">
        <f t="shared" si="86"/>
        <v>0</v>
      </c>
      <c r="V93" s="317">
        <f t="shared" si="53"/>
        <v>0</v>
      </c>
      <c r="W93" s="317">
        <f t="shared" si="54"/>
        <v>0</v>
      </c>
      <c r="X93" s="317">
        <f t="shared" si="55"/>
        <v>0</v>
      </c>
      <c r="Y93" s="317">
        <f t="shared" si="56"/>
        <v>0</v>
      </c>
      <c r="Z93" s="317">
        <f t="shared" si="57"/>
        <v>0</v>
      </c>
      <c r="AA93" s="317">
        <f t="shared" si="58"/>
        <v>0</v>
      </c>
      <c r="AB93" s="317">
        <f t="shared" si="59"/>
        <v>0</v>
      </c>
      <c r="AC93" s="317">
        <f t="shared" si="60"/>
        <v>0</v>
      </c>
      <c r="AD93" s="317">
        <f t="shared" si="61"/>
        <v>0</v>
      </c>
      <c r="AE93" s="317">
        <f t="shared" si="62"/>
        <v>0</v>
      </c>
      <c r="AF93" s="317">
        <f t="shared" si="87"/>
        <v>0</v>
      </c>
      <c r="AG93" s="317">
        <f t="shared" si="88"/>
        <v>0</v>
      </c>
      <c r="AH93" s="317">
        <f t="shared" si="63"/>
        <v>0</v>
      </c>
      <c r="AI93" s="317">
        <f t="shared" si="64"/>
        <v>0</v>
      </c>
      <c r="AJ93" s="317">
        <f t="shared" si="65"/>
        <v>0</v>
      </c>
      <c r="AK93" s="317">
        <f t="shared" si="66"/>
        <v>0</v>
      </c>
      <c r="AL93" s="317">
        <f t="shared" si="67"/>
        <v>0</v>
      </c>
      <c r="AM93" s="317">
        <f t="shared" si="68"/>
        <v>0</v>
      </c>
      <c r="AN93" s="317">
        <f t="shared" si="69"/>
        <v>0</v>
      </c>
      <c r="AO93" s="317">
        <f t="shared" si="70"/>
        <v>0</v>
      </c>
      <c r="AP93" s="317">
        <f t="shared" si="71"/>
        <v>0</v>
      </c>
      <c r="AQ93" s="317">
        <f t="shared" si="72"/>
        <v>0</v>
      </c>
      <c r="AR93" s="317">
        <f t="shared" si="73"/>
        <v>0</v>
      </c>
      <c r="AS93" s="317">
        <f t="shared" si="74"/>
        <v>0</v>
      </c>
      <c r="AT93" s="317">
        <f t="shared" si="75"/>
        <v>0</v>
      </c>
      <c r="AU93" s="317">
        <f t="shared" si="76"/>
        <v>0</v>
      </c>
      <c r="AV93" s="317">
        <f t="shared" si="77"/>
        <v>0</v>
      </c>
      <c r="AW93" s="317">
        <f t="shared" si="78"/>
        <v>0</v>
      </c>
      <c r="AX93" s="317">
        <f t="shared" si="79"/>
        <v>0</v>
      </c>
      <c r="AY93" s="317">
        <f t="shared" si="80"/>
        <v>0</v>
      </c>
      <c r="AZ93" s="317">
        <f t="shared" si="81"/>
        <v>0</v>
      </c>
      <c r="BA93" s="317">
        <f t="shared" si="82"/>
        <v>0</v>
      </c>
    </row>
    <row r="94" spans="1:53" s="314" customFormat="1" ht="16.5" customHeight="1">
      <c r="A94" s="63" t="str">
        <f t="array" ref="A94">IF(C94&lt;&gt;0,SUM(($C$11:C94&lt;&gt;0)*1),"")</f>
        <v/>
      </c>
      <c r="B94" s="315"/>
      <c r="C94" s="315"/>
      <c r="D94" s="315"/>
      <c r="E94" s="433"/>
      <c r="F94" s="371"/>
      <c r="G94" s="373"/>
      <c r="H94" s="373"/>
      <c r="I94" s="63" t="str">
        <f t="shared" ref="I94:I113" si="89">A94</f>
        <v/>
      </c>
      <c r="J94" s="317">
        <f t="shared" si="45"/>
        <v>0</v>
      </c>
      <c r="K94" s="317">
        <f t="shared" si="46"/>
        <v>0</v>
      </c>
      <c r="L94" s="317">
        <f t="shared" si="47"/>
        <v>0</v>
      </c>
      <c r="M94" s="317">
        <f t="shared" si="48"/>
        <v>0</v>
      </c>
      <c r="N94" s="317">
        <f t="shared" si="83"/>
        <v>0</v>
      </c>
      <c r="O94" s="317">
        <f t="shared" si="84"/>
        <v>0</v>
      </c>
      <c r="P94" s="317">
        <f t="shared" si="49"/>
        <v>0</v>
      </c>
      <c r="Q94" s="317">
        <f t="shared" si="50"/>
        <v>0</v>
      </c>
      <c r="R94" s="317">
        <f t="shared" si="51"/>
        <v>0</v>
      </c>
      <c r="S94" s="317">
        <f t="shared" si="52"/>
        <v>0</v>
      </c>
      <c r="T94" s="317">
        <f t="shared" si="85"/>
        <v>0</v>
      </c>
      <c r="U94" s="317">
        <f t="shared" si="86"/>
        <v>0</v>
      </c>
      <c r="V94" s="317">
        <f t="shared" si="53"/>
        <v>0</v>
      </c>
      <c r="W94" s="317">
        <f t="shared" si="54"/>
        <v>0</v>
      </c>
      <c r="X94" s="317">
        <f t="shared" si="55"/>
        <v>0</v>
      </c>
      <c r="Y94" s="317">
        <f t="shared" si="56"/>
        <v>0</v>
      </c>
      <c r="Z94" s="317">
        <f t="shared" si="57"/>
        <v>0</v>
      </c>
      <c r="AA94" s="317">
        <f t="shared" si="58"/>
        <v>0</v>
      </c>
      <c r="AB94" s="317">
        <f t="shared" si="59"/>
        <v>0</v>
      </c>
      <c r="AC94" s="317">
        <f t="shared" si="60"/>
        <v>0</v>
      </c>
      <c r="AD94" s="317">
        <f t="shared" si="61"/>
        <v>0</v>
      </c>
      <c r="AE94" s="317">
        <f t="shared" si="62"/>
        <v>0</v>
      </c>
      <c r="AF94" s="317">
        <f t="shared" si="87"/>
        <v>0</v>
      </c>
      <c r="AG94" s="317">
        <f t="shared" si="88"/>
        <v>0</v>
      </c>
      <c r="AH94" s="317">
        <f t="shared" si="63"/>
        <v>0</v>
      </c>
      <c r="AI94" s="317">
        <f t="shared" si="64"/>
        <v>0</v>
      </c>
      <c r="AJ94" s="317">
        <f t="shared" si="65"/>
        <v>0</v>
      </c>
      <c r="AK94" s="317">
        <f t="shared" si="66"/>
        <v>0</v>
      </c>
      <c r="AL94" s="317">
        <f t="shared" si="67"/>
        <v>0</v>
      </c>
      <c r="AM94" s="317">
        <f t="shared" si="68"/>
        <v>0</v>
      </c>
      <c r="AN94" s="317">
        <f t="shared" si="69"/>
        <v>0</v>
      </c>
      <c r="AO94" s="317">
        <f t="shared" si="70"/>
        <v>0</v>
      </c>
      <c r="AP94" s="317">
        <f t="shared" si="71"/>
        <v>0</v>
      </c>
      <c r="AQ94" s="317">
        <f t="shared" si="72"/>
        <v>0</v>
      </c>
      <c r="AR94" s="317">
        <f t="shared" si="73"/>
        <v>0</v>
      </c>
      <c r="AS94" s="317">
        <f t="shared" si="74"/>
        <v>0</v>
      </c>
      <c r="AT94" s="317">
        <f t="shared" si="75"/>
        <v>0</v>
      </c>
      <c r="AU94" s="317">
        <f t="shared" si="76"/>
        <v>0</v>
      </c>
      <c r="AV94" s="317">
        <f t="shared" si="77"/>
        <v>0</v>
      </c>
      <c r="AW94" s="317">
        <f t="shared" si="78"/>
        <v>0</v>
      </c>
      <c r="AX94" s="317">
        <f t="shared" si="79"/>
        <v>0</v>
      </c>
      <c r="AY94" s="317">
        <f t="shared" si="80"/>
        <v>0</v>
      </c>
      <c r="AZ94" s="317">
        <f t="shared" si="81"/>
        <v>0</v>
      </c>
      <c r="BA94" s="317">
        <f t="shared" si="82"/>
        <v>0</v>
      </c>
    </row>
    <row r="95" spans="1:53" s="314" customFormat="1" ht="16.5" customHeight="1">
      <c r="A95" s="63" t="str">
        <f t="array" ref="A95">IF(C95&lt;&gt;0,SUM(($C$11:C95&lt;&gt;0)*1),"")</f>
        <v/>
      </c>
      <c r="B95" s="315"/>
      <c r="C95" s="315"/>
      <c r="D95" s="315"/>
      <c r="E95" s="433"/>
      <c r="F95" s="371"/>
      <c r="G95" s="373"/>
      <c r="H95" s="373"/>
      <c r="I95" s="63" t="str">
        <f t="shared" si="89"/>
        <v/>
      </c>
      <c r="J95" s="317">
        <f t="shared" si="45"/>
        <v>0</v>
      </c>
      <c r="K95" s="317">
        <f t="shared" si="46"/>
        <v>0</v>
      </c>
      <c r="L95" s="317">
        <f t="shared" si="47"/>
        <v>0</v>
      </c>
      <c r="M95" s="317">
        <f t="shared" si="48"/>
        <v>0</v>
      </c>
      <c r="N95" s="317">
        <f t="shared" si="83"/>
        <v>0</v>
      </c>
      <c r="O95" s="317">
        <f t="shared" si="84"/>
        <v>0</v>
      </c>
      <c r="P95" s="317">
        <f t="shared" si="49"/>
        <v>0</v>
      </c>
      <c r="Q95" s="317">
        <f t="shared" si="50"/>
        <v>0</v>
      </c>
      <c r="R95" s="317">
        <f t="shared" si="51"/>
        <v>0</v>
      </c>
      <c r="S95" s="317">
        <f t="shared" si="52"/>
        <v>0</v>
      </c>
      <c r="T95" s="317">
        <f t="shared" si="85"/>
        <v>0</v>
      </c>
      <c r="U95" s="317">
        <f t="shared" si="86"/>
        <v>0</v>
      </c>
      <c r="V95" s="317">
        <f t="shared" si="53"/>
        <v>0</v>
      </c>
      <c r="W95" s="317">
        <f t="shared" si="54"/>
        <v>0</v>
      </c>
      <c r="X95" s="317">
        <f t="shared" si="55"/>
        <v>0</v>
      </c>
      <c r="Y95" s="317">
        <f t="shared" si="56"/>
        <v>0</v>
      </c>
      <c r="Z95" s="317">
        <f t="shared" si="57"/>
        <v>0</v>
      </c>
      <c r="AA95" s="317">
        <f t="shared" si="58"/>
        <v>0</v>
      </c>
      <c r="AB95" s="317">
        <f t="shared" si="59"/>
        <v>0</v>
      </c>
      <c r="AC95" s="317">
        <f t="shared" si="60"/>
        <v>0</v>
      </c>
      <c r="AD95" s="317">
        <f t="shared" si="61"/>
        <v>0</v>
      </c>
      <c r="AE95" s="317">
        <f t="shared" si="62"/>
        <v>0</v>
      </c>
      <c r="AF95" s="317">
        <f t="shared" si="87"/>
        <v>0</v>
      </c>
      <c r="AG95" s="317">
        <f t="shared" si="88"/>
        <v>0</v>
      </c>
      <c r="AH95" s="317">
        <f t="shared" si="63"/>
        <v>0</v>
      </c>
      <c r="AI95" s="317">
        <f t="shared" si="64"/>
        <v>0</v>
      </c>
      <c r="AJ95" s="317">
        <f t="shared" si="65"/>
        <v>0</v>
      </c>
      <c r="AK95" s="317">
        <f t="shared" si="66"/>
        <v>0</v>
      </c>
      <c r="AL95" s="317">
        <f t="shared" si="67"/>
        <v>0</v>
      </c>
      <c r="AM95" s="317">
        <f t="shared" si="68"/>
        <v>0</v>
      </c>
      <c r="AN95" s="317">
        <f t="shared" si="69"/>
        <v>0</v>
      </c>
      <c r="AO95" s="317">
        <f t="shared" si="70"/>
        <v>0</v>
      </c>
      <c r="AP95" s="317">
        <f t="shared" si="71"/>
        <v>0</v>
      </c>
      <c r="AQ95" s="317">
        <f t="shared" si="72"/>
        <v>0</v>
      </c>
      <c r="AR95" s="317">
        <f t="shared" si="73"/>
        <v>0</v>
      </c>
      <c r="AS95" s="317">
        <f t="shared" si="74"/>
        <v>0</v>
      </c>
      <c r="AT95" s="317">
        <f t="shared" si="75"/>
        <v>0</v>
      </c>
      <c r="AU95" s="317">
        <f t="shared" si="76"/>
        <v>0</v>
      </c>
      <c r="AV95" s="317">
        <f t="shared" si="77"/>
        <v>0</v>
      </c>
      <c r="AW95" s="317">
        <f t="shared" si="78"/>
        <v>0</v>
      </c>
      <c r="AX95" s="317">
        <f t="shared" si="79"/>
        <v>0</v>
      </c>
      <c r="AY95" s="317">
        <f t="shared" si="80"/>
        <v>0</v>
      </c>
      <c r="AZ95" s="317">
        <f t="shared" si="81"/>
        <v>0</v>
      </c>
      <c r="BA95" s="317">
        <f t="shared" si="82"/>
        <v>0</v>
      </c>
    </row>
    <row r="96" spans="1:53" s="314" customFormat="1" ht="16.5" customHeight="1">
      <c r="A96" s="63" t="str">
        <f t="array" ref="A96">IF(C96&lt;&gt;0,SUM(($C$11:C96&lt;&gt;0)*1),"")</f>
        <v/>
      </c>
      <c r="B96" s="315"/>
      <c r="C96" s="315"/>
      <c r="D96" s="315"/>
      <c r="E96" s="433"/>
      <c r="F96" s="371"/>
      <c r="G96" s="373"/>
      <c r="H96" s="373"/>
      <c r="I96" s="63" t="str">
        <f t="shared" si="89"/>
        <v/>
      </c>
      <c r="J96" s="317">
        <f t="shared" si="45"/>
        <v>0</v>
      </c>
      <c r="K96" s="317">
        <f t="shared" si="46"/>
        <v>0</v>
      </c>
      <c r="L96" s="317">
        <f t="shared" si="47"/>
        <v>0</v>
      </c>
      <c r="M96" s="317">
        <f t="shared" si="48"/>
        <v>0</v>
      </c>
      <c r="N96" s="317">
        <f t="shared" si="83"/>
        <v>0</v>
      </c>
      <c r="O96" s="317">
        <f t="shared" si="84"/>
        <v>0</v>
      </c>
      <c r="P96" s="317">
        <f t="shared" si="49"/>
        <v>0</v>
      </c>
      <c r="Q96" s="317">
        <f t="shared" si="50"/>
        <v>0</v>
      </c>
      <c r="R96" s="317">
        <f t="shared" si="51"/>
        <v>0</v>
      </c>
      <c r="S96" s="317">
        <f t="shared" si="52"/>
        <v>0</v>
      </c>
      <c r="T96" s="317">
        <f t="shared" si="85"/>
        <v>0</v>
      </c>
      <c r="U96" s="317">
        <f t="shared" si="86"/>
        <v>0</v>
      </c>
      <c r="V96" s="317">
        <f t="shared" si="53"/>
        <v>0</v>
      </c>
      <c r="W96" s="317">
        <f t="shared" si="54"/>
        <v>0</v>
      </c>
      <c r="X96" s="317">
        <f t="shared" si="55"/>
        <v>0</v>
      </c>
      <c r="Y96" s="317">
        <f t="shared" si="56"/>
        <v>0</v>
      </c>
      <c r="Z96" s="317">
        <f t="shared" si="57"/>
        <v>0</v>
      </c>
      <c r="AA96" s="317">
        <f t="shared" si="58"/>
        <v>0</v>
      </c>
      <c r="AB96" s="317">
        <f t="shared" si="59"/>
        <v>0</v>
      </c>
      <c r="AC96" s="317">
        <f t="shared" si="60"/>
        <v>0</v>
      </c>
      <c r="AD96" s="317">
        <f t="shared" si="61"/>
        <v>0</v>
      </c>
      <c r="AE96" s="317">
        <f t="shared" si="62"/>
        <v>0</v>
      </c>
      <c r="AF96" s="317">
        <f t="shared" si="87"/>
        <v>0</v>
      </c>
      <c r="AG96" s="317">
        <f t="shared" si="88"/>
        <v>0</v>
      </c>
      <c r="AH96" s="317">
        <f t="shared" si="63"/>
        <v>0</v>
      </c>
      <c r="AI96" s="317">
        <f t="shared" si="64"/>
        <v>0</v>
      </c>
      <c r="AJ96" s="317">
        <f t="shared" si="65"/>
        <v>0</v>
      </c>
      <c r="AK96" s="317">
        <f t="shared" si="66"/>
        <v>0</v>
      </c>
      <c r="AL96" s="317">
        <f t="shared" si="67"/>
        <v>0</v>
      </c>
      <c r="AM96" s="317">
        <f t="shared" si="68"/>
        <v>0</v>
      </c>
      <c r="AN96" s="317">
        <f t="shared" si="69"/>
        <v>0</v>
      </c>
      <c r="AO96" s="317">
        <f t="shared" si="70"/>
        <v>0</v>
      </c>
      <c r="AP96" s="317">
        <f t="shared" si="71"/>
        <v>0</v>
      </c>
      <c r="AQ96" s="317">
        <f t="shared" si="72"/>
        <v>0</v>
      </c>
      <c r="AR96" s="317">
        <f t="shared" si="73"/>
        <v>0</v>
      </c>
      <c r="AS96" s="317">
        <f t="shared" si="74"/>
        <v>0</v>
      </c>
      <c r="AT96" s="317">
        <f t="shared" si="75"/>
        <v>0</v>
      </c>
      <c r="AU96" s="317">
        <f t="shared" si="76"/>
        <v>0</v>
      </c>
      <c r="AV96" s="317">
        <f t="shared" si="77"/>
        <v>0</v>
      </c>
      <c r="AW96" s="317">
        <f t="shared" si="78"/>
        <v>0</v>
      </c>
      <c r="AX96" s="317">
        <f t="shared" si="79"/>
        <v>0</v>
      </c>
      <c r="AY96" s="317">
        <f t="shared" si="80"/>
        <v>0</v>
      </c>
      <c r="AZ96" s="317">
        <f t="shared" si="81"/>
        <v>0</v>
      </c>
      <c r="BA96" s="317">
        <f t="shared" si="82"/>
        <v>0</v>
      </c>
    </row>
    <row r="97" spans="1:53" s="314" customFormat="1" ht="16.5" customHeight="1">
      <c r="A97" s="63" t="str">
        <f t="array" ref="A97">IF(C97&lt;&gt;0,SUM(($C$11:C97&lt;&gt;0)*1),"")</f>
        <v/>
      </c>
      <c r="B97" s="315"/>
      <c r="C97" s="315"/>
      <c r="D97" s="315"/>
      <c r="E97" s="433"/>
      <c r="F97" s="371"/>
      <c r="G97" s="373"/>
      <c r="H97" s="373"/>
      <c r="I97" s="63" t="str">
        <f t="shared" si="89"/>
        <v/>
      </c>
      <c r="J97" s="317">
        <f t="shared" si="45"/>
        <v>0</v>
      </c>
      <c r="K97" s="317">
        <f t="shared" si="46"/>
        <v>0</v>
      </c>
      <c r="L97" s="317">
        <f t="shared" si="47"/>
        <v>0</v>
      </c>
      <c r="M97" s="317">
        <f t="shared" si="48"/>
        <v>0</v>
      </c>
      <c r="N97" s="317">
        <f t="shared" si="83"/>
        <v>0</v>
      </c>
      <c r="O97" s="317">
        <f t="shared" si="84"/>
        <v>0</v>
      </c>
      <c r="P97" s="317">
        <f t="shared" si="49"/>
        <v>0</v>
      </c>
      <c r="Q97" s="317">
        <f t="shared" si="50"/>
        <v>0</v>
      </c>
      <c r="R97" s="317">
        <f t="shared" si="51"/>
        <v>0</v>
      </c>
      <c r="S97" s="317">
        <f t="shared" si="52"/>
        <v>0</v>
      </c>
      <c r="T97" s="317">
        <f t="shared" si="85"/>
        <v>0</v>
      </c>
      <c r="U97" s="317">
        <f t="shared" si="86"/>
        <v>0</v>
      </c>
      <c r="V97" s="317">
        <f t="shared" si="53"/>
        <v>0</v>
      </c>
      <c r="W97" s="317">
        <f t="shared" si="54"/>
        <v>0</v>
      </c>
      <c r="X97" s="317">
        <f t="shared" si="55"/>
        <v>0</v>
      </c>
      <c r="Y97" s="317">
        <f t="shared" si="56"/>
        <v>0</v>
      </c>
      <c r="Z97" s="317">
        <f t="shared" si="57"/>
        <v>0</v>
      </c>
      <c r="AA97" s="317">
        <f t="shared" si="58"/>
        <v>0</v>
      </c>
      <c r="AB97" s="317">
        <f t="shared" si="59"/>
        <v>0</v>
      </c>
      <c r="AC97" s="317">
        <f t="shared" si="60"/>
        <v>0</v>
      </c>
      <c r="AD97" s="317">
        <f t="shared" si="61"/>
        <v>0</v>
      </c>
      <c r="AE97" s="317">
        <f t="shared" si="62"/>
        <v>0</v>
      </c>
      <c r="AF97" s="317">
        <f t="shared" si="87"/>
        <v>0</v>
      </c>
      <c r="AG97" s="317">
        <f t="shared" si="88"/>
        <v>0</v>
      </c>
      <c r="AH97" s="317">
        <f t="shared" si="63"/>
        <v>0</v>
      </c>
      <c r="AI97" s="317">
        <f t="shared" si="64"/>
        <v>0</v>
      </c>
      <c r="AJ97" s="317">
        <f t="shared" si="65"/>
        <v>0</v>
      </c>
      <c r="AK97" s="317">
        <f t="shared" si="66"/>
        <v>0</v>
      </c>
      <c r="AL97" s="317">
        <f t="shared" si="67"/>
        <v>0</v>
      </c>
      <c r="AM97" s="317">
        <f t="shared" si="68"/>
        <v>0</v>
      </c>
      <c r="AN97" s="317">
        <f t="shared" si="69"/>
        <v>0</v>
      </c>
      <c r="AO97" s="317">
        <f t="shared" si="70"/>
        <v>0</v>
      </c>
      <c r="AP97" s="317">
        <f t="shared" si="71"/>
        <v>0</v>
      </c>
      <c r="AQ97" s="317">
        <f t="shared" si="72"/>
        <v>0</v>
      </c>
      <c r="AR97" s="317">
        <f t="shared" si="73"/>
        <v>0</v>
      </c>
      <c r="AS97" s="317">
        <f t="shared" si="74"/>
        <v>0</v>
      </c>
      <c r="AT97" s="317">
        <f t="shared" si="75"/>
        <v>0</v>
      </c>
      <c r="AU97" s="317">
        <f t="shared" si="76"/>
        <v>0</v>
      </c>
      <c r="AV97" s="317">
        <f t="shared" si="77"/>
        <v>0</v>
      </c>
      <c r="AW97" s="317">
        <f t="shared" si="78"/>
        <v>0</v>
      </c>
      <c r="AX97" s="317">
        <f t="shared" si="79"/>
        <v>0</v>
      </c>
      <c r="AY97" s="317">
        <f t="shared" si="80"/>
        <v>0</v>
      </c>
      <c r="AZ97" s="317">
        <f t="shared" si="81"/>
        <v>0</v>
      </c>
      <c r="BA97" s="317">
        <f t="shared" si="82"/>
        <v>0</v>
      </c>
    </row>
    <row r="98" spans="1:53" s="314" customFormat="1" ht="16.5" customHeight="1">
      <c r="A98" s="63" t="str">
        <f t="array" ref="A98">IF(C98&lt;&gt;0,SUM(($C$11:C98&lt;&gt;0)*1),"")</f>
        <v/>
      </c>
      <c r="B98" s="315"/>
      <c r="C98" s="315"/>
      <c r="D98" s="315"/>
      <c r="E98" s="433"/>
      <c r="F98" s="371"/>
      <c r="G98" s="373"/>
      <c r="H98" s="373"/>
      <c r="I98" s="63" t="str">
        <f t="shared" si="89"/>
        <v/>
      </c>
      <c r="J98" s="317">
        <f t="shared" si="45"/>
        <v>0</v>
      </c>
      <c r="K98" s="317">
        <f t="shared" si="46"/>
        <v>0</v>
      </c>
      <c r="L98" s="317">
        <f t="shared" si="47"/>
        <v>0</v>
      </c>
      <c r="M98" s="317">
        <f t="shared" si="48"/>
        <v>0</v>
      </c>
      <c r="N98" s="317">
        <f t="shared" si="83"/>
        <v>0</v>
      </c>
      <c r="O98" s="317">
        <f t="shared" si="84"/>
        <v>0</v>
      </c>
      <c r="P98" s="317">
        <f t="shared" si="49"/>
        <v>0</v>
      </c>
      <c r="Q98" s="317">
        <f t="shared" si="50"/>
        <v>0</v>
      </c>
      <c r="R98" s="317">
        <f t="shared" si="51"/>
        <v>0</v>
      </c>
      <c r="S98" s="317">
        <f t="shared" si="52"/>
        <v>0</v>
      </c>
      <c r="T98" s="317">
        <f t="shared" si="85"/>
        <v>0</v>
      </c>
      <c r="U98" s="317">
        <f t="shared" si="86"/>
        <v>0</v>
      </c>
      <c r="V98" s="317">
        <f t="shared" si="53"/>
        <v>0</v>
      </c>
      <c r="W98" s="317">
        <f t="shared" si="54"/>
        <v>0</v>
      </c>
      <c r="X98" s="317">
        <f t="shared" si="55"/>
        <v>0</v>
      </c>
      <c r="Y98" s="317">
        <f t="shared" si="56"/>
        <v>0</v>
      </c>
      <c r="Z98" s="317">
        <f t="shared" si="57"/>
        <v>0</v>
      </c>
      <c r="AA98" s="317">
        <f t="shared" si="58"/>
        <v>0</v>
      </c>
      <c r="AB98" s="317">
        <f t="shared" si="59"/>
        <v>0</v>
      </c>
      <c r="AC98" s="317">
        <f t="shared" si="60"/>
        <v>0</v>
      </c>
      <c r="AD98" s="317">
        <f t="shared" si="61"/>
        <v>0</v>
      </c>
      <c r="AE98" s="317">
        <f t="shared" si="62"/>
        <v>0</v>
      </c>
      <c r="AF98" s="317">
        <f t="shared" si="87"/>
        <v>0</v>
      </c>
      <c r="AG98" s="317">
        <f t="shared" si="88"/>
        <v>0</v>
      </c>
      <c r="AH98" s="317">
        <f t="shared" si="63"/>
        <v>0</v>
      </c>
      <c r="AI98" s="317">
        <f t="shared" si="64"/>
        <v>0</v>
      </c>
      <c r="AJ98" s="317">
        <f t="shared" si="65"/>
        <v>0</v>
      </c>
      <c r="AK98" s="317">
        <f t="shared" si="66"/>
        <v>0</v>
      </c>
      <c r="AL98" s="317">
        <f t="shared" si="67"/>
        <v>0</v>
      </c>
      <c r="AM98" s="317">
        <f t="shared" si="68"/>
        <v>0</v>
      </c>
      <c r="AN98" s="317">
        <f t="shared" si="69"/>
        <v>0</v>
      </c>
      <c r="AO98" s="317">
        <f t="shared" si="70"/>
        <v>0</v>
      </c>
      <c r="AP98" s="317">
        <f t="shared" si="71"/>
        <v>0</v>
      </c>
      <c r="AQ98" s="317">
        <f t="shared" si="72"/>
        <v>0</v>
      </c>
      <c r="AR98" s="317">
        <f t="shared" si="73"/>
        <v>0</v>
      </c>
      <c r="AS98" s="317">
        <f t="shared" si="74"/>
        <v>0</v>
      </c>
      <c r="AT98" s="317">
        <f t="shared" si="75"/>
        <v>0</v>
      </c>
      <c r="AU98" s="317">
        <f t="shared" si="76"/>
        <v>0</v>
      </c>
      <c r="AV98" s="317">
        <f t="shared" si="77"/>
        <v>0</v>
      </c>
      <c r="AW98" s="317">
        <f t="shared" si="78"/>
        <v>0</v>
      </c>
      <c r="AX98" s="317">
        <f t="shared" si="79"/>
        <v>0</v>
      </c>
      <c r="AY98" s="317">
        <f t="shared" si="80"/>
        <v>0</v>
      </c>
      <c r="AZ98" s="317">
        <f t="shared" si="81"/>
        <v>0</v>
      </c>
      <c r="BA98" s="317">
        <f t="shared" si="82"/>
        <v>0</v>
      </c>
    </row>
    <row r="99" spans="1:53" s="314" customFormat="1" ht="16.5" customHeight="1">
      <c r="A99" s="63" t="str">
        <f t="array" ref="A99">IF(C99&lt;&gt;0,SUM(($C$11:C99&lt;&gt;0)*1),"")</f>
        <v/>
      </c>
      <c r="B99" s="315"/>
      <c r="C99" s="315"/>
      <c r="D99" s="315"/>
      <c r="E99" s="433"/>
      <c r="F99" s="371"/>
      <c r="G99" s="373"/>
      <c r="H99" s="373"/>
      <c r="I99" s="63" t="str">
        <f t="shared" si="89"/>
        <v/>
      </c>
      <c r="J99" s="317">
        <f t="shared" si="45"/>
        <v>0</v>
      </c>
      <c r="K99" s="317">
        <f t="shared" si="46"/>
        <v>0</v>
      </c>
      <c r="L99" s="317">
        <f t="shared" si="47"/>
        <v>0</v>
      </c>
      <c r="M99" s="317">
        <f t="shared" si="48"/>
        <v>0</v>
      </c>
      <c r="N99" s="317">
        <f t="shared" si="83"/>
        <v>0</v>
      </c>
      <c r="O99" s="317">
        <f t="shared" si="84"/>
        <v>0</v>
      </c>
      <c r="P99" s="317">
        <f t="shared" si="49"/>
        <v>0</v>
      </c>
      <c r="Q99" s="317">
        <f t="shared" si="50"/>
        <v>0</v>
      </c>
      <c r="R99" s="317">
        <f t="shared" si="51"/>
        <v>0</v>
      </c>
      <c r="S99" s="317">
        <f t="shared" si="52"/>
        <v>0</v>
      </c>
      <c r="T99" s="317">
        <f t="shared" si="85"/>
        <v>0</v>
      </c>
      <c r="U99" s="317">
        <f t="shared" si="86"/>
        <v>0</v>
      </c>
      <c r="V99" s="317">
        <f t="shared" si="53"/>
        <v>0</v>
      </c>
      <c r="W99" s="317">
        <f t="shared" si="54"/>
        <v>0</v>
      </c>
      <c r="X99" s="317">
        <f t="shared" si="55"/>
        <v>0</v>
      </c>
      <c r="Y99" s="317">
        <f t="shared" si="56"/>
        <v>0</v>
      </c>
      <c r="Z99" s="317">
        <f t="shared" si="57"/>
        <v>0</v>
      </c>
      <c r="AA99" s="317">
        <f t="shared" si="58"/>
        <v>0</v>
      </c>
      <c r="AB99" s="317">
        <f t="shared" si="59"/>
        <v>0</v>
      </c>
      <c r="AC99" s="317">
        <f t="shared" si="60"/>
        <v>0</v>
      </c>
      <c r="AD99" s="317">
        <f t="shared" si="61"/>
        <v>0</v>
      </c>
      <c r="AE99" s="317">
        <f t="shared" si="62"/>
        <v>0</v>
      </c>
      <c r="AF99" s="317">
        <f t="shared" si="87"/>
        <v>0</v>
      </c>
      <c r="AG99" s="317">
        <f t="shared" si="88"/>
        <v>0</v>
      </c>
      <c r="AH99" s="317">
        <f t="shared" si="63"/>
        <v>0</v>
      </c>
      <c r="AI99" s="317">
        <f t="shared" si="64"/>
        <v>0</v>
      </c>
      <c r="AJ99" s="317">
        <f t="shared" si="65"/>
        <v>0</v>
      </c>
      <c r="AK99" s="317">
        <f t="shared" si="66"/>
        <v>0</v>
      </c>
      <c r="AL99" s="317">
        <f t="shared" si="67"/>
        <v>0</v>
      </c>
      <c r="AM99" s="317">
        <f t="shared" si="68"/>
        <v>0</v>
      </c>
      <c r="AN99" s="317">
        <f t="shared" si="69"/>
        <v>0</v>
      </c>
      <c r="AO99" s="317">
        <f t="shared" si="70"/>
        <v>0</v>
      </c>
      <c r="AP99" s="317">
        <f t="shared" si="71"/>
        <v>0</v>
      </c>
      <c r="AQ99" s="317">
        <f t="shared" si="72"/>
        <v>0</v>
      </c>
      <c r="AR99" s="317">
        <f t="shared" si="73"/>
        <v>0</v>
      </c>
      <c r="AS99" s="317">
        <f t="shared" si="74"/>
        <v>0</v>
      </c>
      <c r="AT99" s="317">
        <f t="shared" si="75"/>
        <v>0</v>
      </c>
      <c r="AU99" s="317">
        <f t="shared" si="76"/>
        <v>0</v>
      </c>
      <c r="AV99" s="317">
        <f t="shared" si="77"/>
        <v>0</v>
      </c>
      <c r="AW99" s="317">
        <f t="shared" si="78"/>
        <v>0</v>
      </c>
      <c r="AX99" s="317">
        <f t="shared" si="79"/>
        <v>0</v>
      </c>
      <c r="AY99" s="317">
        <f t="shared" si="80"/>
        <v>0</v>
      </c>
      <c r="AZ99" s="317">
        <f t="shared" si="81"/>
        <v>0</v>
      </c>
      <c r="BA99" s="317">
        <f t="shared" si="82"/>
        <v>0</v>
      </c>
    </row>
    <row r="100" spans="1:53" s="314" customFormat="1" ht="16.5" customHeight="1">
      <c r="A100" s="63" t="str">
        <f t="array" ref="A100">IF(C100&lt;&gt;0,SUM(($C$11:C100&lt;&gt;0)*1),"")</f>
        <v/>
      </c>
      <c r="B100" s="315"/>
      <c r="C100" s="315"/>
      <c r="D100" s="315"/>
      <c r="E100" s="433"/>
      <c r="F100" s="371"/>
      <c r="G100" s="373"/>
      <c r="H100" s="373"/>
      <c r="I100" s="63" t="str">
        <f t="shared" si="89"/>
        <v/>
      </c>
      <c r="J100" s="317">
        <f t="shared" si="45"/>
        <v>0</v>
      </c>
      <c r="K100" s="317">
        <f t="shared" si="46"/>
        <v>0</v>
      </c>
      <c r="L100" s="317">
        <f t="shared" si="47"/>
        <v>0</v>
      </c>
      <c r="M100" s="317">
        <f t="shared" si="48"/>
        <v>0</v>
      </c>
      <c r="N100" s="317">
        <f t="shared" si="83"/>
        <v>0</v>
      </c>
      <c r="O100" s="317">
        <f t="shared" si="84"/>
        <v>0</v>
      </c>
      <c r="P100" s="317">
        <f t="shared" si="49"/>
        <v>0</v>
      </c>
      <c r="Q100" s="317">
        <f t="shared" si="50"/>
        <v>0</v>
      </c>
      <c r="R100" s="317">
        <f t="shared" si="51"/>
        <v>0</v>
      </c>
      <c r="S100" s="317">
        <f t="shared" si="52"/>
        <v>0</v>
      </c>
      <c r="T100" s="317">
        <f t="shared" si="85"/>
        <v>0</v>
      </c>
      <c r="U100" s="317">
        <f t="shared" si="86"/>
        <v>0</v>
      </c>
      <c r="V100" s="317">
        <f t="shared" si="53"/>
        <v>0</v>
      </c>
      <c r="W100" s="317">
        <f t="shared" si="54"/>
        <v>0</v>
      </c>
      <c r="X100" s="317">
        <f t="shared" si="55"/>
        <v>0</v>
      </c>
      <c r="Y100" s="317">
        <f t="shared" si="56"/>
        <v>0</v>
      </c>
      <c r="Z100" s="317">
        <f t="shared" si="57"/>
        <v>0</v>
      </c>
      <c r="AA100" s="317">
        <f t="shared" si="58"/>
        <v>0</v>
      </c>
      <c r="AB100" s="317">
        <f t="shared" si="59"/>
        <v>0</v>
      </c>
      <c r="AC100" s="317">
        <f t="shared" si="60"/>
        <v>0</v>
      </c>
      <c r="AD100" s="317">
        <f t="shared" si="61"/>
        <v>0</v>
      </c>
      <c r="AE100" s="317">
        <f t="shared" si="62"/>
        <v>0</v>
      </c>
      <c r="AF100" s="317">
        <f t="shared" si="87"/>
        <v>0</v>
      </c>
      <c r="AG100" s="317">
        <f t="shared" si="88"/>
        <v>0</v>
      </c>
      <c r="AH100" s="317">
        <f t="shared" si="63"/>
        <v>0</v>
      </c>
      <c r="AI100" s="317">
        <f t="shared" si="64"/>
        <v>0</v>
      </c>
      <c r="AJ100" s="317">
        <f t="shared" si="65"/>
        <v>0</v>
      </c>
      <c r="AK100" s="317">
        <f t="shared" si="66"/>
        <v>0</v>
      </c>
      <c r="AL100" s="317">
        <f t="shared" si="67"/>
        <v>0</v>
      </c>
      <c r="AM100" s="317">
        <f t="shared" si="68"/>
        <v>0</v>
      </c>
      <c r="AN100" s="317">
        <f t="shared" si="69"/>
        <v>0</v>
      </c>
      <c r="AO100" s="317">
        <f t="shared" si="70"/>
        <v>0</v>
      </c>
      <c r="AP100" s="317">
        <f t="shared" si="71"/>
        <v>0</v>
      </c>
      <c r="AQ100" s="317">
        <f t="shared" si="72"/>
        <v>0</v>
      </c>
      <c r="AR100" s="317">
        <f t="shared" si="73"/>
        <v>0</v>
      </c>
      <c r="AS100" s="317">
        <f t="shared" si="74"/>
        <v>0</v>
      </c>
      <c r="AT100" s="317">
        <f t="shared" si="75"/>
        <v>0</v>
      </c>
      <c r="AU100" s="317">
        <f t="shared" si="76"/>
        <v>0</v>
      </c>
      <c r="AV100" s="317">
        <f t="shared" si="77"/>
        <v>0</v>
      </c>
      <c r="AW100" s="317">
        <f t="shared" si="78"/>
        <v>0</v>
      </c>
      <c r="AX100" s="317">
        <f t="shared" si="79"/>
        <v>0</v>
      </c>
      <c r="AY100" s="317">
        <f t="shared" si="80"/>
        <v>0</v>
      </c>
      <c r="AZ100" s="317">
        <f t="shared" si="81"/>
        <v>0</v>
      </c>
      <c r="BA100" s="317">
        <f t="shared" si="82"/>
        <v>0</v>
      </c>
    </row>
    <row r="101" spans="1:53" s="314" customFormat="1" ht="16.5" customHeight="1">
      <c r="A101" s="63" t="str">
        <f t="array" ref="A101">IF(C101&lt;&gt;0,SUM(($C$11:C101&lt;&gt;0)*1),"")</f>
        <v/>
      </c>
      <c r="B101" s="315"/>
      <c r="C101" s="315"/>
      <c r="D101" s="315"/>
      <c r="E101" s="433"/>
      <c r="F101" s="371"/>
      <c r="G101" s="373"/>
      <c r="H101" s="373"/>
      <c r="I101" s="63" t="str">
        <f t="shared" si="89"/>
        <v/>
      </c>
      <c r="J101" s="317">
        <f t="shared" si="45"/>
        <v>0</v>
      </c>
      <c r="K101" s="317">
        <f t="shared" si="46"/>
        <v>0</v>
      </c>
      <c r="L101" s="317">
        <f t="shared" si="47"/>
        <v>0</v>
      </c>
      <c r="M101" s="317">
        <f t="shared" si="48"/>
        <v>0</v>
      </c>
      <c r="N101" s="317">
        <f t="shared" si="83"/>
        <v>0</v>
      </c>
      <c r="O101" s="317">
        <f t="shared" si="84"/>
        <v>0</v>
      </c>
      <c r="P101" s="317">
        <f t="shared" si="49"/>
        <v>0</v>
      </c>
      <c r="Q101" s="317">
        <f t="shared" si="50"/>
        <v>0</v>
      </c>
      <c r="R101" s="317">
        <f t="shared" si="51"/>
        <v>0</v>
      </c>
      <c r="S101" s="317">
        <f t="shared" si="52"/>
        <v>0</v>
      </c>
      <c r="T101" s="317">
        <f t="shared" si="85"/>
        <v>0</v>
      </c>
      <c r="U101" s="317">
        <f t="shared" si="86"/>
        <v>0</v>
      </c>
      <c r="V101" s="317">
        <f t="shared" si="53"/>
        <v>0</v>
      </c>
      <c r="W101" s="317">
        <f t="shared" si="54"/>
        <v>0</v>
      </c>
      <c r="X101" s="317">
        <f t="shared" si="55"/>
        <v>0</v>
      </c>
      <c r="Y101" s="317">
        <f t="shared" si="56"/>
        <v>0</v>
      </c>
      <c r="Z101" s="317">
        <f t="shared" si="57"/>
        <v>0</v>
      </c>
      <c r="AA101" s="317">
        <f t="shared" si="58"/>
        <v>0</v>
      </c>
      <c r="AB101" s="317">
        <f t="shared" si="59"/>
        <v>0</v>
      </c>
      <c r="AC101" s="317">
        <f t="shared" si="60"/>
        <v>0</v>
      </c>
      <c r="AD101" s="317">
        <f t="shared" si="61"/>
        <v>0</v>
      </c>
      <c r="AE101" s="317">
        <f t="shared" si="62"/>
        <v>0</v>
      </c>
      <c r="AF101" s="317">
        <f t="shared" si="87"/>
        <v>0</v>
      </c>
      <c r="AG101" s="317">
        <f t="shared" si="88"/>
        <v>0</v>
      </c>
      <c r="AH101" s="317">
        <f t="shared" si="63"/>
        <v>0</v>
      </c>
      <c r="AI101" s="317">
        <f t="shared" si="64"/>
        <v>0</v>
      </c>
      <c r="AJ101" s="317">
        <f t="shared" si="65"/>
        <v>0</v>
      </c>
      <c r="AK101" s="317">
        <f t="shared" si="66"/>
        <v>0</v>
      </c>
      <c r="AL101" s="317">
        <f t="shared" si="67"/>
        <v>0</v>
      </c>
      <c r="AM101" s="317">
        <f t="shared" si="68"/>
        <v>0</v>
      </c>
      <c r="AN101" s="317">
        <f t="shared" si="69"/>
        <v>0</v>
      </c>
      <c r="AO101" s="317">
        <f t="shared" si="70"/>
        <v>0</v>
      </c>
      <c r="AP101" s="317">
        <f t="shared" si="71"/>
        <v>0</v>
      </c>
      <c r="AQ101" s="317">
        <f t="shared" si="72"/>
        <v>0</v>
      </c>
      <c r="AR101" s="317">
        <f t="shared" si="73"/>
        <v>0</v>
      </c>
      <c r="AS101" s="317">
        <f t="shared" si="74"/>
        <v>0</v>
      </c>
      <c r="AT101" s="317">
        <f t="shared" si="75"/>
        <v>0</v>
      </c>
      <c r="AU101" s="317">
        <f t="shared" si="76"/>
        <v>0</v>
      </c>
      <c r="AV101" s="317">
        <f t="shared" si="77"/>
        <v>0</v>
      </c>
      <c r="AW101" s="317">
        <f t="shared" si="78"/>
        <v>0</v>
      </c>
      <c r="AX101" s="317">
        <f t="shared" si="79"/>
        <v>0</v>
      </c>
      <c r="AY101" s="317">
        <f t="shared" si="80"/>
        <v>0</v>
      </c>
      <c r="AZ101" s="317">
        <f t="shared" si="81"/>
        <v>0</v>
      </c>
      <c r="BA101" s="317">
        <f t="shared" si="82"/>
        <v>0</v>
      </c>
    </row>
    <row r="102" spans="1:53" s="314" customFormat="1" ht="16.5" customHeight="1">
      <c r="A102" s="63" t="str">
        <f t="array" ref="A102">IF(C102&lt;&gt;0,SUM(($C$11:C102&lt;&gt;0)*1),"")</f>
        <v/>
      </c>
      <c r="B102" s="315"/>
      <c r="C102" s="315"/>
      <c r="D102" s="315"/>
      <c r="E102" s="433"/>
      <c r="F102" s="371"/>
      <c r="G102" s="373"/>
      <c r="H102" s="373"/>
      <c r="I102" s="63" t="str">
        <f t="shared" si="89"/>
        <v/>
      </c>
      <c r="J102" s="317">
        <f t="shared" si="45"/>
        <v>0</v>
      </c>
      <c r="K102" s="317">
        <f t="shared" si="46"/>
        <v>0</v>
      </c>
      <c r="L102" s="317">
        <f t="shared" si="47"/>
        <v>0</v>
      </c>
      <c r="M102" s="317">
        <f t="shared" si="48"/>
        <v>0</v>
      </c>
      <c r="N102" s="317">
        <f t="shared" si="83"/>
        <v>0</v>
      </c>
      <c r="O102" s="317">
        <f t="shared" si="84"/>
        <v>0</v>
      </c>
      <c r="P102" s="317">
        <f t="shared" si="49"/>
        <v>0</v>
      </c>
      <c r="Q102" s="317">
        <f t="shared" si="50"/>
        <v>0</v>
      </c>
      <c r="R102" s="317">
        <f t="shared" si="51"/>
        <v>0</v>
      </c>
      <c r="S102" s="317">
        <f t="shared" si="52"/>
        <v>0</v>
      </c>
      <c r="T102" s="317">
        <f t="shared" si="85"/>
        <v>0</v>
      </c>
      <c r="U102" s="317">
        <f t="shared" si="86"/>
        <v>0</v>
      </c>
      <c r="V102" s="317">
        <f t="shared" si="53"/>
        <v>0</v>
      </c>
      <c r="W102" s="317">
        <f t="shared" si="54"/>
        <v>0</v>
      </c>
      <c r="X102" s="317">
        <f t="shared" si="55"/>
        <v>0</v>
      </c>
      <c r="Y102" s="317">
        <f t="shared" si="56"/>
        <v>0</v>
      </c>
      <c r="Z102" s="317">
        <f t="shared" si="57"/>
        <v>0</v>
      </c>
      <c r="AA102" s="317">
        <f t="shared" si="58"/>
        <v>0</v>
      </c>
      <c r="AB102" s="317">
        <f t="shared" si="59"/>
        <v>0</v>
      </c>
      <c r="AC102" s="317">
        <f t="shared" si="60"/>
        <v>0</v>
      </c>
      <c r="AD102" s="317">
        <f t="shared" si="61"/>
        <v>0</v>
      </c>
      <c r="AE102" s="317">
        <f t="shared" si="62"/>
        <v>0</v>
      </c>
      <c r="AF102" s="317">
        <f t="shared" si="87"/>
        <v>0</v>
      </c>
      <c r="AG102" s="317">
        <f t="shared" si="88"/>
        <v>0</v>
      </c>
      <c r="AH102" s="317">
        <f t="shared" si="63"/>
        <v>0</v>
      </c>
      <c r="AI102" s="317">
        <f t="shared" si="64"/>
        <v>0</v>
      </c>
      <c r="AJ102" s="317">
        <f t="shared" si="65"/>
        <v>0</v>
      </c>
      <c r="AK102" s="317">
        <f t="shared" si="66"/>
        <v>0</v>
      </c>
      <c r="AL102" s="317">
        <f t="shared" si="67"/>
        <v>0</v>
      </c>
      <c r="AM102" s="317">
        <f t="shared" si="68"/>
        <v>0</v>
      </c>
      <c r="AN102" s="317">
        <f t="shared" si="69"/>
        <v>0</v>
      </c>
      <c r="AO102" s="317">
        <f t="shared" si="70"/>
        <v>0</v>
      </c>
      <c r="AP102" s="317">
        <f t="shared" si="71"/>
        <v>0</v>
      </c>
      <c r="AQ102" s="317">
        <f t="shared" si="72"/>
        <v>0</v>
      </c>
      <c r="AR102" s="317">
        <f t="shared" si="73"/>
        <v>0</v>
      </c>
      <c r="AS102" s="317">
        <f t="shared" si="74"/>
        <v>0</v>
      </c>
      <c r="AT102" s="317">
        <f t="shared" si="75"/>
        <v>0</v>
      </c>
      <c r="AU102" s="317">
        <f t="shared" si="76"/>
        <v>0</v>
      </c>
      <c r="AV102" s="317">
        <f t="shared" si="77"/>
        <v>0</v>
      </c>
      <c r="AW102" s="317">
        <f t="shared" si="78"/>
        <v>0</v>
      </c>
      <c r="AX102" s="317">
        <f t="shared" si="79"/>
        <v>0</v>
      </c>
      <c r="AY102" s="317">
        <f t="shared" si="80"/>
        <v>0</v>
      </c>
      <c r="AZ102" s="317">
        <f t="shared" si="81"/>
        <v>0</v>
      </c>
      <c r="BA102" s="317">
        <f t="shared" si="82"/>
        <v>0</v>
      </c>
    </row>
    <row r="103" spans="1:53" s="314" customFormat="1" ht="16.5" customHeight="1">
      <c r="A103" s="63" t="str">
        <f t="array" ref="A103">IF(C103&lt;&gt;0,SUM(($C$11:C103&lt;&gt;0)*1),"")</f>
        <v/>
      </c>
      <c r="B103" s="315"/>
      <c r="C103" s="315"/>
      <c r="D103" s="315"/>
      <c r="E103" s="433"/>
      <c r="F103" s="371"/>
      <c r="G103" s="373"/>
      <c r="H103" s="373"/>
      <c r="I103" s="63" t="str">
        <f t="shared" si="89"/>
        <v/>
      </c>
      <c r="J103" s="317">
        <f t="shared" si="45"/>
        <v>0</v>
      </c>
      <c r="K103" s="317">
        <f t="shared" si="46"/>
        <v>0</v>
      </c>
      <c r="L103" s="317">
        <f t="shared" si="47"/>
        <v>0</v>
      </c>
      <c r="M103" s="317">
        <f t="shared" si="48"/>
        <v>0</v>
      </c>
      <c r="N103" s="317">
        <f t="shared" si="83"/>
        <v>0</v>
      </c>
      <c r="O103" s="317">
        <f t="shared" si="84"/>
        <v>0</v>
      </c>
      <c r="P103" s="317">
        <f t="shared" si="49"/>
        <v>0</v>
      </c>
      <c r="Q103" s="317">
        <f t="shared" si="50"/>
        <v>0</v>
      </c>
      <c r="R103" s="317">
        <f t="shared" si="51"/>
        <v>0</v>
      </c>
      <c r="S103" s="317">
        <f t="shared" si="52"/>
        <v>0</v>
      </c>
      <c r="T103" s="317">
        <f t="shared" si="85"/>
        <v>0</v>
      </c>
      <c r="U103" s="317">
        <f t="shared" si="86"/>
        <v>0</v>
      </c>
      <c r="V103" s="317">
        <f t="shared" si="53"/>
        <v>0</v>
      </c>
      <c r="W103" s="317">
        <f t="shared" si="54"/>
        <v>0</v>
      </c>
      <c r="X103" s="317">
        <f t="shared" si="55"/>
        <v>0</v>
      </c>
      <c r="Y103" s="317">
        <f t="shared" si="56"/>
        <v>0</v>
      </c>
      <c r="Z103" s="317">
        <f t="shared" si="57"/>
        <v>0</v>
      </c>
      <c r="AA103" s="317">
        <f t="shared" si="58"/>
        <v>0</v>
      </c>
      <c r="AB103" s="317">
        <f t="shared" si="59"/>
        <v>0</v>
      </c>
      <c r="AC103" s="317">
        <f t="shared" si="60"/>
        <v>0</v>
      </c>
      <c r="AD103" s="317">
        <f t="shared" si="61"/>
        <v>0</v>
      </c>
      <c r="AE103" s="317">
        <f t="shared" si="62"/>
        <v>0</v>
      </c>
      <c r="AF103" s="317">
        <f t="shared" si="87"/>
        <v>0</v>
      </c>
      <c r="AG103" s="317">
        <f t="shared" si="88"/>
        <v>0</v>
      </c>
      <c r="AH103" s="317">
        <f t="shared" si="63"/>
        <v>0</v>
      </c>
      <c r="AI103" s="317">
        <f t="shared" si="64"/>
        <v>0</v>
      </c>
      <c r="AJ103" s="317">
        <f t="shared" si="65"/>
        <v>0</v>
      </c>
      <c r="AK103" s="317">
        <f t="shared" si="66"/>
        <v>0</v>
      </c>
      <c r="AL103" s="317">
        <f t="shared" si="67"/>
        <v>0</v>
      </c>
      <c r="AM103" s="317">
        <f t="shared" si="68"/>
        <v>0</v>
      </c>
      <c r="AN103" s="317">
        <f t="shared" si="69"/>
        <v>0</v>
      </c>
      <c r="AO103" s="317">
        <f t="shared" si="70"/>
        <v>0</v>
      </c>
      <c r="AP103" s="317">
        <f t="shared" si="71"/>
        <v>0</v>
      </c>
      <c r="AQ103" s="317">
        <f t="shared" si="72"/>
        <v>0</v>
      </c>
      <c r="AR103" s="317">
        <f t="shared" si="73"/>
        <v>0</v>
      </c>
      <c r="AS103" s="317">
        <f t="shared" si="74"/>
        <v>0</v>
      </c>
      <c r="AT103" s="317">
        <f t="shared" si="75"/>
        <v>0</v>
      </c>
      <c r="AU103" s="317">
        <f t="shared" si="76"/>
        <v>0</v>
      </c>
      <c r="AV103" s="317">
        <f t="shared" si="77"/>
        <v>0</v>
      </c>
      <c r="AW103" s="317">
        <f t="shared" si="78"/>
        <v>0</v>
      </c>
      <c r="AX103" s="317">
        <f t="shared" si="79"/>
        <v>0</v>
      </c>
      <c r="AY103" s="317">
        <f t="shared" si="80"/>
        <v>0</v>
      </c>
      <c r="AZ103" s="317">
        <f t="shared" si="81"/>
        <v>0</v>
      </c>
      <c r="BA103" s="317">
        <f t="shared" si="82"/>
        <v>0</v>
      </c>
    </row>
    <row r="104" spans="1:53" s="314" customFormat="1" ht="16.5" customHeight="1">
      <c r="A104" s="63" t="str">
        <f t="array" ref="A104">IF(C104&lt;&gt;0,SUM(($C$11:C104&lt;&gt;0)*1),"")</f>
        <v/>
      </c>
      <c r="B104" s="315"/>
      <c r="C104" s="315"/>
      <c r="D104" s="315"/>
      <c r="E104" s="433"/>
      <c r="F104" s="371"/>
      <c r="G104" s="373"/>
      <c r="H104" s="373"/>
      <c r="I104" s="63" t="str">
        <f t="shared" si="89"/>
        <v/>
      </c>
      <c r="J104" s="317">
        <f t="shared" si="45"/>
        <v>0</v>
      </c>
      <c r="K104" s="317">
        <f t="shared" si="46"/>
        <v>0</v>
      </c>
      <c r="L104" s="317">
        <f t="shared" si="47"/>
        <v>0</v>
      </c>
      <c r="M104" s="317">
        <f t="shared" si="48"/>
        <v>0</v>
      </c>
      <c r="N104" s="317">
        <f t="shared" si="83"/>
        <v>0</v>
      </c>
      <c r="O104" s="317">
        <f t="shared" si="84"/>
        <v>0</v>
      </c>
      <c r="P104" s="317">
        <f t="shared" si="49"/>
        <v>0</v>
      </c>
      <c r="Q104" s="317">
        <f t="shared" si="50"/>
        <v>0</v>
      </c>
      <c r="R104" s="317">
        <f t="shared" si="51"/>
        <v>0</v>
      </c>
      <c r="S104" s="317">
        <f t="shared" si="52"/>
        <v>0</v>
      </c>
      <c r="T104" s="317">
        <f t="shared" si="85"/>
        <v>0</v>
      </c>
      <c r="U104" s="317">
        <f t="shared" si="86"/>
        <v>0</v>
      </c>
      <c r="V104" s="317">
        <f t="shared" si="53"/>
        <v>0</v>
      </c>
      <c r="W104" s="317">
        <f t="shared" si="54"/>
        <v>0</v>
      </c>
      <c r="X104" s="317">
        <f t="shared" si="55"/>
        <v>0</v>
      </c>
      <c r="Y104" s="317">
        <f t="shared" si="56"/>
        <v>0</v>
      </c>
      <c r="Z104" s="317">
        <f t="shared" si="57"/>
        <v>0</v>
      </c>
      <c r="AA104" s="317">
        <f t="shared" si="58"/>
        <v>0</v>
      </c>
      <c r="AB104" s="317">
        <f t="shared" si="59"/>
        <v>0</v>
      </c>
      <c r="AC104" s="317">
        <f t="shared" si="60"/>
        <v>0</v>
      </c>
      <c r="AD104" s="317">
        <f t="shared" si="61"/>
        <v>0</v>
      </c>
      <c r="AE104" s="317">
        <f t="shared" si="62"/>
        <v>0</v>
      </c>
      <c r="AF104" s="317">
        <f t="shared" si="87"/>
        <v>0</v>
      </c>
      <c r="AG104" s="317">
        <f t="shared" si="88"/>
        <v>0</v>
      </c>
      <c r="AH104" s="317">
        <f t="shared" si="63"/>
        <v>0</v>
      </c>
      <c r="AI104" s="317">
        <f t="shared" si="64"/>
        <v>0</v>
      </c>
      <c r="AJ104" s="317">
        <f t="shared" si="65"/>
        <v>0</v>
      </c>
      <c r="AK104" s="317">
        <f t="shared" si="66"/>
        <v>0</v>
      </c>
      <c r="AL104" s="317">
        <f t="shared" si="67"/>
        <v>0</v>
      </c>
      <c r="AM104" s="317">
        <f t="shared" si="68"/>
        <v>0</v>
      </c>
      <c r="AN104" s="317">
        <f t="shared" si="69"/>
        <v>0</v>
      </c>
      <c r="AO104" s="317">
        <f t="shared" si="70"/>
        <v>0</v>
      </c>
      <c r="AP104" s="317">
        <f t="shared" si="71"/>
        <v>0</v>
      </c>
      <c r="AQ104" s="317">
        <f t="shared" si="72"/>
        <v>0</v>
      </c>
      <c r="AR104" s="317">
        <f t="shared" si="73"/>
        <v>0</v>
      </c>
      <c r="AS104" s="317">
        <f t="shared" si="74"/>
        <v>0</v>
      </c>
      <c r="AT104" s="317">
        <f t="shared" si="75"/>
        <v>0</v>
      </c>
      <c r="AU104" s="317">
        <f t="shared" si="76"/>
        <v>0</v>
      </c>
      <c r="AV104" s="317">
        <f t="shared" si="77"/>
        <v>0</v>
      </c>
      <c r="AW104" s="317">
        <f t="shared" si="78"/>
        <v>0</v>
      </c>
      <c r="AX104" s="317">
        <f t="shared" si="79"/>
        <v>0</v>
      </c>
      <c r="AY104" s="317">
        <f t="shared" si="80"/>
        <v>0</v>
      </c>
      <c r="AZ104" s="317">
        <f t="shared" si="81"/>
        <v>0</v>
      </c>
      <c r="BA104" s="317">
        <f t="shared" si="82"/>
        <v>0</v>
      </c>
    </row>
    <row r="105" spans="1:53" s="314" customFormat="1" ht="16.5" customHeight="1">
      <c r="A105" s="63" t="str">
        <f t="array" ref="A105">IF(C105&lt;&gt;0,SUM(($C$11:C105&lt;&gt;0)*1),"")</f>
        <v/>
      </c>
      <c r="B105" s="315"/>
      <c r="C105" s="315"/>
      <c r="D105" s="315"/>
      <c r="E105" s="433"/>
      <c r="F105" s="371"/>
      <c r="G105" s="373"/>
      <c r="H105" s="373"/>
      <c r="I105" s="63" t="str">
        <f t="shared" si="89"/>
        <v/>
      </c>
      <c r="J105" s="317">
        <f t="shared" si="45"/>
        <v>0</v>
      </c>
      <c r="K105" s="317">
        <f t="shared" si="46"/>
        <v>0</v>
      </c>
      <c r="L105" s="317">
        <f t="shared" si="47"/>
        <v>0</v>
      </c>
      <c r="M105" s="317">
        <f t="shared" si="48"/>
        <v>0</v>
      </c>
      <c r="N105" s="317">
        <f t="shared" si="83"/>
        <v>0</v>
      </c>
      <c r="O105" s="317">
        <f t="shared" si="84"/>
        <v>0</v>
      </c>
      <c r="P105" s="317">
        <f t="shared" si="49"/>
        <v>0</v>
      </c>
      <c r="Q105" s="317">
        <f t="shared" si="50"/>
        <v>0</v>
      </c>
      <c r="R105" s="317">
        <f t="shared" si="51"/>
        <v>0</v>
      </c>
      <c r="S105" s="317">
        <f t="shared" si="52"/>
        <v>0</v>
      </c>
      <c r="T105" s="317">
        <f t="shared" si="85"/>
        <v>0</v>
      </c>
      <c r="U105" s="317">
        <f t="shared" si="86"/>
        <v>0</v>
      </c>
      <c r="V105" s="317">
        <f t="shared" si="53"/>
        <v>0</v>
      </c>
      <c r="W105" s="317">
        <f t="shared" si="54"/>
        <v>0</v>
      </c>
      <c r="X105" s="317">
        <f t="shared" si="55"/>
        <v>0</v>
      </c>
      <c r="Y105" s="317">
        <f t="shared" si="56"/>
        <v>0</v>
      </c>
      <c r="Z105" s="317">
        <f t="shared" si="57"/>
        <v>0</v>
      </c>
      <c r="AA105" s="317">
        <f t="shared" si="58"/>
        <v>0</v>
      </c>
      <c r="AB105" s="317">
        <f t="shared" si="59"/>
        <v>0</v>
      </c>
      <c r="AC105" s="317">
        <f t="shared" si="60"/>
        <v>0</v>
      </c>
      <c r="AD105" s="317">
        <f t="shared" si="61"/>
        <v>0</v>
      </c>
      <c r="AE105" s="317">
        <f t="shared" si="62"/>
        <v>0</v>
      </c>
      <c r="AF105" s="317">
        <f t="shared" si="87"/>
        <v>0</v>
      </c>
      <c r="AG105" s="317">
        <f t="shared" si="88"/>
        <v>0</v>
      </c>
      <c r="AH105" s="317">
        <f t="shared" si="63"/>
        <v>0</v>
      </c>
      <c r="AI105" s="317">
        <f t="shared" si="64"/>
        <v>0</v>
      </c>
      <c r="AJ105" s="317">
        <f t="shared" si="65"/>
        <v>0</v>
      </c>
      <c r="AK105" s="317">
        <f t="shared" si="66"/>
        <v>0</v>
      </c>
      <c r="AL105" s="317">
        <f t="shared" si="67"/>
        <v>0</v>
      </c>
      <c r="AM105" s="317">
        <f t="shared" si="68"/>
        <v>0</v>
      </c>
      <c r="AN105" s="317">
        <f t="shared" si="69"/>
        <v>0</v>
      </c>
      <c r="AO105" s="317">
        <f t="shared" si="70"/>
        <v>0</v>
      </c>
      <c r="AP105" s="317">
        <f t="shared" si="71"/>
        <v>0</v>
      </c>
      <c r="AQ105" s="317">
        <f t="shared" si="72"/>
        <v>0</v>
      </c>
      <c r="AR105" s="317">
        <f t="shared" si="73"/>
        <v>0</v>
      </c>
      <c r="AS105" s="317">
        <f t="shared" si="74"/>
        <v>0</v>
      </c>
      <c r="AT105" s="317">
        <f t="shared" si="75"/>
        <v>0</v>
      </c>
      <c r="AU105" s="317">
        <f t="shared" si="76"/>
        <v>0</v>
      </c>
      <c r="AV105" s="317">
        <f t="shared" si="77"/>
        <v>0</v>
      </c>
      <c r="AW105" s="317">
        <f t="shared" si="78"/>
        <v>0</v>
      </c>
      <c r="AX105" s="317">
        <f t="shared" si="79"/>
        <v>0</v>
      </c>
      <c r="AY105" s="317">
        <f t="shared" si="80"/>
        <v>0</v>
      </c>
      <c r="AZ105" s="317">
        <f t="shared" si="81"/>
        <v>0</v>
      </c>
      <c r="BA105" s="317">
        <f t="shared" si="82"/>
        <v>0</v>
      </c>
    </row>
    <row r="106" spans="1:53" s="314" customFormat="1" ht="16.5" customHeight="1">
      <c r="A106" s="63" t="str">
        <f t="array" ref="A106">IF(C106&lt;&gt;0,SUM(($C$11:C106&lt;&gt;0)*1),"")</f>
        <v/>
      </c>
      <c r="B106" s="315"/>
      <c r="C106" s="315"/>
      <c r="D106" s="315"/>
      <c r="E106" s="433"/>
      <c r="F106" s="371"/>
      <c r="G106" s="373"/>
      <c r="H106" s="373"/>
      <c r="I106" s="63" t="str">
        <f t="shared" si="89"/>
        <v/>
      </c>
      <c r="J106" s="317">
        <f t="shared" si="45"/>
        <v>0</v>
      </c>
      <c r="K106" s="317">
        <f t="shared" si="46"/>
        <v>0</v>
      </c>
      <c r="L106" s="317">
        <f t="shared" si="47"/>
        <v>0</v>
      </c>
      <c r="M106" s="317">
        <f t="shared" si="48"/>
        <v>0</v>
      </c>
      <c r="N106" s="317">
        <f t="shared" si="83"/>
        <v>0</v>
      </c>
      <c r="O106" s="317">
        <f t="shared" si="84"/>
        <v>0</v>
      </c>
      <c r="P106" s="317">
        <f t="shared" si="49"/>
        <v>0</v>
      </c>
      <c r="Q106" s="317">
        <f t="shared" si="50"/>
        <v>0</v>
      </c>
      <c r="R106" s="317">
        <f t="shared" si="51"/>
        <v>0</v>
      </c>
      <c r="S106" s="317">
        <f t="shared" si="52"/>
        <v>0</v>
      </c>
      <c r="T106" s="317">
        <f t="shared" si="85"/>
        <v>0</v>
      </c>
      <c r="U106" s="317">
        <f t="shared" si="86"/>
        <v>0</v>
      </c>
      <c r="V106" s="317">
        <f t="shared" si="53"/>
        <v>0</v>
      </c>
      <c r="W106" s="317">
        <f t="shared" si="54"/>
        <v>0</v>
      </c>
      <c r="X106" s="317">
        <f t="shared" si="55"/>
        <v>0</v>
      </c>
      <c r="Y106" s="317">
        <f t="shared" si="56"/>
        <v>0</v>
      </c>
      <c r="Z106" s="317">
        <f t="shared" si="57"/>
        <v>0</v>
      </c>
      <c r="AA106" s="317">
        <f t="shared" si="58"/>
        <v>0</v>
      </c>
      <c r="AB106" s="317">
        <f t="shared" si="59"/>
        <v>0</v>
      </c>
      <c r="AC106" s="317">
        <f t="shared" si="60"/>
        <v>0</v>
      </c>
      <c r="AD106" s="317">
        <f t="shared" si="61"/>
        <v>0</v>
      </c>
      <c r="AE106" s="317">
        <f t="shared" si="62"/>
        <v>0</v>
      </c>
      <c r="AF106" s="317">
        <f t="shared" si="87"/>
        <v>0</v>
      </c>
      <c r="AG106" s="317">
        <f t="shared" si="88"/>
        <v>0</v>
      </c>
      <c r="AH106" s="317">
        <f t="shared" si="63"/>
        <v>0</v>
      </c>
      <c r="AI106" s="317">
        <f t="shared" si="64"/>
        <v>0</v>
      </c>
      <c r="AJ106" s="317">
        <f t="shared" si="65"/>
        <v>0</v>
      </c>
      <c r="AK106" s="317">
        <f t="shared" si="66"/>
        <v>0</v>
      </c>
      <c r="AL106" s="317">
        <f t="shared" si="67"/>
        <v>0</v>
      </c>
      <c r="AM106" s="317">
        <f t="shared" si="68"/>
        <v>0</v>
      </c>
      <c r="AN106" s="317">
        <f t="shared" si="69"/>
        <v>0</v>
      </c>
      <c r="AO106" s="317">
        <f t="shared" si="70"/>
        <v>0</v>
      </c>
      <c r="AP106" s="317">
        <f t="shared" si="71"/>
        <v>0</v>
      </c>
      <c r="AQ106" s="317">
        <f t="shared" si="72"/>
        <v>0</v>
      </c>
      <c r="AR106" s="317">
        <f t="shared" si="73"/>
        <v>0</v>
      </c>
      <c r="AS106" s="317">
        <f t="shared" si="74"/>
        <v>0</v>
      </c>
      <c r="AT106" s="317">
        <f t="shared" si="75"/>
        <v>0</v>
      </c>
      <c r="AU106" s="317">
        <f t="shared" si="76"/>
        <v>0</v>
      </c>
      <c r="AV106" s="317">
        <f t="shared" si="77"/>
        <v>0</v>
      </c>
      <c r="AW106" s="317">
        <f t="shared" si="78"/>
        <v>0</v>
      </c>
      <c r="AX106" s="317">
        <f t="shared" si="79"/>
        <v>0</v>
      </c>
      <c r="AY106" s="317">
        <f t="shared" si="80"/>
        <v>0</v>
      </c>
      <c r="AZ106" s="317">
        <f t="shared" si="81"/>
        <v>0</v>
      </c>
      <c r="BA106" s="317">
        <f t="shared" si="82"/>
        <v>0</v>
      </c>
    </row>
    <row r="107" spans="1:53" s="314" customFormat="1" ht="16.5" customHeight="1">
      <c r="A107" s="63" t="str">
        <f t="array" ref="A107">IF(C107&lt;&gt;0,SUM(($C$11:C107&lt;&gt;0)*1),"")</f>
        <v/>
      </c>
      <c r="B107" s="315"/>
      <c r="C107" s="315"/>
      <c r="D107" s="315"/>
      <c r="E107" s="433"/>
      <c r="F107" s="371"/>
      <c r="G107" s="373"/>
      <c r="H107" s="373"/>
      <c r="I107" s="63" t="str">
        <f t="shared" si="89"/>
        <v/>
      </c>
      <c r="J107" s="317">
        <f t="shared" si="45"/>
        <v>0</v>
      </c>
      <c r="K107" s="317">
        <f t="shared" si="46"/>
        <v>0</v>
      </c>
      <c r="L107" s="317">
        <f t="shared" si="47"/>
        <v>0</v>
      </c>
      <c r="M107" s="317">
        <f t="shared" si="48"/>
        <v>0</v>
      </c>
      <c r="N107" s="317">
        <f t="shared" si="83"/>
        <v>0</v>
      </c>
      <c r="O107" s="317">
        <f t="shared" si="84"/>
        <v>0</v>
      </c>
      <c r="P107" s="317">
        <f t="shared" si="49"/>
        <v>0</v>
      </c>
      <c r="Q107" s="317">
        <f t="shared" si="50"/>
        <v>0</v>
      </c>
      <c r="R107" s="317">
        <f t="shared" si="51"/>
        <v>0</v>
      </c>
      <c r="S107" s="317">
        <f t="shared" si="52"/>
        <v>0</v>
      </c>
      <c r="T107" s="317">
        <f t="shared" si="85"/>
        <v>0</v>
      </c>
      <c r="U107" s="317">
        <f t="shared" si="86"/>
        <v>0</v>
      </c>
      <c r="V107" s="317">
        <f t="shared" si="53"/>
        <v>0</v>
      </c>
      <c r="W107" s="317">
        <f t="shared" si="54"/>
        <v>0</v>
      </c>
      <c r="X107" s="317">
        <f t="shared" si="55"/>
        <v>0</v>
      </c>
      <c r="Y107" s="317">
        <f t="shared" si="56"/>
        <v>0</v>
      </c>
      <c r="Z107" s="317">
        <f t="shared" si="57"/>
        <v>0</v>
      </c>
      <c r="AA107" s="317">
        <f t="shared" si="58"/>
        <v>0</v>
      </c>
      <c r="AB107" s="317">
        <f t="shared" si="59"/>
        <v>0</v>
      </c>
      <c r="AC107" s="317">
        <f t="shared" si="60"/>
        <v>0</v>
      </c>
      <c r="AD107" s="317">
        <f t="shared" si="61"/>
        <v>0</v>
      </c>
      <c r="AE107" s="317">
        <f t="shared" si="62"/>
        <v>0</v>
      </c>
      <c r="AF107" s="317">
        <f t="shared" si="87"/>
        <v>0</v>
      </c>
      <c r="AG107" s="317">
        <f t="shared" si="88"/>
        <v>0</v>
      </c>
      <c r="AH107" s="317">
        <f t="shared" si="63"/>
        <v>0</v>
      </c>
      <c r="AI107" s="317">
        <f t="shared" si="64"/>
        <v>0</v>
      </c>
      <c r="AJ107" s="317">
        <f t="shared" si="65"/>
        <v>0</v>
      </c>
      <c r="AK107" s="317">
        <f t="shared" si="66"/>
        <v>0</v>
      </c>
      <c r="AL107" s="317">
        <f t="shared" si="67"/>
        <v>0</v>
      </c>
      <c r="AM107" s="317">
        <f t="shared" si="68"/>
        <v>0</v>
      </c>
      <c r="AN107" s="317">
        <f t="shared" si="69"/>
        <v>0</v>
      </c>
      <c r="AO107" s="317">
        <f t="shared" si="70"/>
        <v>0</v>
      </c>
      <c r="AP107" s="317">
        <f t="shared" si="71"/>
        <v>0</v>
      </c>
      <c r="AQ107" s="317">
        <f t="shared" si="72"/>
        <v>0</v>
      </c>
      <c r="AR107" s="317">
        <f t="shared" si="73"/>
        <v>0</v>
      </c>
      <c r="AS107" s="317">
        <f t="shared" si="74"/>
        <v>0</v>
      </c>
      <c r="AT107" s="317">
        <f t="shared" si="75"/>
        <v>0</v>
      </c>
      <c r="AU107" s="317">
        <f t="shared" si="76"/>
        <v>0</v>
      </c>
      <c r="AV107" s="317">
        <f t="shared" si="77"/>
        <v>0</v>
      </c>
      <c r="AW107" s="317">
        <f t="shared" si="78"/>
        <v>0</v>
      </c>
      <c r="AX107" s="317">
        <f t="shared" si="79"/>
        <v>0</v>
      </c>
      <c r="AY107" s="317">
        <f t="shared" si="80"/>
        <v>0</v>
      </c>
      <c r="AZ107" s="317">
        <f t="shared" si="81"/>
        <v>0</v>
      </c>
      <c r="BA107" s="317">
        <f t="shared" si="82"/>
        <v>0</v>
      </c>
    </row>
    <row r="108" spans="1:53" s="314" customFormat="1" ht="16.5" customHeight="1">
      <c r="A108" s="63" t="str">
        <f t="array" ref="A108">IF(C108&lt;&gt;0,SUM(($C$11:C108&lt;&gt;0)*1),"")</f>
        <v/>
      </c>
      <c r="B108" s="315"/>
      <c r="C108" s="315"/>
      <c r="D108" s="315"/>
      <c r="E108" s="433"/>
      <c r="F108" s="371"/>
      <c r="G108" s="373"/>
      <c r="H108" s="373"/>
      <c r="I108" s="63" t="str">
        <f t="shared" si="89"/>
        <v/>
      </c>
      <c r="J108" s="317">
        <f t="shared" si="45"/>
        <v>0</v>
      </c>
      <c r="K108" s="317">
        <f t="shared" si="46"/>
        <v>0</v>
      </c>
      <c r="L108" s="317">
        <f t="shared" si="47"/>
        <v>0</v>
      </c>
      <c r="M108" s="317">
        <f t="shared" si="48"/>
        <v>0</v>
      </c>
      <c r="N108" s="317">
        <f t="shared" si="83"/>
        <v>0</v>
      </c>
      <c r="O108" s="317">
        <f t="shared" si="84"/>
        <v>0</v>
      </c>
      <c r="P108" s="317">
        <f t="shared" si="49"/>
        <v>0</v>
      </c>
      <c r="Q108" s="317">
        <f t="shared" si="50"/>
        <v>0</v>
      </c>
      <c r="R108" s="317">
        <f t="shared" si="51"/>
        <v>0</v>
      </c>
      <c r="S108" s="317">
        <f t="shared" si="52"/>
        <v>0</v>
      </c>
      <c r="T108" s="317">
        <f t="shared" si="85"/>
        <v>0</v>
      </c>
      <c r="U108" s="317">
        <f t="shared" si="86"/>
        <v>0</v>
      </c>
      <c r="V108" s="317">
        <f t="shared" si="53"/>
        <v>0</v>
      </c>
      <c r="W108" s="317">
        <f t="shared" si="54"/>
        <v>0</v>
      </c>
      <c r="X108" s="317">
        <f t="shared" si="55"/>
        <v>0</v>
      </c>
      <c r="Y108" s="317">
        <f t="shared" si="56"/>
        <v>0</v>
      </c>
      <c r="Z108" s="317">
        <f t="shared" si="57"/>
        <v>0</v>
      </c>
      <c r="AA108" s="317">
        <f t="shared" si="58"/>
        <v>0</v>
      </c>
      <c r="AB108" s="317">
        <f t="shared" si="59"/>
        <v>0</v>
      </c>
      <c r="AC108" s="317">
        <f t="shared" si="60"/>
        <v>0</v>
      </c>
      <c r="AD108" s="317">
        <f t="shared" si="61"/>
        <v>0</v>
      </c>
      <c r="AE108" s="317">
        <f t="shared" si="62"/>
        <v>0</v>
      </c>
      <c r="AF108" s="317">
        <f t="shared" si="87"/>
        <v>0</v>
      </c>
      <c r="AG108" s="317">
        <f t="shared" si="88"/>
        <v>0</v>
      </c>
      <c r="AH108" s="317">
        <f t="shared" si="63"/>
        <v>0</v>
      </c>
      <c r="AI108" s="317">
        <f t="shared" si="64"/>
        <v>0</v>
      </c>
      <c r="AJ108" s="317">
        <f t="shared" si="65"/>
        <v>0</v>
      </c>
      <c r="AK108" s="317">
        <f t="shared" si="66"/>
        <v>0</v>
      </c>
      <c r="AL108" s="317">
        <f t="shared" si="67"/>
        <v>0</v>
      </c>
      <c r="AM108" s="317">
        <f t="shared" si="68"/>
        <v>0</v>
      </c>
      <c r="AN108" s="317">
        <f t="shared" si="69"/>
        <v>0</v>
      </c>
      <c r="AO108" s="317">
        <f t="shared" si="70"/>
        <v>0</v>
      </c>
      <c r="AP108" s="317">
        <f t="shared" si="71"/>
        <v>0</v>
      </c>
      <c r="AQ108" s="317">
        <f t="shared" si="72"/>
        <v>0</v>
      </c>
      <c r="AR108" s="317">
        <f t="shared" si="73"/>
        <v>0</v>
      </c>
      <c r="AS108" s="317">
        <f t="shared" si="74"/>
        <v>0</v>
      </c>
      <c r="AT108" s="317">
        <f t="shared" si="75"/>
        <v>0</v>
      </c>
      <c r="AU108" s="317">
        <f t="shared" si="76"/>
        <v>0</v>
      </c>
      <c r="AV108" s="317">
        <f t="shared" si="77"/>
        <v>0</v>
      </c>
      <c r="AW108" s="317">
        <f t="shared" si="78"/>
        <v>0</v>
      </c>
      <c r="AX108" s="317">
        <f t="shared" si="79"/>
        <v>0</v>
      </c>
      <c r="AY108" s="317">
        <f t="shared" si="80"/>
        <v>0</v>
      </c>
      <c r="AZ108" s="317">
        <f t="shared" si="81"/>
        <v>0</v>
      </c>
      <c r="BA108" s="317">
        <f t="shared" si="82"/>
        <v>0</v>
      </c>
    </row>
    <row r="109" spans="1:53" s="314" customFormat="1" ht="16.5" customHeight="1">
      <c r="A109" s="63" t="str">
        <f t="array" ref="A109">IF(C109&lt;&gt;0,SUM(($C$11:C109&lt;&gt;0)*1),"")</f>
        <v/>
      </c>
      <c r="B109" s="315"/>
      <c r="C109" s="315"/>
      <c r="D109" s="315"/>
      <c r="E109" s="433"/>
      <c r="F109" s="371"/>
      <c r="G109" s="373"/>
      <c r="H109" s="373"/>
      <c r="I109" s="63" t="str">
        <f t="shared" si="89"/>
        <v/>
      </c>
      <c r="J109" s="317">
        <f t="shared" si="45"/>
        <v>0</v>
      </c>
      <c r="K109" s="317">
        <f t="shared" si="46"/>
        <v>0</v>
      </c>
      <c r="L109" s="317">
        <f t="shared" si="47"/>
        <v>0</v>
      </c>
      <c r="M109" s="317">
        <f t="shared" si="48"/>
        <v>0</v>
      </c>
      <c r="N109" s="317">
        <f t="shared" si="83"/>
        <v>0</v>
      </c>
      <c r="O109" s="317">
        <f t="shared" si="84"/>
        <v>0</v>
      </c>
      <c r="P109" s="317">
        <f t="shared" si="49"/>
        <v>0</v>
      </c>
      <c r="Q109" s="317">
        <f t="shared" si="50"/>
        <v>0</v>
      </c>
      <c r="R109" s="317">
        <f t="shared" si="51"/>
        <v>0</v>
      </c>
      <c r="S109" s="317">
        <f t="shared" si="52"/>
        <v>0</v>
      </c>
      <c r="T109" s="317">
        <f t="shared" si="85"/>
        <v>0</v>
      </c>
      <c r="U109" s="317">
        <f t="shared" si="86"/>
        <v>0</v>
      </c>
      <c r="V109" s="317">
        <f t="shared" si="53"/>
        <v>0</v>
      </c>
      <c r="W109" s="317">
        <f t="shared" si="54"/>
        <v>0</v>
      </c>
      <c r="X109" s="317">
        <f t="shared" si="55"/>
        <v>0</v>
      </c>
      <c r="Y109" s="317">
        <f t="shared" si="56"/>
        <v>0</v>
      </c>
      <c r="Z109" s="317">
        <f t="shared" si="57"/>
        <v>0</v>
      </c>
      <c r="AA109" s="317">
        <f t="shared" si="58"/>
        <v>0</v>
      </c>
      <c r="AB109" s="317">
        <f t="shared" si="59"/>
        <v>0</v>
      </c>
      <c r="AC109" s="317">
        <f t="shared" si="60"/>
        <v>0</v>
      </c>
      <c r="AD109" s="317">
        <f t="shared" si="61"/>
        <v>0</v>
      </c>
      <c r="AE109" s="317">
        <f t="shared" si="62"/>
        <v>0</v>
      </c>
      <c r="AF109" s="317">
        <f t="shared" si="87"/>
        <v>0</v>
      </c>
      <c r="AG109" s="317">
        <f t="shared" si="88"/>
        <v>0</v>
      </c>
      <c r="AH109" s="317">
        <f t="shared" si="63"/>
        <v>0</v>
      </c>
      <c r="AI109" s="317">
        <f t="shared" si="64"/>
        <v>0</v>
      </c>
      <c r="AJ109" s="317">
        <f t="shared" si="65"/>
        <v>0</v>
      </c>
      <c r="AK109" s="317">
        <f t="shared" si="66"/>
        <v>0</v>
      </c>
      <c r="AL109" s="317">
        <f t="shared" si="67"/>
        <v>0</v>
      </c>
      <c r="AM109" s="317">
        <f t="shared" si="68"/>
        <v>0</v>
      </c>
      <c r="AN109" s="317">
        <f t="shared" si="69"/>
        <v>0</v>
      </c>
      <c r="AO109" s="317">
        <f t="shared" si="70"/>
        <v>0</v>
      </c>
      <c r="AP109" s="317">
        <f t="shared" si="71"/>
        <v>0</v>
      </c>
      <c r="AQ109" s="317">
        <f t="shared" si="72"/>
        <v>0</v>
      </c>
      <c r="AR109" s="317">
        <f t="shared" si="73"/>
        <v>0</v>
      </c>
      <c r="AS109" s="317">
        <f t="shared" si="74"/>
        <v>0</v>
      </c>
      <c r="AT109" s="317">
        <f t="shared" si="75"/>
        <v>0</v>
      </c>
      <c r="AU109" s="317">
        <f t="shared" si="76"/>
        <v>0</v>
      </c>
      <c r="AV109" s="317">
        <f t="shared" si="77"/>
        <v>0</v>
      </c>
      <c r="AW109" s="317">
        <f t="shared" si="78"/>
        <v>0</v>
      </c>
      <c r="AX109" s="317">
        <f t="shared" si="79"/>
        <v>0</v>
      </c>
      <c r="AY109" s="317">
        <f t="shared" si="80"/>
        <v>0</v>
      </c>
      <c r="AZ109" s="317">
        <f t="shared" si="81"/>
        <v>0</v>
      </c>
      <c r="BA109" s="317">
        <f t="shared" si="82"/>
        <v>0</v>
      </c>
    </row>
    <row r="110" spans="1:53" s="314" customFormat="1" ht="16.5" customHeight="1">
      <c r="A110" s="63" t="str">
        <f t="array" ref="A110">IF(C110&lt;&gt;0,SUM(($C$11:C110&lt;&gt;0)*1),"")</f>
        <v/>
      </c>
      <c r="B110" s="315"/>
      <c r="C110" s="315"/>
      <c r="D110" s="315"/>
      <c r="E110" s="433"/>
      <c r="F110" s="371"/>
      <c r="G110" s="373"/>
      <c r="H110" s="373"/>
      <c r="I110" s="63" t="str">
        <f t="shared" si="89"/>
        <v/>
      </c>
      <c r="J110" s="317">
        <f t="shared" si="45"/>
        <v>0</v>
      </c>
      <c r="K110" s="317">
        <f t="shared" si="46"/>
        <v>0</v>
      </c>
      <c r="L110" s="317">
        <f t="shared" si="47"/>
        <v>0</v>
      </c>
      <c r="M110" s="317">
        <f t="shared" si="48"/>
        <v>0</v>
      </c>
      <c r="N110" s="317">
        <f t="shared" si="83"/>
        <v>0</v>
      </c>
      <c r="O110" s="317">
        <f t="shared" si="84"/>
        <v>0</v>
      </c>
      <c r="P110" s="317">
        <f t="shared" si="49"/>
        <v>0</v>
      </c>
      <c r="Q110" s="317">
        <f t="shared" si="50"/>
        <v>0</v>
      </c>
      <c r="R110" s="317">
        <f t="shared" si="51"/>
        <v>0</v>
      </c>
      <c r="S110" s="317">
        <f t="shared" si="52"/>
        <v>0</v>
      </c>
      <c r="T110" s="317">
        <f t="shared" si="85"/>
        <v>0</v>
      </c>
      <c r="U110" s="317">
        <f t="shared" si="86"/>
        <v>0</v>
      </c>
      <c r="V110" s="317">
        <f t="shared" si="53"/>
        <v>0</v>
      </c>
      <c r="W110" s="317">
        <f t="shared" si="54"/>
        <v>0</v>
      </c>
      <c r="X110" s="317">
        <f t="shared" si="55"/>
        <v>0</v>
      </c>
      <c r="Y110" s="317">
        <f t="shared" si="56"/>
        <v>0</v>
      </c>
      <c r="Z110" s="317">
        <f t="shared" si="57"/>
        <v>0</v>
      </c>
      <c r="AA110" s="317">
        <f t="shared" si="58"/>
        <v>0</v>
      </c>
      <c r="AB110" s="317">
        <f t="shared" si="59"/>
        <v>0</v>
      </c>
      <c r="AC110" s="317">
        <f t="shared" si="60"/>
        <v>0</v>
      </c>
      <c r="AD110" s="317">
        <f t="shared" si="61"/>
        <v>0</v>
      </c>
      <c r="AE110" s="317">
        <f t="shared" si="62"/>
        <v>0</v>
      </c>
      <c r="AF110" s="317">
        <f t="shared" si="87"/>
        <v>0</v>
      </c>
      <c r="AG110" s="317">
        <f t="shared" si="88"/>
        <v>0</v>
      </c>
      <c r="AH110" s="317">
        <f t="shared" si="63"/>
        <v>0</v>
      </c>
      <c r="AI110" s="317">
        <f t="shared" si="64"/>
        <v>0</v>
      </c>
      <c r="AJ110" s="317">
        <f t="shared" si="65"/>
        <v>0</v>
      </c>
      <c r="AK110" s="317">
        <f t="shared" si="66"/>
        <v>0</v>
      </c>
      <c r="AL110" s="317">
        <f t="shared" si="67"/>
        <v>0</v>
      </c>
      <c r="AM110" s="317">
        <f t="shared" si="68"/>
        <v>0</v>
      </c>
      <c r="AN110" s="317">
        <f t="shared" si="69"/>
        <v>0</v>
      </c>
      <c r="AO110" s="317">
        <f t="shared" si="70"/>
        <v>0</v>
      </c>
      <c r="AP110" s="317">
        <f t="shared" si="71"/>
        <v>0</v>
      </c>
      <c r="AQ110" s="317">
        <f t="shared" si="72"/>
        <v>0</v>
      </c>
      <c r="AR110" s="317">
        <f t="shared" si="73"/>
        <v>0</v>
      </c>
      <c r="AS110" s="317">
        <f t="shared" si="74"/>
        <v>0</v>
      </c>
      <c r="AT110" s="317">
        <f t="shared" si="75"/>
        <v>0</v>
      </c>
      <c r="AU110" s="317">
        <f t="shared" si="76"/>
        <v>0</v>
      </c>
      <c r="AV110" s="317">
        <f t="shared" si="77"/>
        <v>0</v>
      </c>
      <c r="AW110" s="317">
        <f t="shared" si="78"/>
        <v>0</v>
      </c>
      <c r="AX110" s="317">
        <f t="shared" si="79"/>
        <v>0</v>
      </c>
      <c r="AY110" s="317">
        <f t="shared" si="80"/>
        <v>0</v>
      </c>
      <c r="AZ110" s="317">
        <f t="shared" si="81"/>
        <v>0</v>
      </c>
      <c r="BA110" s="317">
        <f t="shared" si="82"/>
        <v>0</v>
      </c>
    </row>
    <row r="111" spans="1:53" s="314" customFormat="1" ht="16.5" customHeight="1">
      <c r="A111" s="63" t="str">
        <f t="array" ref="A111">IF(C111&lt;&gt;0,SUM(($C$11:C111&lt;&gt;0)*1),"")</f>
        <v/>
      </c>
      <c r="B111" s="315"/>
      <c r="C111" s="315"/>
      <c r="D111" s="315"/>
      <c r="E111" s="433"/>
      <c r="F111" s="371"/>
      <c r="G111" s="373"/>
      <c r="H111" s="373"/>
      <c r="I111" s="63" t="str">
        <f t="shared" si="89"/>
        <v/>
      </c>
      <c r="J111" s="317">
        <f t="shared" si="45"/>
        <v>0</v>
      </c>
      <c r="K111" s="317">
        <f t="shared" si="46"/>
        <v>0</v>
      </c>
      <c r="L111" s="317">
        <f t="shared" si="47"/>
        <v>0</v>
      </c>
      <c r="M111" s="317">
        <f t="shared" si="48"/>
        <v>0</v>
      </c>
      <c r="N111" s="317">
        <f t="shared" si="83"/>
        <v>0</v>
      </c>
      <c r="O111" s="317">
        <f t="shared" si="84"/>
        <v>0</v>
      </c>
      <c r="P111" s="317">
        <f t="shared" si="49"/>
        <v>0</v>
      </c>
      <c r="Q111" s="317">
        <f t="shared" si="50"/>
        <v>0</v>
      </c>
      <c r="R111" s="317">
        <f t="shared" si="51"/>
        <v>0</v>
      </c>
      <c r="S111" s="317">
        <f t="shared" si="52"/>
        <v>0</v>
      </c>
      <c r="T111" s="317">
        <f t="shared" si="85"/>
        <v>0</v>
      </c>
      <c r="U111" s="317">
        <f t="shared" si="86"/>
        <v>0</v>
      </c>
      <c r="V111" s="317">
        <f t="shared" si="53"/>
        <v>0</v>
      </c>
      <c r="W111" s="317">
        <f t="shared" si="54"/>
        <v>0</v>
      </c>
      <c r="X111" s="317">
        <f t="shared" si="55"/>
        <v>0</v>
      </c>
      <c r="Y111" s="317">
        <f t="shared" si="56"/>
        <v>0</v>
      </c>
      <c r="Z111" s="317">
        <f t="shared" si="57"/>
        <v>0</v>
      </c>
      <c r="AA111" s="317">
        <f t="shared" si="58"/>
        <v>0</v>
      </c>
      <c r="AB111" s="317">
        <f t="shared" si="59"/>
        <v>0</v>
      </c>
      <c r="AC111" s="317">
        <f t="shared" si="60"/>
        <v>0</v>
      </c>
      <c r="AD111" s="317">
        <f t="shared" si="61"/>
        <v>0</v>
      </c>
      <c r="AE111" s="317">
        <f t="shared" si="62"/>
        <v>0</v>
      </c>
      <c r="AF111" s="317">
        <f t="shared" si="87"/>
        <v>0</v>
      </c>
      <c r="AG111" s="317">
        <f t="shared" si="88"/>
        <v>0</v>
      </c>
      <c r="AH111" s="317">
        <f t="shared" si="63"/>
        <v>0</v>
      </c>
      <c r="AI111" s="317">
        <f t="shared" si="64"/>
        <v>0</v>
      </c>
      <c r="AJ111" s="317">
        <f t="shared" si="65"/>
        <v>0</v>
      </c>
      <c r="AK111" s="317">
        <f t="shared" si="66"/>
        <v>0</v>
      </c>
      <c r="AL111" s="317">
        <f t="shared" si="67"/>
        <v>0</v>
      </c>
      <c r="AM111" s="317">
        <f t="shared" si="68"/>
        <v>0</v>
      </c>
      <c r="AN111" s="317">
        <f t="shared" si="69"/>
        <v>0</v>
      </c>
      <c r="AO111" s="317">
        <f t="shared" si="70"/>
        <v>0</v>
      </c>
      <c r="AP111" s="317">
        <f t="shared" si="71"/>
        <v>0</v>
      </c>
      <c r="AQ111" s="317">
        <f t="shared" si="72"/>
        <v>0</v>
      </c>
      <c r="AR111" s="317">
        <f t="shared" si="73"/>
        <v>0</v>
      </c>
      <c r="AS111" s="317">
        <f t="shared" si="74"/>
        <v>0</v>
      </c>
      <c r="AT111" s="317">
        <f t="shared" si="75"/>
        <v>0</v>
      </c>
      <c r="AU111" s="317">
        <f t="shared" si="76"/>
        <v>0</v>
      </c>
      <c r="AV111" s="317">
        <f t="shared" si="77"/>
        <v>0</v>
      </c>
      <c r="AW111" s="317">
        <f t="shared" si="78"/>
        <v>0</v>
      </c>
      <c r="AX111" s="317">
        <f t="shared" si="79"/>
        <v>0</v>
      </c>
      <c r="AY111" s="317">
        <f t="shared" si="80"/>
        <v>0</v>
      </c>
      <c r="AZ111" s="317">
        <f t="shared" si="81"/>
        <v>0</v>
      </c>
      <c r="BA111" s="317">
        <f t="shared" si="82"/>
        <v>0</v>
      </c>
    </row>
    <row r="112" spans="1:53" s="314" customFormat="1" ht="16.5" customHeight="1">
      <c r="A112" s="63" t="str">
        <f t="array" ref="A112">IF(C112&lt;&gt;0,SUM(($C$11:C112&lt;&gt;0)*1),"")</f>
        <v/>
      </c>
      <c r="B112" s="315"/>
      <c r="C112" s="315"/>
      <c r="D112" s="315"/>
      <c r="E112" s="433"/>
      <c r="F112" s="371"/>
      <c r="G112" s="373"/>
      <c r="H112" s="373"/>
      <c r="I112" s="63" t="str">
        <f t="shared" si="89"/>
        <v/>
      </c>
      <c r="J112" s="317">
        <f t="shared" si="45"/>
        <v>0</v>
      </c>
      <c r="K112" s="317">
        <f t="shared" si="46"/>
        <v>0</v>
      </c>
      <c r="L112" s="317">
        <f t="shared" si="47"/>
        <v>0</v>
      </c>
      <c r="M112" s="317">
        <f t="shared" si="48"/>
        <v>0</v>
      </c>
      <c r="N112" s="317">
        <f t="shared" si="83"/>
        <v>0</v>
      </c>
      <c r="O112" s="317">
        <f t="shared" si="84"/>
        <v>0</v>
      </c>
      <c r="P112" s="317">
        <f t="shared" si="49"/>
        <v>0</v>
      </c>
      <c r="Q112" s="317">
        <f t="shared" si="50"/>
        <v>0</v>
      </c>
      <c r="R112" s="317">
        <f t="shared" si="51"/>
        <v>0</v>
      </c>
      <c r="S112" s="317">
        <f t="shared" si="52"/>
        <v>0</v>
      </c>
      <c r="T112" s="317">
        <f t="shared" si="85"/>
        <v>0</v>
      </c>
      <c r="U112" s="317">
        <f t="shared" si="86"/>
        <v>0</v>
      </c>
      <c r="V112" s="317">
        <f t="shared" si="53"/>
        <v>0</v>
      </c>
      <c r="W112" s="317">
        <f t="shared" si="54"/>
        <v>0</v>
      </c>
      <c r="X112" s="317">
        <f t="shared" si="55"/>
        <v>0</v>
      </c>
      <c r="Y112" s="317">
        <f t="shared" si="56"/>
        <v>0</v>
      </c>
      <c r="Z112" s="317">
        <f t="shared" si="57"/>
        <v>0</v>
      </c>
      <c r="AA112" s="317">
        <f t="shared" si="58"/>
        <v>0</v>
      </c>
      <c r="AB112" s="317">
        <f t="shared" si="59"/>
        <v>0</v>
      </c>
      <c r="AC112" s="317">
        <f t="shared" si="60"/>
        <v>0</v>
      </c>
      <c r="AD112" s="317">
        <f t="shared" si="61"/>
        <v>0</v>
      </c>
      <c r="AE112" s="317">
        <f t="shared" si="62"/>
        <v>0</v>
      </c>
      <c r="AF112" s="317">
        <f t="shared" si="87"/>
        <v>0</v>
      </c>
      <c r="AG112" s="317">
        <f t="shared" si="88"/>
        <v>0</v>
      </c>
      <c r="AH112" s="317">
        <f t="shared" si="63"/>
        <v>0</v>
      </c>
      <c r="AI112" s="317">
        <f t="shared" si="64"/>
        <v>0</v>
      </c>
      <c r="AJ112" s="317">
        <f t="shared" si="65"/>
        <v>0</v>
      </c>
      <c r="AK112" s="317">
        <f t="shared" si="66"/>
        <v>0</v>
      </c>
      <c r="AL112" s="317">
        <f t="shared" si="67"/>
        <v>0</v>
      </c>
      <c r="AM112" s="317">
        <f t="shared" si="68"/>
        <v>0</v>
      </c>
      <c r="AN112" s="317">
        <f t="shared" si="69"/>
        <v>0</v>
      </c>
      <c r="AO112" s="317">
        <f t="shared" si="70"/>
        <v>0</v>
      </c>
      <c r="AP112" s="317">
        <f t="shared" si="71"/>
        <v>0</v>
      </c>
      <c r="AQ112" s="317">
        <f t="shared" si="72"/>
        <v>0</v>
      </c>
      <c r="AR112" s="317">
        <f t="shared" si="73"/>
        <v>0</v>
      </c>
      <c r="AS112" s="317">
        <f t="shared" si="74"/>
        <v>0</v>
      </c>
      <c r="AT112" s="317">
        <f t="shared" si="75"/>
        <v>0</v>
      </c>
      <c r="AU112" s="317">
        <f t="shared" si="76"/>
        <v>0</v>
      </c>
      <c r="AV112" s="317">
        <f t="shared" si="77"/>
        <v>0</v>
      </c>
      <c r="AW112" s="317">
        <f t="shared" si="78"/>
        <v>0</v>
      </c>
      <c r="AX112" s="317">
        <f t="shared" si="79"/>
        <v>0</v>
      </c>
      <c r="AY112" s="317">
        <f t="shared" si="80"/>
        <v>0</v>
      </c>
      <c r="AZ112" s="317">
        <f t="shared" si="81"/>
        <v>0</v>
      </c>
      <c r="BA112" s="317">
        <f t="shared" si="82"/>
        <v>0</v>
      </c>
    </row>
    <row r="113" spans="1:53" s="314" customFormat="1" ht="16.5" customHeight="1">
      <c r="A113" s="63" t="str">
        <f t="array" ref="A113">IF(C113&lt;&gt;0,SUM(($C$11:C113&lt;&gt;0)*1),"")</f>
        <v/>
      </c>
      <c r="B113" s="315"/>
      <c r="C113" s="315"/>
      <c r="D113" s="315"/>
      <c r="E113" s="433"/>
      <c r="F113" s="371"/>
      <c r="G113" s="373"/>
      <c r="H113" s="373"/>
      <c r="I113" s="63" t="str">
        <f t="shared" si="89"/>
        <v/>
      </c>
      <c r="J113" s="317">
        <f t="shared" si="45"/>
        <v>0</v>
      </c>
      <c r="K113" s="317">
        <f t="shared" si="46"/>
        <v>0</v>
      </c>
      <c r="L113" s="317">
        <f t="shared" si="47"/>
        <v>0</v>
      </c>
      <c r="M113" s="317">
        <f t="shared" si="48"/>
        <v>0</v>
      </c>
      <c r="N113" s="317">
        <f t="shared" si="83"/>
        <v>0</v>
      </c>
      <c r="O113" s="317">
        <f t="shared" si="84"/>
        <v>0</v>
      </c>
      <c r="P113" s="317">
        <f t="shared" si="49"/>
        <v>0</v>
      </c>
      <c r="Q113" s="317">
        <f t="shared" si="50"/>
        <v>0</v>
      </c>
      <c r="R113" s="317">
        <f t="shared" si="51"/>
        <v>0</v>
      </c>
      <c r="S113" s="317">
        <f t="shared" si="52"/>
        <v>0</v>
      </c>
      <c r="T113" s="317">
        <f t="shared" si="85"/>
        <v>0</v>
      </c>
      <c r="U113" s="317">
        <f t="shared" si="86"/>
        <v>0</v>
      </c>
      <c r="V113" s="317">
        <f t="shared" si="53"/>
        <v>0</v>
      </c>
      <c r="W113" s="317">
        <f t="shared" si="54"/>
        <v>0</v>
      </c>
      <c r="X113" s="317">
        <f t="shared" si="55"/>
        <v>0</v>
      </c>
      <c r="Y113" s="317">
        <f t="shared" si="56"/>
        <v>0</v>
      </c>
      <c r="Z113" s="317">
        <f t="shared" si="57"/>
        <v>0</v>
      </c>
      <c r="AA113" s="317">
        <f t="shared" si="58"/>
        <v>0</v>
      </c>
      <c r="AB113" s="317">
        <f t="shared" si="59"/>
        <v>0</v>
      </c>
      <c r="AC113" s="317">
        <f t="shared" si="60"/>
        <v>0</v>
      </c>
      <c r="AD113" s="317">
        <f t="shared" si="61"/>
        <v>0</v>
      </c>
      <c r="AE113" s="317">
        <f t="shared" si="62"/>
        <v>0</v>
      </c>
      <c r="AF113" s="317">
        <f t="shared" si="87"/>
        <v>0</v>
      </c>
      <c r="AG113" s="317">
        <f t="shared" si="88"/>
        <v>0</v>
      </c>
      <c r="AH113" s="317">
        <f t="shared" si="63"/>
        <v>0</v>
      </c>
      <c r="AI113" s="317">
        <f t="shared" si="64"/>
        <v>0</v>
      </c>
      <c r="AJ113" s="317">
        <f t="shared" si="65"/>
        <v>0</v>
      </c>
      <c r="AK113" s="317">
        <f t="shared" si="66"/>
        <v>0</v>
      </c>
      <c r="AL113" s="317">
        <f t="shared" si="67"/>
        <v>0</v>
      </c>
      <c r="AM113" s="317">
        <f t="shared" si="68"/>
        <v>0</v>
      </c>
      <c r="AN113" s="317">
        <f t="shared" si="69"/>
        <v>0</v>
      </c>
      <c r="AO113" s="317">
        <f t="shared" si="70"/>
        <v>0</v>
      </c>
      <c r="AP113" s="317">
        <f t="shared" si="71"/>
        <v>0</v>
      </c>
      <c r="AQ113" s="317">
        <f t="shared" si="72"/>
        <v>0</v>
      </c>
      <c r="AR113" s="317">
        <f t="shared" si="73"/>
        <v>0</v>
      </c>
      <c r="AS113" s="317">
        <f t="shared" si="74"/>
        <v>0</v>
      </c>
      <c r="AT113" s="317">
        <f t="shared" si="75"/>
        <v>0</v>
      </c>
      <c r="AU113" s="317">
        <f t="shared" si="76"/>
        <v>0</v>
      </c>
      <c r="AV113" s="317">
        <f t="shared" si="77"/>
        <v>0</v>
      </c>
      <c r="AW113" s="317">
        <f t="shared" si="78"/>
        <v>0</v>
      </c>
      <c r="AX113" s="317">
        <f t="shared" si="79"/>
        <v>0</v>
      </c>
      <c r="AY113" s="317">
        <f t="shared" si="80"/>
        <v>0</v>
      </c>
      <c r="AZ113" s="317">
        <f t="shared" si="81"/>
        <v>0</v>
      </c>
      <c r="BA113" s="317">
        <f t="shared" si="82"/>
        <v>0</v>
      </c>
    </row>
    <row r="114" spans="1:53" s="314" customFormat="1" ht="16.5" customHeight="1">
      <c r="A114" s="63" t="str">
        <f t="array" ref="A114">IF(C114&lt;&gt;0,SUM(($C$11:C114&lt;&gt;0)*1),"")</f>
        <v/>
      </c>
      <c r="B114" s="315"/>
      <c r="C114" s="315"/>
      <c r="D114" s="315"/>
      <c r="E114" s="433"/>
      <c r="F114" s="371"/>
      <c r="G114" s="373"/>
      <c r="H114" s="373"/>
      <c r="I114" s="63" t="str">
        <f>A114</f>
        <v/>
      </c>
      <c r="J114" s="317">
        <f>IF($G114="1111",$F114,0)</f>
        <v>0</v>
      </c>
      <c r="K114" s="317">
        <f>IF($H114="1111",$F114,0)</f>
        <v>0</v>
      </c>
      <c r="L114" s="317">
        <f>IF($G114="1121",$F114,0)</f>
        <v>0</v>
      </c>
      <c r="M114" s="317">
        <f>IF($H114="1121",$F114,0)</f>
        <v>0</v>
      </c>
      <c r="N114" s="317">
        <f t="shared" si="83"/>
        <v>0</v>
      </c>
      <c r="O114" s="317">
        <f t="shared" si="84"/>
        <v>0</v>
      </c>
      <c r="P114" s="317">
        <f>IF($G114="1331",$F114,0)</f>
        <v>0</v>
      </c>
      <c r="Q114" s="317">
        <f>IF($H114="1331",$F114,0)</f>
        <v>0</v>
      </c>
      <c r="R114" s="317">
        <f>IF($G114="1388",$F114,0)</f>
        <v>0</v>
      </c>
      <c r="S114" s="317">
        <f>IF($H114="1388",$F114,0)</f>
        <v>0</v>
      </c>
      <c r="T114" s="317">
        <f t="shared" si="85"/>
        <v>0</v>
      </c>
      <c r="U114" s="317">
        <f t="shared" si="86"/>
        <v>0</v>
      </c>
      <c r="V114" s="317">
        <f>IF($G114="331",$F114,0)</f>
        <v>0</v>
      </c>
      <c r="W114" s="317">
        <f>IF($H114="331",$F114,0)</f>
        <v>0</v>
      </c>
      <c r="X114" s="317">
        <f>IF($G114="3334",$F114,0)</f>
        <v>0</v>
      </c>
      <c r="Y114" s="317">
        <f>IF($H114="3334",$F114,0)</f>
        <v>0</v>
      </c>
      <c r="Z114" s="317">
        <f>IF($G114="33382",$F114,0)</f>
        <v>0</v>
      </c>
      <c r="AA114" s="317">
        <f>IF($H114="33382",$F114,0)</f>
        <v>0</v>
      </c>
      <c r="AB114" s="317">
        <f>IF($G114="3388",$F114,0)</f>
        <v>0</v>
      </c>
      <c r="AC114" s="317">
        <f>IF($H114="3388",$F114,0)</f>
        <v>0</v>
      </c>
      <c r="AD114" s="317">
        <f>IF($G114="3411",$F114,0)</f>
        <v>0</v>
      </c>
      <c r="AE114" s="317">
        <f>IF($H114="3411",$F114,0)</f>
        <v>0</v>
      </c>
      <c r="AF114" s="317">
        <f t="shared" si="87"/>
        <v>0</v>
      </c>
      <c r="AG114" s="317">
        <f t="shared" si="88"/>
        <v>0</v>
      </c>
      <c r="AH114" s="317">
        <f>IF($G114="4111",$F114,0)</f>
        <v>0</v>
      </c>
      <c r="AI114" s="317">
        <f>IF($H114="4111",$F114,0)</f>
        <v>0</v>
      </c>
      <c r="AJ114" s="317">
        <f>IF($G114="4211",$F114,0)</f>
        <v>0</v>
      </c>
      <c r="AK114" s="317">
        <f>IF($H114="4211",$F114,0)</f>
        <v>0</v>
      </c>
      <c r="AL114" s="317">
        <f>IF($G114="4212",$F114,0)</f>
        <v>0</v>
      </c>
      <c r="AM114" s="317">
        <f>IF($H114="4212",$F114,0)</f>
        <v>0</v>
      </c>
      <c r="AN114" s="317">
        <f>IF($G114="515",$F114,0)</f>
        <v>0</v>
      </c>
      <c r="AO114" s="317">
        <f>IF($H114="515",$F114,0)</f>
        <v>0</v>
      </c>
      <c r="AP114" s="317">
        <f>IF($G114="635",$F114,0)</f>
        <v>0</v>
      </c>
      <c r="AQ114" s="317">
        <f>IF($H114="635",$F114,0)</f>
        <v>0</v>
      </c>
      <c r="AR114" s="317">
        <f>IF($G114="642",$F114,0)</f>
        <v>0</v>
      </c>
      <c r="AS114" s="317">
        <f>IF($H114="642",$F114,0)</f>
        <v>0</v>
      </c>
      <c r="AT114" s="317">
        <f>IF($G114="711",$F114,0)</f>
        <v>0</v>
      </c>
      <c r="AU114" s="317">
        <f>IF($H114="711",$F114,0)</f>
        <v>0</v>
      </c>
      <c r="AV114" s="317">
        <f>IF($G114="811",$F114,0)</f>
        <v>0</v>
      </c>
      <c r="AW114" s="317">
        <f>IF($H114="811",$F114,0)</f>
        <v>0</v>
      </c>
      <c r="AX114" s="317">
        <f>IF($G114="821",$F114,0)</f>
        <v>0</v>
      </c>
      <c r="AY114" s="317">
        <f>IF($H114="821",$F114,0)</f>
        <v>0</v>
      </c>
      <c r="AZ114" s="317">
        <f>IF($G114="911",$F114,0)</f>
        <v>0</v>
      </c>
      <c r="BA114" s="317">
        <f>IF($H114="911",$F114,0)</f>
        <v>0</v>
      </c>
    </row>
    <row r="115" spans="1:53" s="314" customFormat="1" ht="16.5" customHeight="1">
      <c r="A115" s="63" t="str">
        <f t="array" ref="A115">IF(C115&lt;&gt;0,SUM(($C$11:C115&lt;&gt;0)*1),"")</f>
        <v/>
      </c>
      <c r="B115" s="315"/>
      <c r="C115" s="315"/>
      <c r="D115" s="315"/>
      <c r="E115" s="433"/>
      <c r="F115" s="371"/>
      <c r="G115" s="373"/>
      <c r="H115" s="373"/>
      <c r="I115" s="63" t="str">
        <f>A115</f>
        <v/>
      </c>
      <c r="J115" s="317">
        <f>IF($G115="1111",$F115,0)</f>
        <v>0</v>
      </c>
      <c r="K115" s="317">
        <f>IF($H115="1111",$F115,0)</f>
        <v>0</v>
      </c>
      <c r="L115" s="317">
        <f>IF($G115="1121",$F115,0)</f>
        <v>0</v>
      </c>
      <c r="M115" s="317">
        <f>IF($H115="1121",$F115,0)</f>
        <v>0</v>
      </c>
      <c r="N115" s="317">
        <f t="shared" si="83"/>
        <v>0</v>
      </c>
      <c r="O115" s="317">
        <f t="shared" si="84"/>
        <v>0</v>
      </c>
      <c r="P115" s="317">
        <f>IF($G115="1331",$F115,0)</f>
        <v>0</v>
      </c>
      <c r="Q115" s="317">
        <f>IF($H115="1331",$F115,0)</f>
        <v>0</v>
      </c>
      <c r="R115" s="317">
        <f>IF($G115="1388",$F115,0)</f>
        <v>0</v>
      </c>
      <c r="S115" s="317">
        <f>IF($H115="1388",$F115,0)</f>
        <v>0</v>
      </c>
      <c r="T115" s="317">
        <f t="shared" si="85"/>
        <v>0</v>
      </c>
      <c r="U115" s="317">
        <f t="shared" si="86"/>
        <v>0</v>
      </c>
      <c r="V115" s="317">
        <f>IF($G115="331",$F115,0)</f>
        <v>0</v>
      </c>
      <c r="W115" s="317">
        <f>IF($H115="331",$F115,0)</f>
        <v>0</v>
      </c>
      <c r="X115" s="317">
        <f>IF($G115="3334",$F115,0)</f>
        <v>0</v>
      </c>
      <c r="Y115" s="317">
        <f>IF($H115="3334",$F115,0)</f>
        <v>0</v>
      </c>
      <c r="Z115" s="317">
        <f>IF($G115="33382",$F115,0)</f>
        <v>0</v>
      </c>
      <c r="AA115" s="317">
        <f>IF($H115="33382",$F115,0)</f>
        <v>0</v>
      </c>
      <c r="AB115" s="317">
        <f>IF($G115="3388",$F115,0)</f>
        <v>0</v>
      </c>
      <c r="AC115" s="317">
        <f>IF($H115="3388",$F115,0)</f>
        <v>0</v>
      </c>
      <c r="AD115" s="317">
        <f>IF($G115="3411",$F115,0)</f>
        <v>0</v>
      </c>
      <c r="AE115" s="317">
        <f>IF($H115="3411",$F115,0)</f>
        <v>0</v>
      </c>
      <c r="AF115" s="317">
        <f t="shared" si="87"/>
        <v>0</v>
      </c>
      <c r="AG115" s="317">
        <f t="shared" si="88"/>
        <v>0</v>
      </c>
      <c r="AH115" s="317">
        <f>IF($G115="4111",$F115,0)</f>
        <v>0</v>
      </c>
      <c r="AI115" s="317">
        <f>IF($H115="4111",$F115,0)</f>
        <v>0</v>
      </c>
      <c r="AJ115" s="317">
        <f>IF($G115="4211",$F115,0)</f>
        <v>0</v>
      </c>
      <c r="AK115" s="317">
        <f>IF($H115="4211",$F115,0)</f>
        <v>0</v>
      </c>
      <c r="AL115" s="317">
        <f>IF($G115="4212",$F115,0)</f>
        <v>0</v>
      </c>
      <c r="AM115" s="317">
        <f>IF($H115="4212",$F115,0)</f>
        <v>0</v>
      </c>
      <c r="AN115" s="317">
        <f>IF($G115="515",$F115,0)</f>
        <v>0</v>
      </c>
      <c r="AO115" s="317">
        <f>IF($H115="515",$F115,0)</f>
        <v>0</v>
      </c>
      <c r="AP115" s="317">
        <f>IF($G115="635",$F115,0)</f>
        <v>0</v>
      </c>
      <c r="AQ115" s="317">
        <f>IF($H115="635",$F115,0)</f>
        <v>0</v>
      </c>
      <c r="AR115" s="317">
        <f>IF($G115="642",$F115,0)</f>
        <v>0</v>
      </c>
      <c r="AS115" s="317">
        <f>IF($H115="642",$F115,0)</f>
        <v>0</v>
      </c>
      <c r="AT115" s="317">
        <f>IF($G115="711",$F115,0)</f>
        <v>0</v>
      </c>
      <c r="AU115" s="317">
        <f>IF($H115="711",$F115,0)</f>
        <v>0</v>
      </c>
      <c r="AV115" s="317">
        <f>IF($G115="811",$F115,0)</f>
        <v>0</v>
      </c>
      <c r="AW115" s="317">
        <f>IF($H115="811",$F115,0)</f>
        <v>0</v>
      </c>
      <c r="AX115" s="317">
        <f>IF($G115="821",$F115,0)</f>
        <v>0</v>
      </c>
      <c r="AY115" s="317">
        <f>IF($H115="821",$F115,0)</f>
        <v>0</v>
      </c>
      <c r="AZ115" s="317">
        <f>IF($G115="911",$F115,0)</f>
        <v>0</v>
      </c>
      <c r="BA115" s="317">
        <f>IF($H115="911",$F115,0)</f>
        <v>0</v>
      </c>
    </row>
    <row r="116" spans="1:53" s="314" customFormat="1" ht="16.5" customHeight="1">
      <c r="A116" s="63" t="str">
        <f t="array" ref="A116">IF(C116&lt;&gt;0,SUM(($C$11:C116&lt;&gt;0)*1),"")</f>
        <v/>
      </c>
      <c r="B116" s="315"/>
      <c r="C116" s="315"/>
      <c r="D116" s="315"/>
      <c r="E116" s="433"/>
      <c r="F116" s="371"/>
      <c r="G116" s="373"/>
      <c r="H116" s="373"/>
      <c r="I116" s="63" t="str">
        <f>A116</f>
        <v/>
      </c>
      <c r="J116" s="317">
        <f>IF($G116="1111",$F116,0)</f>
        <v>0</v>
      </c>
      <c r="K116" s="317">
        <f>IF($H116="1111",$F116,0)</f>
        <v>0</v>
      </c>
      <c r="L116" s="317">
        <f>IF($G116="1121",$F116,0)</f>
        <v>0</v>
      </c>
      <c r="M116" s="317">
        <f>IF($H116="1121",$F116,0)</f>
        <v>0</v>
      </c>
      <c r="N116" s="317">
        <f t="shared" si="83"/>
        <v>0</v>
      </c>
      <c r="O116" s="317">
        <f t="shared" si="84"/>
        <v>0</v>
      </c>
      <c r="P116" s="317">
        <f>IF($G116="1331",$F116,0)</f>
        <v>0</v>
      </c>
      <c r="Q116" s="317">
        <f>IF($H116="1331",$F116,0)</f>
        <v>0</v>
      </c>
      <c r="R116" s="317">
        <f>IF($G116="1388",$F116,0)</f>
        <v>0</v>
      </c>
      <c r="S116" s="317">
        <f>IF($H116="1388",$F116,0)</f>
        <v>0</v>
      </c>
      <c r="T116" s="317">
        <f t="shared" si="85"/>
        <v>0</v>
      </c>
      <c r="U116" s="317">
        <f t="shared" si="86"/>
        <v>0</v>
      </c>
      <c r="V116" s="317">
        <f>IF($G116="331",$F116,0)</f>
        <v>0</v>
      </c>
      <c r="W116" s="317">
        <f>IF($H116="331",$F116,0)</f>
        <v>0</v>
      </c>
      <c r="X116" s="317">
        <f>IF($G116="3334",$F116,0)</f>
        <v>0</v>
      </c>
      <c r="Y116" s="317">
        <f>IF($H116="3334",$F116,0)</f>
        <v>0</v>
      </c>
      <c r="Z116" s="317">
        <f>IF($G116="33382",$F116,0)</f>
        <v>0</v>
      </c>
      <c r="AA116" s="317">
        <f>IF($H116="33382",$F116,0)</f>
        <v>0</v>
      </c>
      <c r="AB116" s="317">
        <f>IF($G116="3388",$F116,0)</f>
        <v>0</v>
      </c>
      <c r="AC116" s="317">
        <f>IF($H116="3388",$F116,0)</f>
        <v>0</v>
      </c>
      <c r="AD116" s="317">
        <f>IF($G116="3411",$F116,0)</f>
        <v>0</v>
      </c>
      <c r="AE116" s="317">
        <f>IF($H116="3411",$F116,0)</f>
        <v>0</v>
      </c>
      <c r="AF116" s="317">
        <f t="shared" si="87"/>
        <v>0</v>
      </c>
      <c r="AG116" s="317">
        <f t="shared" si="88"/>
        <v>0</v>
      </c>
      <c r="AH116" s="317">
        <f>IF($G116="4111",$F116,0)</f>
        <v>0</v>
      </c>
      <c r="AI116" s="317">
        <f>IF($H116="4111",$F116,0)</f>
        <v>0</v>
      </c>
      <c r="AJ116" s="317">
        <f>IF($G116="4211",$F116,0)</f>
        <v>0</v>
      </c>
      <c r="AK116" s="317">
        <f>IF($H116="4211",$F116,0)</f>
        <v>0</v>
      </c>
      <c r="AL116" s="317">
        <f>IF($G116="4212",$F116,0)</f>
        <v>0</v>
      </c>
      <c r="AM116" s="317">
        <f>IF($H116="4212",$F116,0)</f>
        <v>0</v>
      </c>
      <c r="AN116" s="317">
        <f>IF($G116="515",$F116,0)</f>
        <v>0</v>
      </c>
      <c r="AO116" s="317">
        <f>IF($H116="515",$F116,0)</f>
        <v>0</v>
      </c>
      <c r="AP116" s="317">
        <f>IF($G116="635",$F116,0)</f>
        <v>0</v>
      </c>
      <c r="AQ116" s="317">
        <f>IF($H116="635",$F116,0)</f>
        <v>0</v>
      </c>
      <c r="AR116" s="317">
        <f>IF($G116="642",$F116,0)</f>
        <v>0</v>
      </c>
      <c r="AS116" s="317">
        <f>IF($H116="642",$F116,0)</f>
        <v>0</v>
      </c>
      <c r="AT116" s="317">
        <f>IF($G116="711",$F116,0)</f>
        <v>0</v>
      </c>
      <c r="AU116" s="317">
        <f>IF($H116="711",$F116,0)</f>
        <v>0</v>
      </c>
      <c r="AV116" s="317">
        <f>IF($G116="811",$F116,0)</f>
        <v>0</v>
      </c>
      <c r="AW116" s="317">
        <f>IF($H116="811",$F116,0)</f>
        <v>0</v>
      </c>
      <c r="AX116" s="317">
        <f>IF($G116="821",$F116,0)</f>
        <v>0</v>
      </c>
      <c r="AY116" s="317">
        <f>IF($H116="821",$F116,0)</f>
        <v>0</v>
      </c>
      <c r="AZ116" s="317">
        <f>IF($G116="911",$F116,0)</f>
        <v>0</v>
      </c>
      <c r="BA116" s="317">
        <f>IF($H116="911",$F116,0)</f>
        <v>0</v>
      </c>
    </row>
    <row r="117" spans="1:53" s="314" customFormat="1" ht="16.5" customHeight="1">
      <c r="A117" s="63" t="str">
        <f t="array" ref="A117">IF(C117&lt;&gt;0,SUM(($C$11:C117&lt;&gt;0)*1),"")</f>
        <v/>
      </c>
      <c r="B117" s="315"/>
      <c r="C117" s="315"/>
      <c r="D117" s="315"/>
      <c r="E117" s="433"/>
      <c r="F117" s="371"/>
      <c r="G117" s="373"/>
      <c r="H117" s="373"/>
      <c r="I117" s="63" t="str">
        <f>A117</f>
        <v/>
      </c>
      <c r="J117" s="317">
        <f>IF($G117="1111",$F117,0)</f>
        <v>0</v>
      </c>
      <c r="K117" s="317">
        <f>IF($H117="1111",$F117,0)</f>
        <v>0</v>
      </c>
      <c r="L117" s="317">
        <f>IF($G117="1121",$F117,0)</f>
        <v>0</v>
      </c>
      <c r="M117" s="317">
        <f>IF($H117="1121",$F117,0)</f>
        <v>0</v>
      </c>
      <c r="N117" s="317">
        <f t="shared" si="83"/>
        <v>0</v>
      </c>
      <c r="O117" s="317">
        <f t="shared" si="84"/>
        <v>0</v>
      </c>
      <c r="P117" s="317">
        <f>IF($G117="1331",$F117,0)</f>
        <v>0</v>
      </c>
      <c r="Q117" s="317">
        <f>IF($H117="1331",$F117,0)</f>
        <v>0</v>
      </c>
      <c r="R117" s="317">
        <f>IF($G117="1388",$F117,0)</f>
        <v>0</v>
      </c>
      <c r="S117" s="317">
        <f>IF($H117="1388",$F117,0)</f>
        <v>0</v>
      </c>
      <c r="T117" s="317">
        <f t="shared" si="85"/>
        <v>0</v>
      </c>
      <c r="U117" s="317">
        <f t="shared" si="86"/>
        <v>0</v>
      </c>
      <c r="V117" s="317">
        <f>IF($G117="331",$F117,0)</f>
        <v>0</v>
      </c>
      <c r="W117" s="317">
        <f>IF($H117="331",$F117,0)</f>
        <v>0</v>
      </c>
      <c r="X117" s="317">
        <f>IF($G117="3334",$F117,0)</f>
        <v>0</v>
      </c>
      <c r="Y117" s="317">
        <f>IF($H117="3334",$F117,0)</f>
        <v>0</v>
      </c>
      <c r="Z117" s="317">
        <f>IF($G117="33382",$F117,0)</f>
        <v>0</v>
      </c>
      <c r="AA117" s="317">
        <f>IF($H117="33382",$F117,0)</f>
        <v>0</v>
      </c>
      <c r="AB117" s="317">
        <f>IF($G117="3388",$F117,0)</f>
        <v>0</v>
      </c>
      <c r="AC117" s="317">
        <f>IF($H117="3388",$F117,0)</f>
        <v>0</v>
      </c>
      <c r="AD117" s="317">
        <f>IF($G117="3411",$F117,0)</f>
        <v>0</v>
      </c>
      <c r="AE117" s="317">
        <f>IF($H117="3411",$F117,0)</f>
        <v>0</v>
      </c>
      <c r="AF117" s="317">
        <f t="shared" si="87"/>
        <v>0</v>
      </c>
      <c r="AG117" s="317">
        <f t="shared" si="88"/>
        <v>0</v>
      </c>
      <c r="AH117" s="317">
        <f>IF($G117="4111",$F117,0)</f>
        <v>0</v>
      </c>
      <c r="AI117" s="317">
        <f>IF($H117="4111",$F117,0)</f>
        <v>0</v>
      </c>
      <c r="AJ117" s="317">
        <f>IF($G117="4211",$F117,0)</f>
        <v>0</v>
      </c>
      <c r="AK117" s="317">
        <f>IF($H117="4211",$F117,0)</f>
        <v>0</v>
      </c>
      <c r="AL117" s="317">
        <f>IF($G117="4212",$F117,0)</f>
        <v>0</v>
      </c>
      <c r="AM117" s="317">
        <f>IF($H117="4212",$F117,0)</f>
        <v>0</v>
      </c>
      <c r="AN117" s="317">
        <f>IF($G117="515",$F117,0)</f>
        <v>0</v>
      </c>
      <c r="AO117" s="317">
        <f>IF($H117="515",$F117,0)</f>
        <v>0</v>
      </c>
      <c r="AP117" s="317">
        <f>IF($G117="635",$F117,0)</f>
        <v>0</v>
      </c>
      <c r="AQ117" s="317">
        <f>IF($H117="635",$F117,0)</f>
        <v>0</v>
      </c>
      <c r="AR117" s="317">
        <f>IF($G117="642",$F117,0)</f>
        <v>0</v>
      </c>
      <c r="AS117" s="317">
        <f>IF($H117="642",$F117,0)</f>
        <v>0</v>
      </c>
      <c r="AT117" s="317">
        <f>IF($G117="711",$F117,0)</f>
        <v>0</v>
      </c>
      <c r="AU117" s="317">
        <f>IF($H117="711",$F117,0)</f>
        <v>0</v>
      </c>
      <c r="AV117" s="317">
        <f>IF($G117="811",$F117,0)</f>
        <v>0</v>
      </c>
      <c r="AW117" s="317">
        <f>IF($H117="811",$F117,0)</f>
        <v>0</v>
      </c>
      <c r="AX117" s="317">
        <f>IF($G117="821",$F117,0)</f>
        <v>0</v>
      </c>
      <c r="AY117" s="317">
        <f>IF($H117="821",$F117,0)</f>
        <v>0</v>
      </c>
      <c r="AZ117" s="317">
        <f>IF($G117="911",$F117,0)</f>
        <v>0</v>
      </c>
      <c r="BA117" s="317">
        <f>IF($H117="911",$F117,0)</f>
        <v>0</v>
      </c>
    </row>
    <row r="118" spans="1:53" s="314" customFormat="1" ht="16.5" customHeight="1">
      <c r="A118" s="63" t="str">
        <f t="array" ref="A118">IF(C118&lt;&gt;0,SUM(($C$11:C118&lt;&gt;0)*1),"")</f>
        <v/>
      </c>
      <c r="B118" s="315"/>
      <c r="C118" s="315"/>
      <c r="D118" s="315"/>
      <c r="E118" s="433"/>
      <c r="F118" s="371"/>
      <c r="G118" s="373"/>
      <c r="H118" s="373"/>
      <c r="I118" s="63" t="str">
        <f t="shared" ref="I118:I130" si="90">A118</f>
        <v/>
      </c>
      <c r="J118" s="317">
        <f t="shared" ref="J118:J130" si="91">IF($G118="1111",$F118,0)</f>
        <v>0</v>
      </c>
      <c r="K118" s="317">
        <f t="shared" ref="K118:K130" si="92">IF($H118="1111",$F118,0)</f>
        <v>0</v>
      </c>
      <c r="L118" s="317">
        <f t="shared" ref="L118:L130" si="93">IF($G118="1121",$F118,0)</f>
        <v>0</v>
      </c>
      <c r="M118" s="317">
        <f t="shared" ref="M118:M130" si="94">IF($H118="1121",$F118,0)</f>
        <v>0</v>
      </c>
      <c r="N118" s="317">
        <f t="shared" si="83"/>
        <v>0</v>
      </c>
      <c r="O118" s="317">
        <f t="shared" si="84"/>
        <v>0</v>
      </c>
      <c r="P118" s="317">
        <f t="shared" ref="P118:P130" si="95">IF($G118="1331",$F118,0)</f>
        <v>0</v>
      </c>
      <c r="Q118" s="317">
        <f t="shared" ref="Q118:Q130" si="96">IF($H118="1331",$F118,0)</f>
        <v>0</v>
      </c>
      <c r="R118" s="317">
        <f t="shared" ref="R118:R130" si="97">IF($G118="1388",$F118,0)</f>
        <v>0</v>
      </c>
      <c r="S118" s="317">
        <f t="shared" ref="S118:S130" si="98">IF($H118="1388",$F118,0)</f>
        <v>0</v>
      </c>
      <c r="T118" s="317">
        <f t="shared" si="85"/>
        <v>0</v>
      </c>
      <c r="U118" s="317">
        <f t="shared" si="86"/>
        <v>0</v>
      </c>
      <c r="V118" s="317">
        <f t="shared" ref="V118:V130" si="99">IF($G118="331",$F118,0)</f>
        <v>0</v>
      </c>
      <c r="W118" s="317">
        <f t="shared" ref="W118:W130" si="100">IF($H118="331",$F118,0)</f>
        <v>0</v>
      </c>
      <c r="X118" s="317">
        <f t="shared" ref="X118:X130" si="101">IF($G118="3334",$F118,0)</f>
        <v>0</v>
      </c>
      <c r="Y118" s="317">
        <f t="shared" ref="Y118:Y130" si="102">IF($H118="3334",$F118,0)</f>
        <v>0</v>
      </c>
      <c r="Z118" s="317">
        <f t="shared" ref="Z118:Z130" si="103">IF($G118="33382",$F118,0)</f>
        <v>0</v>
      </c>
      <c r="AA118" s="317">
        <f t="shared" ref="AA118:AA130" si="104">IF($H118="33382",$F118,0)</f>
        <v>0</v>
      </c>
      <c r="AB118" s="317">
        <f t="shared" ref="AB118:AB130" si="105">IF($G118="3388",$F118,0)</f>
        <v>0</v>
      </c>
      <c r="AC118" s="317">
        <f t="shared" ref="AC118:AC130" si="106">IF($H118="3388",$F118,0)</f>
        <v>0</v>
      </c>
      <c r="AD118" s="317">
        <f t="shared" ref="AD118:AD130" si="107">IF($G118="3411",$F118,0)</f>
        <v>0</v>
      </c>
      <c r="AE118" s="317">
        <f t="shared" ref="AE118:AE130" si="108">IF($H118="3411",$F118,0)</f>
        <v>0</v>
      </c>
      <c r="AF118" s="317">
        <f t="shared" si="87"/>
        <v>0</v>
      </c>
      <c r="AG118" s="317">
        <f t="shared" si="88"/>
        <v>0</v>
      </c>
      <c r="AH118" s="317">
        <f t="shared" ref="AH118:AH130" si="109">IF($G118="4111",$F118,0)</f>
        <v>0</v>
      </c>
      <c r="AI118" s="317">
        <f t="shared" ref="AI118:AI130" si="110">IF($H118="4111",$F118,0)</f>
        <v>0</v>
      </c>
      <c r="AJ118" s="317">
        <f t="shared" ref="AJ118:AJ130" si="111">IF($G118="4211",$F118,0)</f>
        <v>0</v>
      </c>
      <c r="AK118" s="317">
        <f t="shared" ref="AK118:AK130" si="112">IF($H118="4211",$F118,0)</f>
        <v>0</v>
      </c>
      <c r="AL118" s="317">
        <f t="shared" ref="AL118:AL130" si="113">IF($G118="4212",$F118,0)</f>
        <v>0</v>
      </c>
      <c r="AM118" s="317">
        <f t="shared" ref="AM118:AM130" si="114">IF($H118="4212",$F118,0)</f>
        <v>0</v>
      </c>
      <c r="AN118" s="317">
        <f t="shared" ref="AN118:AN130" si="115">IF($G118="515",$F118,0)</f>
        <v>0</v>
      </c>
      <c r="AO118" s="317">
        <f t="shared" ref="AO118:AO130" si="116">IF($H118="515",$F118,0)</f>
        <v>0</v>
      </c>
      <c r="AP118" s="317">
        <f t="shared" ref="AP118:AP130" si="117">IF($G118="635",$F118,0)</f>
        <v>0</v>
      </c>
      <c r="AQ118" s="317">
        <f t="shared" ref="AQ118:AQ130" si="118">IF($H118="635",$F118,0)</f>
        <v>0</v>
      </c>
      <c r="AR118" s="317">
        <f t="shared" ref="AR118:AR130" si="119">IF($G118="642",$F118,0)</f>
        <v>0</v>
      </c>
      <c r="AS118" s="317">
        <f t="shared" ref="AS118:AS130" si="120">IF($H118="642",$F118,0)</f>
        <v>0</v>
      </c>
      <c r="AT118" s="317">
        <f t="shared" ref="AT118:AT130" si="121">IF($G118="711",$F118,0)</f>
        <v>0</v>
      </c>
      <c r="AU118" s="317">
        <f t="shared" ref="AU118:AU130" si="122">IF($H118="711",$F118,0)</f>
        <v>0</v>
      </c>
      <c r="AV118" s="317">
        <f t="shared" ref="AV118:AV130" si="123">IF($G118="811",$F118,0)</f>
        <v>0</v>
      </c>
      <c r="AW118" s="317">
        <f t="shared" ref="AW118:AW130" si="124">IF($H118="811",$F118,0)</f>
        <v>0</v>
      </c>
      <c r="AX118" s="317">
        <f t="shared" ref="AX118:AX130" si="125">IF($G118="821",$F118,0)</f>
        <v>0</v>
      </c>
      <c r="AY118" s="317">
        <f t="shared" ref="AY118:AY130" si="126">IF($H118="821",$F118,0)</f>
        <v>0</v>
      </c>
      <c r="AZ118" s="317">
        <f t="shared" ref="AZ118:AZ130" si="127">IF($G118="911",$F118,0)</f>
        <v>0</v>
      </c>
      <c r="BA118" s="317">
        <f t="shared" ref="BA118:BA130" si="128">IF($H118="911",$F118,0)</f>
        <v>0</v>
      </c>
    </row>
    <row r="119" spans="1:53" s="314" customFormat="1" ht="16.5" customHeight="1">
      <c r="A119" s="63" t="str">
        <f t="array" ref="A119">IF(C119&lt;&gt;0,SUM(($C$11:C119&lt;&gt;0)*1),"")</f>
        <v/>
      </c>
      <c r="B119" s="315"/>
      <c r="C119" s="315"/>
      <c r="D119" s="315"/>
      <c r="E119" s="433"/>
      <c r="F119" s="371"/>
      <c r="G119" s="373"/>
      <c r="H119" s="373"/>
      <c r="I119" s="63" t="str">
        <f t="shared" si="90"/>
        <v/>
      </c>
      <c r="J119" s="317">
        <f t="shared" si="91"/>
        <v>0</v>
      </c>
      <c r="K119" s="317">
        <f t="shared" si="92"/>
        <v>0</v>
      </c>
      <c r="L119" s="317">
        <f t="shared" si="93"/>
        <v>0</v>
      </c>
      <c r="M119" s="317">
        <f t="shared" si="94"/>
        <v>0</v>
      </c>
      <c r="N119" s="317">
        <f t="shared" si="83"/>
        <v>0</v>
      </c>
      <c r="O119" s="317">
        <f t="shared" si="84"/>
        <v>0</v>
      </c>
      <c r="P119" s="317">
        <f t="shared" si="95"/>
        <v>0</v>
      </c>
      <c r="Q119" s="317">
        <f t="shared" si="96"/>
        <v>0</v>
      </c>
      <c r="R119" s="317">
        <f t="shared" si="97"/>
        <v>0</v>
      </c>
      <c r="S119" s="317">
        <f t="shared" si="98"/>
        <v>0</v>
      </c>
      <c r="T119" s="317">
        <f t="shared" si="85"/>
        <v>0</v>
      </c>
      <c r="U119" s="317">
        <f t="shared" si="86"/>
        <v>0</v>
      </c>
      <c r="V119" s="317">
        <f t="shared" si="99"/>
        <v>0</v>
      </c>
      <c r="W119" s="317">
        <f t="shared" si="100"/>
        <v>0</v>
      </c>
      <c r="X119" s="317">
        <f t="shared" si="101"/>
        <v>0</v>
      </c>
      <c r="Y119" s="317">
        <f t="shared" si="102"/>
        <v>0</v>
      </c>
      <c r="Z119" s="317">
        <f t="shared" si="103"/>
        <v>0</v>
      </c>
      <c r="AA119" s="317">
        <f t="shared" si="104"/>
        <v>0</v>
      </c>
      <c r="AB119" s="317">
        <f t="shared" si="105"/>
        <v>0</v>
      </c>
      <c r="AC119" s="317">
        <f t="shared" si="106"/>
        <v>0</v>
      </c>
      <c r="AD119" s="317">
        <f t="shared" si="107"/>
        <v>0</v>
      </c>
      <c r="AE119" s="317">
        <f t="shared" si="108"/>
        <v>0</v>
      </c>
      <c r="AF119" s="317">
        <f t="shared" si="87"/>
        <v>0</v>
      </c>
      <c r="AG119" s="317">
        <f t="shared" si="88"/>
        <v>0</v>
      </c>
      <c r="AH119" s="317">
        <f t="shared" si="109"/>
        <v>0</v>
      </c>
      <c r="AI119" s="317">
        <f t="shared" si="110"/>
        <v>0</v>
      </c>
      <c r="AJ119" s="317">
        <f t="shared" si="111"/>
        <v>0</v>
      </c>
      <c r="AK119" s="317">
        <f t="shared" si="112"/>
        <v>0</v>
      </c>
      <c r="AL119" s="317">
        <f t="shared" si="113"/>
        <v>0</v>
      </c>
      <c r="AM119" s="317">
        <f t="shared" si="114"/>
        <v>0</v>
      </c>
      <c r="AN119" s="317">
        <f t="shared" si="115"/>
        <v>0</v>
      </c>
      <c r="AO119" s="317">
        <f t="shared" si="116"/>
        <v>0</v>
      </c>
      <c r="AP119" s="317">
        <f t="shared" si="117"/>
        <v>0</v>
      </c>
      <c r="AQ119" s="317">
        <f t="shared" si="118"/>
        <v>0</v>
      </c>
      <c r="AR119" s="317">
        <f t="shared" si="119"/>
        <v>0</v>
      </c>
      <c r="AS119" s="317">
        <f t="shared" si="120"/>
        <v>0</v>
      </c>
      <c r="AT119" s="317">
        <f t="shared" si="121"/>
        <v>0</v>
      </c>
      <c r="AU119" s="317">
        <f t="shared" si="122"/>
        <v>0</v>
      </c>
      <c r="AV119" s="317">
        <f t="shared" si="123"/>
        <v>0</v>
      </c>
      <c r="AW119" s="317">
        <f t="shared" si="124"/>
        <v>0</v>
      </c>
      <c r="AX119" s="317">
        <f t="shared" si="125"/>
        <v>0</v>
      </c>
      <c r="AY119" s="317">
        <f t="shared" si="126"/>
        <v>0</v>
      </c>
      <c r="AZ119" s="317">
        <f t="shared" si="127"/>
        <v>0</v>
      </c>
      <c r="BA119" s="317">
        <f t="shared" si="128"/>
        <v>0</v>
      </c>
    </row>
    <row r="120" spans="1:53" s="314" customFormat="1" ht="16.5" customHeight="1">
      <c r="A120" s="63" t="str">
        <f t="array" ref="A120">IF(C120&lt;&gt;0,SUM(($C$11:C120&lt;&gt;0)*1),"")</f>
        <v/>
      </c>
      <c r="B120" s="315"/>
      <c r="C120" s="315"/>
      <c r="D120" s="315"/>
      <c r="E120" s="433"/>
      <c r="F120" s="371"/>
      <c r="G120" s="373"/>
      <c r="H120" s="373"/>
      <c r="I120" s="63" t="str">
        <f t="shared" si="90"/>
        <v/>
      </c>
      <c r="J120" s="317">
        <f t="shared" si="91"/>
        <v>0</v>
      </c>
      <c r="K120" s="317">
        <f t="shared" si="92"/>
        <v>0</v>
      </c>
      <c r="L120" s="317">
        <f t="shared" si="93"/>
        <v>0</v>
      </c>
      <c r="M120" s="317">
        <f t="shared" si="94"/>
        <v>0</v>
      </c>
      <c r="N120" s="317">
        <f t="shared" si="83"/>
        <v>0</v>
      </c>
      <c r="O120" s="317">
        <f t="shared" si="84"/>
        <v>0</v>
      </c>
      <c r="P120" s="317">
        <f t="shared" si="95"/>
        <v>0</v>
      </c>
      <c r="Q120" s="317">
        <f t="shared" si="96"/>
        <v>0</v>
      </c>
      <c r="R120" s="317">
        <f t="shared" si="97"/>
        <v>0</v>
      </c>
      <c r="S120" s="317">
        <f t="shared" si="98"/>
        <v>0</v>
      </c>
      <c r="T120" s="317">
        <f t="shared" si="85"/>
        <v>0</v>
      </c>
      <c r="U120" s="317">
        <f t="shared" si="86"/>
        <v>0</v>
      </c>
      <c r="V120" s="317">
        <f t="shared" si="99"/>
        <v>0</v>
      </c>
      <c r="W120" s="317">
        <f t="shared" si="100"/>
        <v>0</v>
      </c>
      <c r="X120" s="317">
        <f t="shared" si="101"/>
        <v>0</v>
      </c>
      <c r="Y120" s="317">
        <f t="shared" si="102"/>
        <v>0</v>
      </c>
      <c r="Z120" s="317">
        <f t="shared" si="103"/>
        <v>0</v>
      </c>
      <c r="AA120" s="317">
        <f t="shared" si="104"/>
        <v>0</v>
      </c>
      <c r="AB120" s="317">
        <f t="shared" si="105"/>
        <v>0</v>
      </c>
      <c r="AC120" s="317">
        <f t="shared" si="106"/>
        <v>0</v>
      </c>
      <c r="AD120" s="317">
        <f t="shared" si="107"/>
        <v>0</v>
      </c>
      <c r="AE120" s="317">
        <f t="shared" si="108"/>
        <v>0</v>
      </c>
      <c r="AF120" s="317">
        <f t="shared" si="87"/>
        <v>0</v>
      </c>
      <c r="AG120" s="317">
        <f t="shared" si="88"/>
        <v>0</v>
      </c>
      <c r="AH120" s="317">
        <f t="shared" si="109"/>
        <v>0</v>
      </c>
      <c r="AI120" s="317">
        <f t="shared" si="110"/>
        <v>0</v>
      </c>
      <c r="AJ120" s="317">
        <f t="shared" si="111"/>
        <v>0</v>
      </c>
      <c r="AK120" s="317">
        <f t="shared" si="112"/>
        <v>0</v>
      </c>
      <c r="AL120" s="317">
        <f t="shared" si="113"/>
        <v>0</v>
      </c>
      <c r="AM120" s="317">
        <f t="shared" si="114"/>
        <v>0</v>
      </c>
      <c r="AN120" s="317">
        <f t="shared" si="115"/>
        <v>0</v>
      </c>
      <c r="AO120" s="317">
        <f t="shared" si="116"/>
        <v>0</v>
      </c>
      <c r="AP120" s="317">
        <f t="shared" si="117"/>
        <v>0</v>
      </c>
      <c r="AQ120" s="317">
        <f t="shared" si="118"/>
        <v>0</v>
      </c>
      <c r="AR120" s="317">
        <f t="shared" si="119"/>
        <v>0</v>
      </c>
      <c r="AS120" s="317">
        <f t="shared" si="120"/>
        <v>0</v>
      </c>
      <c r="AT120" s="317">
        <f t="shared" si="121"/>
        <v>0</v>
      </c>
      <c r="AU120" s="317">
        <f t="shared" si="122"/>
        <v>0</v>
      </c>
      <c r="AV120" s="317">
        <f t="shared" si="123"/>
        <v>0</v>
      </c>
      <c r="AW120" s="317">
        <f t="shared" si="124"/>
        <v>0</v>
      </c>
      <c r="AX120" s="317">
        <f t="shared" si="125"/>
        <v>0</v>
      </c>
      <c r="AY120" s="317">
        <f t="shared" si="126"/>
        <v>0</v>
      </c>
      <c r="AZ120" s="317">
        <f t="shared" si="127"/>
        <v>0</v>
      </c>
      <c r="BA120" s="317">
        <f t="shared" si="128"/>
        <v>0</v>
      </c>
    </row>
    <row r="121" spans="1:53" s="314" customFormat="1" ht="16.5" customHeight="1">
      <c r="A121" s="63" t="str">
        <f t="array" ref="A121">IF(C121&lt;&gt;0,SUM(($C$11:C121&lt;&gt;0)*1),"")</f>
        <v/>
      </c>
      <c r="B121" s="315"/>
      <c r="C121" s="315"/>
      <c r="D121" s="315"/>
      <c r="E121" s="433"/>
      <c r="F121" s="371"/>
      <c r="G121" s="373"/>
      <c r="H121" s="373"/>
      <c r="I121" s="63" t="str">
        <f t="shared" si="90"/>
        <v/>
      </c>
      <c r="J121" s="317">
        <f t="shared" si="91"/>
        <v>0</v>
      </c>
      <c r="K121" s="317">
        <f t="shared" si="92"/>
        <v>0</v>
      </c>
      <c r="L121" s="317">
        <f t="shared" si="93"/>
        <v>0</v>
      </c>
      <c r="M121" s="317">
        <f t="shared" si="94"/>
        <v>0</v>
      </c>
      <c r="N121" s="317">
        <f t="shared" si="83"/>
        <v>0</v>
      </c>
      <c r="O121" s="317">
        <f t="shared" si="84"/>
        <v>0</v>
      </c>
      <c r="P121" s="317">
        <f t="shared" si="95"/>
        <v>0</v>
      </c>
      <c r="Q121" s="317">
        <f t="shared" si="96"/>
        <v>0</v>
      </c>
      <c r="R121" s="317">
        <f t="shared" si="97"/>
        <v>0</v>
      </c>
      <c r="S121" s="317">
        <f t="shared" si="98"/>
        <v>0</v>
      </c>
      <c r="T121" s="317">
        <f t="shared" si="85"/>
        <v>0</v>
      </c>
      <c r="U121" s="317">
        <f t="shared" si="86"/>
        <v>0</v>
      </c>
      <c r="V121" s="317">
        <f t="shared" si="99"/>
        <v>0</v>
      </c>
      <c r="W121" s="317">
        <f t="shared" si="100"/>
        <v>0</v>
      </c>
      <c r="X121" s="317">
        <f t="shared" si="101"/>
        <v>0</v>
      </c>
      <c r="Y121" s="317">
        <f t="shared" si="102"/>
        <v>0</v>
      </c>
      <c r="Z121" s="317">
        <f t="shared" si="103"/>
        <v>0</v>
      </c>
      <c r="AA121" s="317">
        <f t="shared" si="104"/>
        <v>0</v>
      </c>
      <c r="AB121" s="317">
        <f t="shared" si="105"/>
        <v>0</v>
      </c>
      <c r="AC121" s="317">
        <f t="shared" si="106"/>
        <v>0</v>
      </c>
      <c r="AD121" s="317">
        <f t="shared" si="107"/>
        <v>0</v>
      </c>
      <c r="AE121" s="317">
        <f t="shared" si="108"/>
        <v>0</v>
      </c>
      <c r="AF121" s="317">
        <f t="shared" si="87"/>
        <v>0</v>
      </c>
      <c r="AG121" s="317">
        <f t="shared" si="88"/>
        <v>0</v>
      </c>
      <c r="AH121" s="317">
        <f t="shared" si="109"/>
        <v>0</v>
      </c>
      <c r="AI121" s="317">
        <f t="shared" si="110"/>
        <v>0</v>
      </c>
      <c r="AJ121" s="317">
        <f t="shared" si="111"/>
        <v>0</v>
      </c>
      <c r="AK121" s="317">
        <f t="shared" si="112"/>
        <v>0</v>
      </c>
      <c r="AL121" s="317">
        <f t="shared" si="113"/>
        <v>0</v>
      </c>
      <c r="AM121" s="317">
        <f t="shared" si="114"/>
        <v>0</v>
      </c>
      <c r="AN121" s="317">
        <f t="shared" si="115"/>
        <v>0</v>
      </c>
      <c r="AO121" s="317">
        <f t="shared" si="116"/>
        <v>0</v>
      </c>
      <c r="AP121" s="317">
        <f t="shared" si="117"/>
        <v>0</v>
      </c>
      <c r="AQ121" s="317">
        <f t="shared" si="118"/>
        <v>0</v>
      </c>
      <c r="AR121" s="317">
        <f t="shared" si="119"/>
        <v>0</v>
      </c>
      <c r="AS121" s="317">
        <f t="shared" si="120"/>
        <v>0</v>
      </c>
      <c r="AT121" s="317">
        <f t="shared" si="121"/>
        <v>0</v>
      </c>
      <c r="AU121" s="317">
        <f t="shared" si="122"/>
        <v>0</v>
      </c>
      <c r="AV121" s="317">
        <f t="shared" si="123"/>
        <v>0</v>
      </c>
      <c r="AW121" s="317">
        <f t="shared" si="124"/>
        <v>0</v>
      </c>
      <c r="AX121" s="317">
        <f t="shared" si="125"/>
        <v>0</v>
      </c>
      <c r="AY121" s="317">
        <f t="shared" si="126"/>
        <v>0</v>
      </c>
      <c r="AZ121" s="317">
        <f t="shared" si="127"/>
        <v>0</v>
      </c>
      <c r="BA121" s="317">
        <f t="shared" si="128"/>
        <v>0</v>
      </c>
    </row>
    <row r="122" spans="1:53" s="314" customFormat="1" ht="16.5" customHeight="1">
      <c r="A122" s="63" t="str">
        <f t="array" ref="A122">IF(C122&lt;&gt;0,SUM(($C$11:C122&lt;&gt;0)*1),"")</f>
        <v/>
      </c>
      <c r="B122" s="315"/>
      <c r="C122" s="315"/>
      <c r="D122" s="315"/>
      <c r="E122" s="433"/>
      <c r="F122" s="371"/>
      <c r="G122" s="373"/>
      <c r="H122" s="373"/>
      <c r="I122" s="63" t="str">
        <f t="shared" si="90"/>
        <v/>
      </c>
      <c r="J122" s="317">
        <f t="shared" si="91"/>
        <v>0</v>
      </c>
      <c r="K122" s="317">
        <f t="shared" si="92"/>
        <v>0</v>
      </c>
      <c r="L122" s="317">
        <f t="shared" si="93"/>
        <v>0</v>
      </c>
      <c r="M122" s="317">
        <f t="shared" si="94"/>
        <v>0</v>
      </c>
      <c r="N122" s="317">
        <f t="shared" si="83"/>
        <v>0</v>
      </c>
      <c r="O122" s="317">
        <f t="shared" si="84"/>
        <v>0</v>
      </c>
      <c r="P122" s="317">
        <f t="shared" si="95"/>
        <v>0</v>
      </c>
      <c r="Q122" s="317">
        <f t="shared" si="96"/>
        <v>0</v>
      </c>
      <c r="R122" s="317">
        <f t="shared" si="97"/>
        <v>0</v>
      </c>
      <c r="S122" s="317">
        <f t="shared" si="98"/>
        <v>0</v>
      </c>
      <c r="T122" s="317">
        <f t="shared" si="85"/>
        <v>0</v>
      </c>
      <c r="U122" s="317">
        <f t="shared" si="86"/>
        <v>0</v>
      </c>
      <c r="V122" s="317">
        <f t="shared" si="99"/>
        <v>0</v>
      </c>
      <c r="W122" s="317">
        <f t="shared" si="100"/>
        <v>0</v>
      </c>
      <c r="X122" s="317">
        <f t="shared" si="101"/>
        <v>0</v>
      </c>
      <c r="Y122" s="317">
        <f t="shared" si="102"/>
        <v>0</v>
      </c>
      <c r="Z122" s="317">
        <f t="shared" si="103"/>
        <v>0</v>
      </c>
      <c r="AA122" s="317">
        <f t="shared" si="104"/>
        <v>0</v>
      </c>
      <c r="AB122" s="317">
        <f t="shared" si="105"/>
        <v>0</v>
      </c>
      <c r="AC122" s="317">
        <f t="shared" si="106"/>
        <v>0</v>
      </c>
      <c r="AD122" s="317">
        <f t="shared" si="107"/>
        <v>0</v>
      </c>
      <c r="AE122" s="317">
        <f t="shared" si="108"/>
        <v>0</v>
      </c>
      <c r="AF122" s="317">
        <f t="shared" si="87"/>
        <v>0</v>
      </c>
      <c r="AG122" s="317">
        <f t="shared" si="88"/>
        <v>0</v>
      </c>
      <c r="AH122" s="317">
        <f t="shared" si="109"/>
        <v>0</v>
      </c>
      <c r="AI122" s="317">
        <f t="shared" si="110"/>
        <v>0</v>
      </c>
      <c r="AJ122" s="317">
        <f t="shared" si="111"/>
        <v>0</v>
      </c>
      <c r="AK122" s="317">
        <f t="shared" si="112"/>
        <v>0</v>
      </c>
      <c r="AL122" s="317">
        <f t="shared" si="113"/>
        <v>0</v>
      </c>
      <c r="AM122" s="317">
        <f t="shared" si="114"/>
        <v>0</v>
      </c>
      <c r="AN122" s="317">
        <f t="shared" si="115"/>
        <v>0</v>
      </c>
      <c r="AO122" s="317">
        <f t="shared" si="116"/>
        <v>0</v>
      </c>
      <c r="AP122" s="317">
        <f t="shared" si="117"/>
        <v>0</v>
      </c>
      <c r="AQ122" s="317">
        <f t="shared" si="118"/>
        <v>0</v>
      </c>
      <c r="AR122" s="317">
        <f t="shared" si="119"/>
        <v>0</v>
      </c>
      <c r="AS122" s="317">
        <f t="shared" si="120"/>
        <v>0</v>
      </c>
      <c r="AT122" s="317">
        <f t="shared" si="121"/>
        <v>0</v>
      </c>
      <c r="AU122" s="317">
        <f t="shared" si="122"/>
        <v>0</v>
      </c>
      <c r="AV122" s="317">
        <f t="shared" si="123"/>
        <v>0</v>
      </c>
      <c r="AW122" s="317">
        <f t="shared" si="124"/>
        <v>0</v>
      </c>
      <c r="AX122" s="317">
        <f t="shared" si="125"/>
        <v>0</v>
      </c>
      <c r="AY122" s="317">
        <f t="shared" si="126"/>
        <v>0</v>
      </c>
      <c r="AZ122" s="317">
        <f t="shared" si="127"/>
        <v>0</v>
      </c>
      <c r="BA122" s="317">
        <f t="shared" si="128"/>
        <v>0</v>
      </c>
    </row>
    <row r="123" spans="1:53" s="314" customFormat="1" ht="16.5" customHeight="1">
      <c r="A123" s="63" t="str">
        <f t="array" ref="A123">IF(C123&lt;&gt;0,SUM(($C$11:C123&lt;&gt;0)*1),"")</f>
        <v/>
      </c>
      <c r="B123" s="315"/>
      <c r="C123" s="315"/>
      <c r="D123" s="315"/>
      <c r="E123" s="433"/>
      <c r="F123" s="371"/>
      <c r="G123" s="373"/>
      <c r="H123" s="373"/>
      <c r="I123" s="63" t="str">
        <f t="shared" si="90"/>
        <v/>
      </c>
      <c r="J123" s="317">
        <f t="shared" si="91"/>
        <v>0</v>
      </c>
      <c r="K123" s="317">
        <f t="shared" si="92"/>
        <v>0</v>
      </c>
      <c r="L123" s="317">
        <f t="shared" si="93"/>
        <v>0</v>
      </c>
      <c r="M123" s="317">
        <f t="shared" si="94"/>
        <v>0</v>
      </c>
      <c r="N123" s="317">
        <f t="shared" si="83"/>
        <v>0</v>
      </c>
      <c r="O123" s="317">
        <f t="shared" si="84"/>
        <v>0</v>
      </c>
      <c r="P123" s="317">
        <f t="shared" si="95"/>
        <v>0</v>
      </c>
      <c r="Q123" s="317">
        <f t="shared" si="96"/>
        <v>0</v>
      </c>
      <c r="R123" s="317">
        <f t="shared" si="97"/>
        <v>0</v>
      </c>
      <c r="S123" s="317">
        <f t="shared" si="98"/>
        <v>0</v>
      </c>
      <c r="T123" s="317">
        <f t="shared" si="85"/>
        <v>0</v>
      </c>
      <c r="U123" s="317">
        <f t="shared" si="86"/>
        <v>0</v>
      </c>
      <c r="V123" s="317">
        <f t="shared" si="99"/>
        <v>0</v>
      </c>
      <c r="W123" s="317">
        <f t="shared" si="100"/>
        <v>0</v>
      </c>
      <c r="X123" s="317">
        <f t="shared" si="101"/>
        <v>0</v>
      </c>
      <c r="Y123" s="317">
        <f t="shared" si="102"/>
        <v>0</v>
      </c>
      <c r="Z123" s="317">
        <f t="shared" si="103"/>
        <v>0</v>
      </c>
      <c r="AA123" s="317">
        <f t="shared" si="104"/>
        <v>0</v>
      </c>
      <c r="AB123" s="317">
        <f t="shared" si="105"/>
        <v>0</v>
      </c>
      <c r="AC123" s="317">
        <f t="shared" si="106"/>
        <v>0</v>
      </c>
      <c r="AD123" s="317">
        <f t="shared" si="107"/>
        <v>0</v>
      </c>
      <c r="AE123" s="317">
        <f t="shared" si="108"/>
        <v>0</v>
      </c>
      <c r="AF123" s="317">
        <f t="shared" si="87"/>
        <v>0</v>
      </c>
      <c r="AG123" s="317">
        <f t="shared" si="88"/>
        <v>0</v>
      </c>
      <c r="AH123" s="317">
        <f t="shared" si="109"/>
        <v>0</v>
      </c>
      <c r="AI123" s="317">
        <f t="shared" si="110"/>
        <v>0</v>
      </c>
      <c r="AJ123" s="317">
        <f t="shared" si="111"/>
        <v>0</v>
      </c>
      <c r="AK123" s="317">
        <f t="shared" si="112"/>
        <v>0</v>
      </c>
      <c r="AL123" s="317">
        <f t="shared" si="113"/>
        <v>0</v>
      </c>
      <c r="AM123" s="317">
        <f t="shared" si="114"/>
        <v>0</v>
      </c>
      <c r="AN123" s="317">
        <f t="shared" si="115"/>
        <v>0</v>
      </c>
      <c r="AO123" s="317">
        <f t="shared" si="116"/>
        <v>0</v>
      </c>
      <c r="AP123" s="317">
        <f t="shared" si="117"/>
        <v>0</v>
      </c>
      <c r="AQ123" s="317">
        <f t="shared" si="118"/>
        <v>0</v>
      </c>
      <c r="AR123" s="317">
        <f t="shared" si="119"/>
        <v>0</v>
      </c>
      <c r="AS123" s="317">
        <f t="shared" si="120"/>
        <v>0</v>
      </c>
      <c r="AT123" s="317">
        <f t="shared" si="121"/>
        <v>0</v>
      </c>
      <c r="AU123" s="317">
        <f t="shared" si="122"/>
        <v>0</v>
      </c>
      <c r="AV123" s="317">
        <f t="shared" si="123"/>
        <v>0</v>
      </c>
      <c r="AW123" s="317">
        <f t="shared" si="124"/>
        <v>0</v>
      </c>
      <c r="AX123" s="317">
        <f t="shared" si="125"/>
        <v>0</v>
      </c>
      <c r="AY123" s="317">
        <f t="shared" si="126"/>
        <v>0</v>
      </c>
      <c r="AZ123" s="317">
        <f t="shared" si="127"/>
        <v>0</v>
      </c>
      <c r="BA123" s="317">
        <f t="shared" si="128"/>
        <v>0</v>
      </c>
    </row>
    <row r="124" spans="1:53" s="314" customFormat="1" ht="16.5" customHeight="1">
      <c r="A124" s="63" t="str">
        <f t="array" ref="A124">IF(C124&lt;&gt;0,SUM(($C$11:C124&lt;&gt;0)*1),"")</f>
        <v/>
      </c>
      <c r="B124" s="315"/>
      <c r="C124" s="315"/>
      <c r="D124" s="315"/>
      <c r="E124" s="433"/>
      <c r="F124" s="371"/>
      <c r="G124" s="373"/>
      <c r="H124" s="373"/>
      <c r="I124" s="63" t="str">
        <f t="shared" si="90"/>
        <v/>
      </c>
      <c r="J124" s="317">
        <f t="shared" si="91"/>
        <v>0</v>
      </c>
      <c r="K124" s="317">
        <f t="shared" si="92"/>
        <v>0</v>
      </c>
      <c r="L124" s="317">
        <f t="shared" si="93"/>
        <v>0</v>
      </c>
      <c r="M124" s="317">
        <f t="shared" si="94"/>
        <v>0</v>
      </c>
      <c r="N124" s="317">
        <f t="shared" si="83"/>
        <v>0</v>
      </c>
      <c r="O124" s="317">
        <f t="shared" si="84"/>
        <v>0</v>
      </c>
      <c r="P124" s="317">
        <f t="shared" si="95"/>
        <v>0</v>
      </c>
      <c r="Q124" s="317">
        <f t="shared" si="96"/>
        <v>0</v>
      </c>
      <c r="R124" s="317">
        <f t="shared" si="97"/>
        <v>0</v>
      </c>
      <c r="S124" s="317">
        <f t="shared" si="98"/>
        <v>0</v>
      </c>
      <c r="T124" s="317">
        <f t="shared" si="85"/>
        <v>0</v>
      </c>
      <c r="U124" s="317">
        <f t="shared" si="86"/>
        <v>0</v>
      </c>
      <c r="V124" s="317">
        <f t="shared" si="99"/>
        <v>0</v>
      </c>
      <c r="W124" s="317">
        <f t="shared" si="100"/>
        <v>0</v>
      </c>
      <c r="X124" s="317">
        <f t="shared" si="101"/>
        <v>0</v>
      </c>
      <c r="Y124" s="317">
        <f t="shared" si="102"/>
        <v>0</v>
      </c>
      <c r="Z124" s="317">
        <f t="shared" si="103"/>
        <v>0</v>
      </c>
      <c r="AA124" s="317">
        <f t="shared" si="104"/>
        <v>0</v>
      </c>
      <c r="AB124" s="317">
        <f t="shared" si="105"/>
        <v>0</v>
      </c>
      <c r="AC124" s="317">
        <f t="shared" si="106"/>
        <v>0</v>
      </c>
      <c r="AD124" s="317">
        <f t="shared" si="107"/>
        <v>0</v>
      </c>
      <c r="AE124" s="317">
        <f t="shared" si="108"/>
        <v>0</v>
      </c>
      <c r="AF124" s="317">
        <f t="shared" si="87"/>
        <v>0</v>
      </c>
      <c r="AG124" s="317">
        <f t="shared" si="88"/>
        <v>0</v>
      </c>
      <c r="AH124" s="317">
        <f t="shared" si="109"/>
        <v>0</v>
      </c>
      <c r="AI124" s="317">
        <f t="shared" si="110"/>
        <v>0</v>
      </c>
      <c r="AJ124" s="317">
        <f t="shared" si="111"/>
        <v>0</v>
      </c>
      <c r="AK124" s="317">
        <f t="shared" si="112"/>
        <v>0</v>
      </c>
      <c r="AL124" s="317">
        <f t="shared" si="113"/>
        <v>0</v>
      </c>
      <c r="AM124" s="317">
        <f t="shared" si="114"/>
        <v>0</v>
      </c>
      <c r="AN124" s="317">
        <f t="shared" si="115"/>
        <v>0</v>
      </c>
      <c r="AO124" s="317">
        <f t="shared" si="116"/>
        <v>0</v>
      </c>
      <c r="AP124" s="317">
        <f t="shared" si="117"/>
        <v>0</v>
      </c>
      <c r="AQ124" s="317">
        <f t="shared" si="118"/>
        <v>0</v>
      </c>
      <c r="AR124" s="317">
        <f t="shared" si="119"/>
        <v>0</v>
      </c>
      <c r="AS124" s="317">
        <f t="shared" si="120"/>
        <v>0</v>
      </c>
      <c r="AT124" s="317">
        <f t="shared" si="121"/>
        <v>0</v>
      </c>
      <c r="AU124" s="317">
        <f t="shared" si="122"/>
        <v>0</v>
      </c>
      <c r="AV124" s="317">
        <f t="shared" si="123"/>
        <v>0</v>
      </c>
      <c r="AW124" s="317">
        <f t="shared" si="124"/>
        <v>0</v>
      </c>
      <c r="AX124" s="317">
        <f t="shared" si="125"/>
        <v>0</v>
      </c>
      <c r="AY124" s="317">
        <f t="shared" si="126"/>
        <v>0</v>
      </c>
      <c r="AZ124" s="317">
        <f t="shared" si="127"/>
        <v>0</v>
      </c>
      <c r="BA124" s="317">
        <f t="shared" si="128"/>
        <v>0</v>
      </c>
    </row>
    <row r="125" spans="1:53" s="314" customFormat="1" ht="16.5" customHeight="1">
      <c r="A125" s="63" t="str">
        <f t="array" ref="A125">IF(C125&lt;&gt;0,SUM(($C$11:C125&lt;&gt;0)*1),"")</f>
        <v/>
      </c>
      <c r="B125" s="315"/>
      <c r="C125" s="315"/>
      <c r="D125" s="315"/>
      <c r="E125" s="433"/>
      <c r="F125" s="371"/>
      <c r="G125" s="373"/>
      <c r="H125" s="373"/>
      <c r="I125" s="63" t="str">
        <f t="shared" si="90"/>
        <v/>
      </c>
      <c r="J125" s="317">
        <f t="shared" si="91"/>
        <v>0</v>
      </c>
      <c r="K125" s="317">
        <f t="shared" si="92"/>
        <v>0</v>
      </c>
      <c r="L125" s="317">
        <f t="shared" si="93"/>
        <v>0</v>
      </c>
      <c r="M125" s="317">
        <f t="shared" si="94"/>
        <v>0</v>
      </c>
      <c r="N125" s="317">
        <f t="shared" si="83"/>
        <v>0</v>
      </c>
      <c r="O125" s="317">
        <f t="shared" si="84"/>
        <v>0</v>
      </c>
      <c r="P125" s="317">
        <f t="shared" si="95"/>
        <v>0</v>
      </c>
      <c r="Q125" s="317">
        <f t="shared" si="96"/>
        <v>0</v>
      </c>
      <c r="R125" s="317">
        <f t="shared" si="97"/>
        <v>0</v>
      </c>
      <c r="S125" s="317">
        <f t="shared" si="98"/>
        <v>0</v>
      </c>
      <c r="T125" s="317">
        <f t="shared" si="85"/>
        <v>0</v>
      </c>
      <c r="U125" s="317">
        <f t="shared" si="86"/>
        <v>0</v>
      </c>
      <c r="V125" s="317">
        <f t="shared" si="99"/>
        <v>0</v>
      </c>
      <c r="W125" s="317">
        <f t="shared" si="100"/>
        <v>0</v>
      </c>
      <c r="X125" s="317">
        <f t="shared" si="101"/>
        <v>0</v>
      </c>
      <c r="Y125" s="317">
        <f t="shared" si="102"/>
        <v>0</v>
      </c>
      <c r="Z125" s="317">
        <f t="shared" si="103"/>
        <v>0</v>
      </c>
      <c r="AA125" s="317">
        <f t="shared" si="104"/>
        <v>0</v>
      </c>
      <c r="AB125" s="317">
        <f t="shared" si="105"/>
        <v>0</v>
      </c>
      <c r="AC125" s="317">
        <f t="shared" si="106"/>
        <v>0</v>
      </c>
      <c r="AD125" s="317">
        <f t="shared" si="107"/>
        <v>0</v>
      </c>
      <c r="AE125" s="317">
        <f t="shared" si="108"/>
        <v>0</v>
      </c>
      <c r="AF125" s="317">
        <f t="shared" si="87"/>
        <v>0</v>
      </c>
      <c r="AG125" s="317">
        <f t="shared" si="88"/>
        <v>0</v>
      </c>
      <c r="AH125" s="317">
        <f t="shared" si="109"/>
        <v>0</v>
      </c>
      <c r="AI125" s="317">
        <f t="shared" si="110"/>
        <v>0</v>
      </c>
      <c r="AJ125" s="317">
        <f t="shared" si="111"/>
        <v>0</v>
      </c>
      <c r="AK125" s="317">
        <f t="shared" si="112"/>
        <v>0</v>
      </c>
      <c r="AL125" s="317">
        <f t="shared" si="113"/>
        <v>0</v>
      </c>
      <c r="AM125" s="317">
        <f t="shared" si="114"/>
        <v>0</v>
      </c>
      <c r="AN125" s="317">
        <f t="shared" si="115"/>
        <v>0</v>
      </c>
      <c r="AO125" s="317">
        <f t="shared" si="116"/>
        <v>0</v>
      </c>
      <c r="AP125" s="317">
        <f t="shared" si="117"/>
        <v>0</v>
      </c>
      <c r="AQ125" s="317">
        <f t="shared" si="118"/>
        <v>0</v>
      </c>
      <c r="AR125" s="317">
        <f t="shared" si="119"/>
        <v>0</v>
      </c>
      <c r="AS125" s="317">
        <f t="shared" si="120"/>
        <v>0</v>
      </c>
      <c r="AT125" s="317">
        <f t="shared" si="121"/>
        <v>0</v>
      </c>
      <c r="AU125" s="317">
        <f t="shared" si="122"/>
        <v>0</v>
      </c>
      <c r="AV125" s="317">
        <f t="shared" si="123"/>
        <v>0</v>
      </c>
      <c r="AW125" s="317">
        <f t="shared" si="124"/>
        <v>0</v>
      </c>
      <c r="AX125" s="317">
        <f t="shared" si="125"/>
        <v>0</v>
      </c>
      <c r="AY125" s="317">
        <f t="shared" si="126"/>
        <v>0</v>
      </c>
      <c r="AZ125" s="317">
        <f t="shared" si="127"/>
        <v>0</v>
      </c>
      <c r="BA125" s="317">
        <f t="shared" si="128"/>
        <v>0</v>
      </c>
    </row>
    <row r="126" spans="1:53" s="314" customFormat="1" ht="16.5" customHeight="1">
      <c r="A126" s="63" t="str">
        <f t="array" ref="A126">IF(C126&lt;&gt;0,SUM(($C$11:C126&lt;&gt;0)*1),"")</f>
        <v/>
      </c>
      <c r="B126" s="315"/>
      <c r="C126" s="315"/>
      <c r="D126" s="315"/>
      <c r="E126" s="433"/>
      <c r="F126" s="371"/>
      <c r="G126" s="373"/>
      <c r="H126" s="373"/>
      <c r="I126" s="63" t="str">
        <f t="shared" si="90"/>
        <v/>
      </c>
      <c r="J126" s="317">
        <f t="shared" si="91"/>
        <v>0</v>
      </c>
      <c r="K126" s="317">
        <f t="shared" si="92"/>
        <v>0</v>
      </c>
      <c r="L126" s="317">
        <f t="shared" si="93"/>
        <v>0</v>
      </c>
      <c r="M126" s="317">
        <f t="shared" si="94"/>
        <v>0</v>
      </c>
      <c r="N126" s="317">
        <f t="shared" si="83"/>
        <v>0</v>
      </c>
      <c r="O126" s="317">
        <f t="shared" si="84"/>
        <v>0</v>
      </c>
      <c r="P126" s="317">
        <f t="shared" si="95"/>
        <v>0</v>
      </c>
      <c r="Q126" s="317">
        <f t="shared" si="96"/>
        <v>0</v>
      </c>
      <c r="R126" s="317">
        <f t="shared" si="97"/>
        <v>0</v>
      </c>
      <c r="S126" s="317">
        <f t="shared" si="98"/>
        <v>0</v>
      </c>
      <c r="T126" s="317">
        <f t="shared" si="85"/>
        <v>0</v>
      </c>
      <c r="U126" s="317">
        <f t="shared" si="86"/>
        <v>0</v>
      </c>
      <c r="V126" s="317">
        <f t="shared" si="99"/>
        <v>0</v>
      </c>
      <c r="W126" s="317">
        <f t="shared" si="100"/>
        <v>0</v>
      </c>
      <c r="X126" s="317">
        <f t="shared" si="101"/>
        <v>0</v>
      </c>
      <c r="Y126" s="317">
        <f t="shared" si="102"/>
        <v>0</v>
      </c>
      <c r="Z126" s="317">
        <f t="shared" si="103"/>
        <v>0</v>
      </c>
      <c r="AA126" s="317">
        <f t="shared" si="104"/>
        <v>0</v>
      </c>
      <c r="AB126" s="317">
        <f t="shared" si="105"/>
        <v>0</v>
      </c>
      <c r="AC126" s="317">
        <f t="shared" si="106"/>
        <v>0</v>
      </c>
      <c r="AD126" s="317">
        <f t="shared" si="107"/>
        <v>0</v>
      </c>
      <c r="AE126" s="317">
        <f t="shared" si="108"/>
        <v>0</v>
      </c>
      <c r="AF126" s="317">
        <f t="shared" si="87"/>
        <v>0</v>
      </c>
      <c r="AG126" s="317">
        <f t="shared" si="88"/>
        <v>0</v>
      </c>
      <c r="AH126" s="317">
        <f t="shared" si="109"/>
        <v>0</v>
      </c>
      <c r="AI126" s="317">
        <f t="shared" si="110"/>
        <v>0</v>
      </c>
      <c r="AJ126" s="317">
        <f t="shared" si="111"/>
        <v>0</v>
      </c>
      <c r="AK126" s="317">
        <f t="shared" si="112"/>
        <v>0</v>
      </c>
      <c r="AL126" s="317">
        <f t="shared" si="113"/>
        <v>0</v>
      </c>
      <c r="AM126" s="317">
        <f t="shared" si="114"/>
        <v>0</v>
      </c>
      <c r="AN126" s="317">
        <f t="shared" si="115"/>
        <v>0</v>
      </c>
      <c r="AO126" s="317">
        <f t="shared" si="116"/>
        <v>0</v>
      </c>
      <c r="AP126" s="317">
        <f t="shared" si="117"/>
        <v>0</v>
      </c>
      <c r="AQ126" s="317">
        <f t="shared" si="118"/>
        <v>0</v>
      </c>
      <c r="AR126" s="317">
        <f t="shared" si="119"/>
        <v>0</v>
      </c>
      <c r="AS126" s="317">
        <f t="shared" si="120"/>
        <v>0</v>
      </c>
      <c r="AT126" s="317">
        <f t="shared" si="121"/>
        <v>0</v>
      </c>
      <c r="AU126" s="317">
        <f t="shared" si="122"/>
        <v>0</v>
      </c>
      <c r="AV126" s="317">
        <f t="shared" si="123"/>
        <v>0</v>
      </c>
      <c r="AW126" s="317">
        <f t="shared" si="124"/>
        <v>0</v>
      </c>
      <c r="AX126" s="317">
        <f t="shared" si="125"/>
        <v>0</v>
      </c>
      <c r="AY126" s="317">
        <f t="shared" si="126"/>
        <v>0</v>
      </c>
      <c r="AZ126" s="317">
        <f t="shared" si="127"/>
        <v>0</v>
      </c>
      <c r="BA126" s="317">
        <f t="shared" si="128"/>
        <v>0</v>
      </c>
    </row>
    <row r="127" spans="1:53" s="314" customFormat="1" ht="16.5" customHeight="1">
      <c r="A127" s="63" t="str">
        <f t="array" ref="A127">IF(C127&lt;&gt;0,SUM(($C$11:C127&lt;&gt;0)*1),"")</f>
        <v/>
      </c>
      <c r="B127" s="315"/>
      <c r="C127" s="315"/>
      <c r="D127" s="315"/>
      <c r="E127" s="433"/>
      <c r="F127" s="371"/>
      <c r="G127" s="373"/>
      <c r="H127" s="373"/>
      <c r="I127" s="63" t="str">
        <f t="shared" si="90"/>
        <v/>
      </c>
      <c r="J127" s="317">
        <f t="shared" si="91"/>
        <v>0</v>
      </c>
      <c r="K127" s="317">
        <f t="shared" si="92"/>
        <v>0</v>
      </c>
      <c r="L127" s="317">
        <f t="shared" si="93"/>
        <v>0</v>
      </c>
      <c r="M127" s="317">
        <f t="shared" si="94"/>
        <v>0</v>
      </c>
      <c r="N127" s="317">
        <f t="shared" si="83"/>
        <v>0</v>
      </c>
      <c r="O127" s="317">
        <f t="shared" si="84"/>
        <v>0</v>
      </c>
      <c r="P127" s="317">
        <f t="shared" si="95"/>
        <v>0</v>
      </c>
      <c r="Q127" s="317">
        <f t="shared" si="96"/>
        <v>0</v>
      </c>
      <c r="R127" s="317">
        <f t="shared" si="97"/>
        <v>0</v>
      </c>
      <c r="S127" s="317">
        <f t="shared" si="98"/>
        <v>0</v>
      </c>
      <c r="T127" s="317">
        <f t="shared" si="85"/>
        <v>0</v>
      </c>
      <c r="U127" s="317">
        <f t="shared" si="86"/>
        <v>0</v>
      </c>
      <c r="V127" s="317">
        <f t="shared" si="99"/>
        <v>0</v>
      </c>
      <c r="W127" s="317">
        <f t="shared" si="100"/>
        <v>0</v>
      </c>
      <c r="X127" s="317">
        <f t="shared" si="101"/>
        <v>0</v>
      </c>
      <c r="Y127" s="317">
        <f t="shared" si="102"/>
        <v>0</v>
      </c>
      <c r="Z127" s="317">
        <f t="shared" si="103"/>
        <v>0</v>
      </c>
      <c r="AA127" s="317">
        <f t="shared" si="104"/>
        <v>0</v>
      </c>
      <c r="AB127" s="317">
        <f t="shared" si="105"/>
        <v>0</v>
      </c>
      <c r="AC127" s="317">
        <f t="shared" si="106"/>
        <v>0</v>
      </c>
      <c r="AD127" s="317">
        <f t="shared" si="107"/>
        <v>0</v>
      </c>
      <c r="AE127" s="317">
        <f t="shared" si="108"/>
        <v>0</v>
      </c>
      <c r="AF127" s="317">
        <f t="shared" si="87"/>
        <v>0</v>
      </c>
      <c r="AG127" s="317">
        <f t="shared" si="88"/>
        <v>0</v>
      </c>
      <c r="AH127" s="317">
        <f t="shared" si="109"/>
        <v>0</v>
      </c>
      <c r="AI127" s="317">
        <f t="shared" si="110"/>
        <v>0</v>
      </c>
      <c r="AJ127" s="317">
        <f t="shared" si="111"/>
        <v>0</v>
      </c>
      <c r="AK127" s="317">
        <f t="shared" si="112"/>
        <v>0</v>
      </c>
      <c r="AL127" s="317">
        <f t="shared" si="113"/>
        <v>0</v>
      </c>
      <c r="AM127" s="317">
        <f t="shared" si="114"/>
        <v>0</v>
      </c>
      <c r="AN127" s="317">
        <f t="shared" si="115"/>
        <v>0</v>
      </c>
      <c r="AO127" s="317">
        <f t="shared" si="116"/>
        <v>0</v>
      </c>
      <c r="AP127" s="317">
        <f t="shared" si="117"/>
        <v>0</v>
      </c>
      <c r="AQ127" s="317">
        <f t="shared" si="118"/>
        <v>0</v>
      </c>
      <c r="AR127" s="317">
        <f t="shared" si="119"/>
        <v>0</v>
      </c>
      <c r="AS127" s="317">
        <f t="shared" si="120"/>
        <v>0</v>
      </c>
      <c r="AT127" s="317">
        <f t="shared" si="121"/>
        <v>0</v>
      </c>
      <c r="AU127" s="317">
        <f t="shared" si="122"/>
        <v>0</v>
      </c>
      <c r="AV127" s="317">
        <f t="shared" si="123"/>
        <v>0</v>
      </c>
      <c r="AW127" s="317">
        <f t="shared" si="124"/>
        <v>0</v>
      </c>
      <c r="AX127" s="317">
        <f t="shared" si="125"/>
        <v>0</v>
      </c>
      <c r="AY127" s="317">
        <f t="shared" si="126"/>
        <v>0</v>
      </c>
      <c r="AZ127" s="317">
        <f t="shared" si="127"/>
        <v>0</v>
      </c>
      <c r="BA127" s="317">
        <f t="shared" si="128"/>
        <v>0</v>
      </c>
    </row>
    <row r="128" spans="1:53" s="314" customFormat="1" ht="16.5" customHeight="1">
      <c r="A128" s="63" t="str">
        <f t="array" ref="A128">IF(C128&lt;&gt;0,SUM(($C$11:C128&lt;&gt;0)*1),"")</f>
        <v/>
      </c>
      <c r="B128" s="315"/>
      <c r="C128" s="315"/>
      <c r="D128" s="315"/>
      <c r="E128" s="433"/>
      <c r="F128" s="371"/>
      <c r="G128" s="373"/>
      <c r="H128" s="373"/>
      <c r="I128" s="63" t="str">
        <f t="shared" si="90"/>
        <v/>
      </c>
      <c r="J128" s="317">
        <f t="shared" si="91"/>
        <v>0</v>
      </c>
      <c r="K128" s="317">
        <f t="shared" si="92"/>
        <v>0</v>
      </c>
      <c r="L128" s="317">
        <f t="shared" si="93"/>
        <v>0</v>
      </c>
      <c r="M128" s="317">
        <f t="shared" si="94"/>
        <v>0</v>
      </c>
      <c r="N128" s="317">
        <f t="shared" si="83"/>
        <v>0</v>
      </c>
      <c r="O128" s="317">
        <f t="shared" si="84"/>
        <v>0</v>
      </c>
      <c r="P128" s="317">
        <f t="shared" si="95"/>
        <v>0</v>
      </c>
      <c r="Q128" s="317">
        <f t="shared" si="96"/>
        <v>0</v>
      </c>
      <c r="R128" s="317">
        <f t="shared" si="97"/>
        <v>0</v>
      </c>
      <c r="S128" s="317">
        <f t="shared" si="98"/>
        <v>0</v>
      </c>
      <c r="T128" s="317">
        <f t="shared" si="85"/>
        <v>0</v>
      </c>
      <c r="U128" s="317">
        <f t="shared" si="86"/>
        <v>0</v>
      </c>
      <c r="V128" s="317">
        <f t="shared" si="99"/>
        <v>0</v>
      </c>
      <c r="W128" s="317">
        <f t="shared" si="100"/>
        <v>0</v>
      </c>
      <c r="X128" s="317">
        <f t="shared" si="101"/>
        <v>0</v>
      </c>
      <c r="Y128" s="317">
        <f t="shared" si="102"/>
        <v>0</v>
      </c>
      <c r="Z128" s="317">
        <f t="shared" si="103"/>
        <v>0</v>
      </c>
      <c r="AA128" s="317">
        <f t="shared" si="104"/>
        <v>0</v>
      </c>
      <c r="AB128" s="317">
        <f t="shared" si="105"/>
        <v>0</v>
      </c>
      <c r="AC128" s="317">
        <f t="shared" si="106"/>
        <v>0</v>
      </c>
      <c r="AD128" s="317">
        <f t="shared" si="107"/>
        <v>0</v>
      </c>
      <c r="AE128" s="317">
        <f t="shared" si="108"/>
        <v>0</v>
      </c>
      <c r="AF128" s="317">
        <f t="shared" si="87"/>
        <v>0</v>
      </c>
      <c r="AG128" s="317">
        <f t="shared" si="88"/>
        <v>0</v>
      </c>
      <c r="AH128" s="317">
        <f t="shared" si="109"/>
        <v>0</v>
      </c>
      <c r="AI128" s="317">
        <f t="shared" si="110"/>
        <v>0</v>
      </c>
      <c r="AJ128" s="317">
        <f t="shared" si="111"/>
        <v>0</v>
      </c>
      <c r="AK128" s="317">
        <f t="shared" si="112"/>
        <v>0</v>
      </c>
      <c r="AL128" s="317">
        <f t="shared" si="113"/>
        <v>0</v>
      </c>
      <c r="AM128" s="317">
        <f t="shared" si="114"/>
        <v>0</v>
      </c>
      <c r="AN128" s="317">
        <f t="shared" si="115"/>
        <v>0</v>
      </c>
      <c r="AO128" s="317">
        <f t="shared" si="116"/>
        <v>0</v>
      </c>
      <c r="AP128" s="317">
        <f t="shared" si="117"/>
        <v>0</v>
      </c>
      <c r="AQ128" s="317">
        <f t="shared" si="118"/>
        <v>0</v>
      </c>
      <c r="AR128" s="317">
        <f t="shared" si="119"/>
        <v>0</v>
      </c>
      <c r="AS128" s="317">
        <f t="shared" si="120"/>
        <v>0</v>
      </c>
      <c r="AT128" s="317">
        <f t="shared" si="121"/>
        <v>0</v>
      </c>
      <c r="AU128" s="317">
        <f t="shared" si="122"/>
        <v>0</v>
      </c>
      <c r="AV128" s="317">
        <f t="shared" si="123"/>
        <v>0</v>
      </c>
      <c r="AW128" s="317">
        <f t="shared" si="124"/>
        <v>0</v>
      </c>
      <c r="AX128" s="317">
        <f t="shared" si="125"/>
        <v>0</v>
      </c>
      <c r="AY128" s="317">
        <f t="shared" si="126"/>
        <v>0</v>
      </c>
      <c r="AZ128" s="317">
        <f t="shared" si="127"/>
        <v>0</v>
      </c>
      <c r="BA128" s="317">
        <f t="shared" si="128"/>
        <v>0</v>
      </c>
    </row>
    <row r="129" spans="1:53" s="314" customFormat="1" ht="16.5" customHeight="1">
      <c r="A129" s="63" t="str">
        <f t="array" ref="A129">IF(C129&lt;&gt;0,SUM(($C$11:C129&lt;&gt;0)*1),"")</f>
        <v/>
      </c>
      <c r="B129" s="315"/>
      <c r="C129" s="315"/>
      <c r="D129" s="315"/>
      <c r="E129" s="433"/>
      <c r="F129" s="371"/>
      <c r="G129" s="373"/>
      <c r="H129" s="373"/>
      <c r="I129" s="63" t="str">
        <f t="shared" si="90"/>
        <v/>
      </c>
      <c r="J129" s="317">
        <f t="shared" si="91"/>
        <v>0</v>
      </c>
      <c r="K129" s="317">
        <f t="shared" si="92"/>
        <v>0</v>
      </c>
      <c r="L129" s="317">
        <f t="shared" si="93"/>
        <v>0</v>
      </c>
      <c r="M129" s="317">
        <f t="shared" si="94"/>
        <v>0</v>
      </c>
      <c r="N129" s="317">
        <f t="shared" si="83"/>
        <v>0</v>
      </c>
      <c r="O129" s="317">
        <f t="shared" si="84"/>
        <v>0</v>
      </c>
      <c r="P129" s="317">
        <f t="shared" si="95"/>
        <v>0</v>
      </c>
      <c r="Q129" s="317">
        <f t="shared" si="96"/>
        <v>0</v>
      </c>
      <c r="R129" s="317">
        <f t="shared" si="97"/>
        <v>0</v>
      </c>
      <c r="S129" s="317">
        <f t="shared" si="98"/>
        <v>0</v>
      </c>
      <c r="T129" s="317">
        <f t="shared" si="85"/>
        <v>0</v>
      </c>
      <c r="U129" s="317">
        <f t="shared" si="86"/>
        <v>0</v>
      </c>
      <c r="V129" s="317">
        <f t="shared" si="99"/>
        <v>0</v>
      </c>
      <c r="W129" s="317">
        <f t="shared" si="100"/>
        <v>0</v>
      </c>
      <c r="X129" s="317">
        <f t="shared" si="101"/>
        <v>0</v>
      </c>
      <c r="Y129" s="317">
        <f t="shared" si="102"/>
        <v>0</v>
      </c>
      <c r="Z129" s="317">
        <f t="shared" si="103"/>
        <v>0</v>
      </c>
      <c r="AA129" s="317">
        <f t="shared" si="104"/>
        <v>0</v>
      </c>
      <c r="AB129" s="317">
        <f t="shared" si="105"/>
        <v>0</v>
      </c>
      <c r="AC129" s="317">
        <f t="shared" si="106"/>
        <v>0</v>
      </c>
      <c r="AD129" s="317">
        <f t="shared" si="107"/>
        <v>0</v>
      </c>
      <c r="AE129" s="317">
        <f t="shared" si="108"/>
        <v>0</v>
      </c>
      <c r="AF129" s="317">
        <f t="shared" si="87"/>
        <v>0</v>
      </c>
      <c r="AG129" s="317">
        <f t="shared" si="88"/>
        <v>0</v>
      </c>
      <c r="AH129" s="317">
        <f t="shared" si="109"/>
        <v>0</v>
      </c>
      <c r="AI129" s="317">
        <f t="shared" si="110"/>
        <v>0</v>
      </c>
      <c r="AJ129" s="317">
        <f t="shared" si="111"/>
        <v>0</v>
      </c>
      <c r="AK129" s="317">
        <f t="shared" si="112"/>
        <v>0</v>
      </c>
      <c r="AL129" s="317">
        <f t="shared" si="113"/>
        <v>0</v>
      </c>
      <c r="AM129" s="317">
        <f t="shared" si="114"/>
        <v>0</v>
      </c>
      <c r="AN129" s="317">
        <f t="shared" si="115"/>
        <v>0</v>
      </c>
      <c r="AO129" s="317">
        <f t="shared" si="116"/>
        <v>0</v>
      </c>
      <c r="AP129" s="317">
        <f t="shared" si="117"/>
        <v>0</v>
      </c>
      <c r="AQ129" s="317">
        <f t="shared" si="118"/>
        <v>0</v>
      </c>
      <c r="AR129" s="317">
        <f t="shared" si="119"/>
        <v>0</v>
      </c>
      <c r="AS129" s="317">
        <f t="shared" si="120"/>
        <v>0</v>
      </c>
      <c r="AT129" s="317">
        <f t="shared" si="121"/>
        <v>0</v>
      </c>
      <c r="AU129" s="317">
        <f t="shared" si="122"/>
        <v>0</v>
      </c>
      <c r="AV129" s="317">
        <f t="shared" si="123"/>
        <v>0</v>
      </c>
      <c r="AW129" s="317">
        <f t="shared" si="124"/>
        <v>0</v>
      </c>
      <c r="AX129" s="317">
        <f t="shared" si="125"/>
        <v>0</v>
      </c>
      <c r="AY129" s="317">
        <f t="shared" si="126"/>
        <v>0</v>
      </c>
      <c r="AZ129" s="317">
        <f t="shared" si="127"/>
        <v>0</v>
      </c>
      <c r="BA129" s="317">
        <f t="shared" si="128"/>
        <v>0</v>
      </c>
    </row>
    <row r="130" spans="1:53" s="314" customFormat="1" ht="16.5" customHeight="1">
      <c r="A130" s="63" t="str">
        <f t="array" ref="A130">IF(C130&lt;&gt;0,SUM(($C$11:C130&lt;&gt;0)*1),"")</f>
        <v/>
      </c>
      <c r="B130" s="315"/>
      <c r="C130" s="315"/>
      <c r="D130" s="315"/>
      <c r="E130" s="433"/>
      <c r="F130" s="371"/>
      <c r="G130" s="373"/>
      <c r="H130" s="373"/>
      <c r="I130" s="63" t="str">
        <f t="shared" si="90"/>
        <v/>
      </c>
      <c r="J130" s="317">
        <f t="shared" si="91"/>
        <v>0</v>
      </c>
      <c r="K130" s="317">
        <f t="shared" si="92"/>
        <v>0</v>
      </c>
      <c r="L130" s="317">
        <f t="shared" si="93"/>
        <v>0</v>
      </c>
      <c r="M130" s="317">
        <f t="shared" si="94"/>
        <v>0</v>
      </c>
      <c r="N130" s="317">
        <f t="shared" si="83"/>
        <v>0</v>
      </c>
      <c r="O130" s="317">
        <f t="shared" si="84"/>
        <v>0</v>
      </c>
      <c r="P130" s="317">
        <f t="shared" si="95"/>
        <v>0</v>
      </c>
      <c r="Q130" s="317">
        <f t="shared" si="96"/>
        <v>0</v>
      </c>
      <c r="R130" s="317">
        <f t="shared" si="97"/>
        <v>0</v>
      </c>
      <c r="S130" s="317">
        <f t="shared" si="98"/>
        <v>0</v>
      </c>
      <c r="T130" s="317">
        <f t="shared" si="85"/>
        <v>0</v>
      </c>
      <c r="U130" s="317">
        <f t="shared" si="86"/>
        <v>0</v>
      </c>
      <c r="V130" s="317">
        <f t="shared" si="99"/>
        <v>0</v>
      </c>
      <c r="W130" s="317">
        <f t="shared" si="100"/>
        <v>0</v>
      </c>
      <c r="X130" s="317">
        <f t="shared" si="101"/>
        <v>0</v>
      </c>
      <c r="Y130" s="317">
        <f t="shared" si="102"/>
        <v>0</v>
      </c>
      <c r="Z130" s="317">
        <f t="shared" si="103"/>
        <v>0</v>
      </c>
      <c r="AA130" s="317">
        <f t="shared" si="104"/>
        <v>0</v>
      </c>
      <c r="AB130" s="317">
        <f t="shared" si="105"/>
        <v>0</v>
      </c>
      <c r="AC130" s="317">
        <f t="shared" si="106"/>
        <v>0</v>
      </c>
      <c r="AD130" s="317">
        <f t="shared" si="107"/>
        <v>0</v>
      </c>
      <c r="AE130" s="317">
        <f t="shared" si="108"/>
        <v>0</v>
      </c>
      <c r="AF130" s="317">
        <f t="shared" si="87"/>
        <v>0</v>
      </c>
      <c r="AG130" s="317">
        <f t="shared" si="88"/>
        <v>0</v>
      </c>
      <c r="AH130" s="317">
        <f t="shared" si="109"/>
        <v>0</v>
      </c>
      <c r="AI130" s="317">
        <f t="shared" si="110"/>
        <v>0</v>
      </c>
      <c r="AJ130" s="317">
        <f t="shared" si="111"/>
        <v>0</v>
      </c>
      <c r="AK130" s="317">
        <f t="shared" si="112"/>
        <v>0</v>
      </c>
      <c r="AL130" s="317">
        <f t="shared" si="113"/>
        <v>0</v>
      </c>
      <c r="AM130" s="317">
        <f t="shared" si="114"/>
        <v>0</v>
      </c>
      <c r="AN130" s="317">
        <f t="shared" si="115"/>
        <v>0</v>
      </c>
      <c r="AO130" s="317">
        <f t="shared" si="116"/>
        <v>0</v>
      </c>
      <c r="AP130" s="317">
        <f t="shared" si="117"/>
        <v>0</v>
      </c>
      <c r="AQ130" s="317">
        <f t="shared" si="118"/>
        <v>0</v>
      </c>
      <c r="AR130" s="317">
        <f t="shared" si="119"/>
        <v>0</v>
      </c>
      <c r="AS130" s="317">
        <f t="shared" si="120"/>
        <v>0</v>
      </c>
      <c r="AT130" s="317">
        <f t="shared" si="121"/>
        <v>0</v>
      </c>
      <c r="AU130" s="317">
        <f t="shared" si="122"/>
        <v>0</v>
      </c>
      <c r="AV130" s="317">
        <f t="shared" si="123"/>
        <v>0</v>
      </c>
      <c r="AW130" s="317">
        <f t="shared" si="124"/>
        <v>0</v>
      </c>
      <c r="AX130" s="317">
        <f t="shared" si="125"/>
        <v>0</v>
      </c>
      <c r="AY130" s="317">
        <f t="shared" si="126"/>
        <v>0</v>
      </c>
      <c r="AZ130" s="317">
        <f t="shared" si="127"/>
        <v>0</v>
      </c>
      <c r="BA130" s="317">
        <f t="shared" si="128"/>
        <v>0</v>
      </c>
    </row>
    <row r="131" spans="1:53" s="314" customFormat="1" ht="16.5" customHeight="1">
      <c r="A131" s="63" t="str">
        <f t="array" ref="A131">IF(C131&lt;&gt;0,SUM(($C$11:C131&lt;&gt;0)*1),"")</f>
        <v/>
      </c>
      <c r="B131" s="315"/>
      <c r="C131" s="315"/>
      <c r="D131" s="315"/>
      <c r="E131" s="433"/>
      <c r="F131" s="371"/>
      <c r="G131" s="373"/>
      <c r="H131" s="373"/>
      <c r="I131" s="63" t="str">
        <f>A131</f>
        <v/>
      </c>
      <c r="J131" s="317">
        <f>IF($G131="1111",$F131,0)</f>
        <v>0</v>
      </c>
      <c r="K131" s="317">
        <f>IF($H131="1111",$F131,0)</f>
        <v>0</v>
      </c>
      <c r="L131" s="317">
        <f>IF($G131="1121",$F131,0)</f>
        <v>0</v>
      </c>
      <c r="M131" s="317">
        <f>IF($H131="1121",$F131,0)</f>
        <v>0</v>
      </c>
      <c r="N131" s="317">
        <f t="shared" si="83"/>
        <v>0</v>
      </c>
      <c r="O131" s="317">
        <f t="shared" si="84"/>
        <v>0</v>
      </c>
      <c r="P131" s="317">
        <f>IF($G131="1331",$F131,0)</f>
        <v>0</v>
      </c>
      <c r="Q131" s="317">
        <f>IF($H131="1331",$F131,0)</f>
        <v>0</v>
      </c>
      <c r="R131" s="317">
        <f>IF($G131="1388",$F131,0)</f>
        <v>0</v>
      </c>
      <c r="S131" s="317">
        <f>IF($H131="1388",$F131,0)</f>
        <v>0</v>
      </c>
      <c r="T131" s="317">
        <f t="shared" si="85"/>
        <v>0</v>
      </c>
      <c r="U131" s="317">
        <f t="shared" si="86"/>
        <v>0</v>
      </c>
      <c r="V131" s="317">
        <f>IF($G131="331",$F131,0)</f>
        <v>0</v>
      </c>
      <c r="W131" s="317">
        <f>IF($H131="331",$F131,0)</f>
        <v>0</v>
      </c>
      <c r="X131" s="317">
        <f>IF($G131="3334",$F131,0)</f>
        <v>0</v>
      </c>
      <c r="Y131" s="317">
        <f>IF($H131="3334",$F131,0)</f>
        <v>0</v>
      </c>
      <c r="Z131" s="317">
        <f>IF($G131="33382",$F131,0)</f>
        <v>0</v>
      </c>
      <c r="AA131" s="317">
        <f>IF($H131="33382",$F131,0)</f>
        <v>0</v>
      </c>
      <c r="AB131" s="317">
        <f>IF($G131="3388",$F131,0)</f>
        <v>0</v>
      </c>
      <c r="AC131" s="317">
        <f>IF($H131="3388",$F131,0)</f>
        <v>0</v>
      </c>
      <c r="AD131" s="317">
        <f>IF($G131="3411",$F131,0)</f>
        <v>0</v>
      </c>
      <c r="AE131" s="317">
        <f>IF($H131="3411",$F131,0)</f>
        <v>0</v>
      </c>
      <c r="AF131" s="317">
        <f t="shared" si="87"/>
        <v>0</v>
      </c>
      <c r="AG131" s="317">
        <f t="shared" si="88"/>
        <v>0</v>
      </c>
      <c r="AH131" s="317">
        <f>IF($G131="4111",$F131,0)</f>
        <v>0</v>
      </c>
      <c r="AI131" s="317">
        <f>IF($H131="4111",$F131,0)</f>
        <v>0</v>
      </c>
      <c r="AJ131" s="317">
        <f>IF($G131="4211",$F131,0)</f>
        <v>0</v>
      </c>
      <c r="AK131" s="317">
        <f>IF($H131="4211",$F131,0)</f>
        <v>0</v>
      </c>
      <c r="AL131" s="317">
        <f>IF($G131="4212",$F131,0)</f>
        <v>0</v>
      </c>
      <c r="AM131" s="317">
        <f>IF($H131="4212",$F131,0)</f>
        <v>0</v>
      </c>
      <c r="AN131" s="317">
        <f>IF($G131="515",$F131,0)</f>
        <v>0</v>
      </c>
      <c r="AO131" s="317">
        <f>IF($H131="515",$F131,0)</f>
        <v>0</v>
      </c>
      <c r="AP131" s="317">
        <f>IF($G131="635",$F131,0)</f>
        <v>0</v>
      </c>
      <c r="AQ131" s="317">
        <f>IF($H131="635",$F131,0)</f>
        <v>0</v>
      </c>
      <c r="AR131" s="317">
        <f>IF($G131="642",$F131,0)</f>
        <v>0</v>
      </c>
      <c r="AS131" s="317">
        <f>IF($H131="642",$F131,0)</f>
        <v>0</v>
      </c>
      <c r="AT131" s="317">
        <f>IF($G131="711",$F131,0)</f>
        <v>0</v>
      </c>
      <c r="AU131" s="317">
        <f>IF($H131="711",$F131,0)</f>
        <v>0</v>
      </c>
      <c r="AV131" s="317">
        <f>IF($G131="811",$F131,0)</f>
        <v>0</v>
      </c>
      <c r="AW131" s="317">
        <f>IF($H131="811",$F131,0)</f>
        <v>0</v>
      </c>
      <c r="AX131" s="317">
        <f>IF($G131="821",$F131,0)</f>
        <v>0</v>
      </c>
      <c r="AY131" s="317">
        <f>IF($H131="821",$F131,0)</f>
        <v>0</v>
      </c>
      <c r="AZ131" s="317">
        <f>IF($G131="911",$F131,0)</f>
        <v>0</v>
      </c>
      <c r="BA131" s="317">
        <f>IF($H131="911",$F131,0)</f>
        <v>0</v>
      </c>
    </row>
    <row r="132" spans="1:53" s="314" customFormat="1" ht="16.5" customHeight="1">
      <c r="A132" s="63" t="str">
        <f t="array" ref="A132">IF(C132&lt;&gt;0,SUM(($C$11:C132&lt;&gt;0)*1),"")</f>
        <v/>
      </c>
      <c r="B132" s="315"/>
      <c r="C132" s="315"/>
      <c r="D132" s="315"/>
      <c r="E132" s="433"/>
      <c r="F132" s="371"/>
      <c r="G132" s="373"/>
      <c r="H132" s="373"/>
      <c r="I132" s="63" t="str">
        <f>A132</f>
        <v/>
      </c>
      <c r="J132" s="317">
        <f>IF($G132="1111",$F132,0)</f>
        <v>0</v>
      </c>
      <c r="K132" s="317">
        <f>IF($H132="1111",$F132,0)</f>
        <v>0</v>
      </c>
      <c r="L132" s="317">
        <f>IF($G132="1121",$F132,0)</f>
        <v>0</v>
      </c>
      <c r="M132" s="317">
        <f>IF($H132="1121",$F132,0)</f>
        <v>0</v>
      </c>
      <c r="N132" s="317">
        <f t="shared" si="83"/>
        <v>0</v>
      </c>
      <c r="O132" s="317">
        <f t="shared" si="84"/>
        <v>0</v>
      </c>
      <c r="P132" s="317">
        <f>IF($G132="1331",$F132,0)</f>
        <v>0</v>
      </c>
      <c r="Q132" s="317">
        <f>IF($H132="1331",$F132,0)</f>
        <v>0</v>
      </c>
      <c r="R132" s="317">
        <f>IF($G132="1388",$F132,0)</f>
        <v>0</v>
      </c>
      <c r="S132" s="317">
        <f>IF($H132="1388",$F132,0)</f>
        <v>0</v>
      </c>
      <c r="T132" s="317">
        <f t="shared" si="85"/>
        <v>0</v>
      </c>
      <c r="U132" s="317">
        <f t="shared" si="86"/>
        <v>0</v>
      </c>
      <c r="V132" s="317">
        <f>IF($G132="331",$F132,0)</f>
        <v>0</v>
      </c>
      <c r="W132" s="317">
        <f>IF($H132="331",$F132,0)</f>
        <v>0</v>
      </c>
      <c r="X132" s="317">
        <f>IF($G132="3334",$F132,0)</f>
        <v>0</v>
      </c>
      <c r="Y132" s="317">
        <f>IF($H132="3334",$F132,0)</f>
        <v>0</v>
      </c>
      <c r="Z132" s="317">
        <f>IF($G132="33382",$F132,0)</f>
        <v>0</v>
      </c>
      <c r="AA132" s="317">
        <f>IF($H132="33382",$F132,0)</f>
        <v>0</v>
      </c>
      <c r="AB132" s="317">
        <f>IF($G132="3388",$F132,0)</f>
        <v>0</v>
      </c>
      <c r="AC132" s="317">
        <f>IF($H132="3388",$F132,0)</f>
        <v>0</v>
      </c>
      <c r="AD132" s="317">
        <f>IF($G132="3411",$F132,0)</f>
        <v>0</v>
      </c>
      <c r="AE132" s="317">
        <f>IF($H132="3411",$F132,0)</f>
        <v>0</v>
      </c>
      <c r="AF132" s="317">
        <f t="shared" si="87"/>
        <v>0</v>
      </c>
      <c r="AG132" s="317">
        <f t="shared" si="88"/>
        <v>0</v>
      </c>
      <c r="AH132" s="317">
        <f>IF($G132="4111",$F132,0)</f>
        <v>0</v>
      </c>
      <c r="AI132" s="317">
        <f>IF($H132="4111",$F132,0)</f>
        <v>0</v>
      </c>
      <c r="AJ132" s="317">
        <f>IF($G132="4211",$F132,0)</f>
        <v>0</v>
      </c>
      <c r="AK132" s="317">
        <f>IF($H132="4211",$F132,0)</f>
        <v>0</v>
      </c>
      <c r="AL132" s="317">
        <f>IF($G132="4212",$F132,0)</f>
        <v>0</v>
      </c>
      <c r="AM132" s="317">
        <f>IF($H132="4212",$F132,0)</f>
        <v>0</v>
      </c>
      <c r="AN132" s="317">
        <f>IF($G132="515",$F132,0)</f>
        <v>0</v>
      </c>
      <c r="AO132" s="317">
        <f>IF($H132="515",$F132,0)</f>
        <v>0</v>
      </c>
      <c r="AP132" s="317">
        <f>IF($G132="635",$F132,0)</f>
        <v>0</v>
      </c>
      <c r="AQ132" s="317">
        <f>IF($H132="635",$F132,0)</f>
        <v>0</v>
      </c>
      <c r="AR132" s="317">
        <f>IF($G132="642",$F132,0)</f>
        <v>0</v>
      </c>
      <c r="AS132" s="317">
        <f>IF($H132="642",$F132,0)</f>
        <v>0</v>
      </c>
      <c r="AT132" s="317">
        <f>IF($G132="711",$F132,0)</f>
        <v>0</v>
      </c>
      <c r="AU132" s="317">
        <f>IF($H132="711",$F132,0)</f>
        <v>0</v>
      </c>
      <c r="AV132" s="317">
        <f>IF($G132="811",$F132,0)</f>
        <v>0</v>
      </c>
      <c r="AW132" s="317">
        <f>IF($H132="811",$F132,0)</f>
        <v>0</v>
      </c>
      <c r="AX132" s="317">
        <f>IF($G132="821",$F132,0)</f>
        <v>0</v>
      </c>
      <c r="AY132" s="317">
        <f>IF($H132="821",$F132,0)</f>
        <v>0</v>
      </c>
      <c r="AZ132" s="317">
        <f>IF($G132="911",$F132,0)</f>
        <v>0</v>
      </c>
      <c r="BA132" s="317">
        <f>IF($H132="911",$F132,0)</f>
        <v>0</v>
      </c>
    </row>
    <row r="133" spans="1:53" s="314" customFormat="1" ht="16.5" customHeight="1">
      <c r="A133" s="63" t="str">
        <f t="array" ref="A133">IF(C133&lt;&gt;0,SUM(($C$11:C133&lt;&gt;0)*1),"")</f>
        <v/>
      </c>
      <c r="B133" s="315"/>
      <c r="C133" s="315"/>
      <c r="D133" s="315"/>
      <c r="E133" s="433"/>
      <c r="F133" s="371"/>
      <c r="G133" s="373"/>
      <c r="H133" s="373"/>
      <c r="I133" s="63" t="str">
        <f>A133</f>
        <v/>
      </c>
      <c r="J133" s="317">
        <f>IF($G133="1111",$F133,0)</f>
        <v>0</v>
      </c>
      <c r="K133" s="317">
        <f>IF($H133="1111",$F133,0)</f>
        <v>0</v>
      </c>
      <c r="L133" s="317">
        <f>IF($G133="1121",$F133,0)</f>
        <v>0</v>
      </c>
      <c r="M133" s="317">
        <f>IF($H133="1121",$F133,0)</f>
        <v>0</v>
      </c>
      <c r="N133" s="317">
        <f t="shared" si="83"/>
        <v>0</v>
      </c>
      <c r="O133" s="317">
        <f t="shared" si="84"/>
        <v>0</v>
      </c>
      <c r="P133" s="317">
        <f>IF($G133="1331",$F133,0)</f>
        <v>0</v>
      </c>
      <c r="Q133" s="317">
        <f>IF($H133="1331",$F133,0)</f>
        <v>0</v>
      </c>
      <c r="R133" s="317">
        <f>IF($G133="1388",$F133,0)</f>
        <v>0</v>
      </c>
      <c r="S133" s="317">
        <f>IF($H133="1388",$F133,0)</f>
        <v>0</v>
      </c>
      <c r="T133" s="317">
        <f t="shared" si="85"/>
        <v>0</v>
      </c>
      <c r="U133" s="317">
        <f t="shared" si="86"/>
        <v>0</v>
      </c>
      <c r="V133" s="317">
        <f>IF($G133="331",$F133,0)</f>
        <v>0</v>
      </c>
      <c r="W133" s="317">
        <f>IF($H133="331",$F133,0)</f>
        <v>0</v>
      </c>
      <c r="X133" s="317">
        <f>IF($G133="3334",$F133,0)</f>
        <v>0</v>
      </c>
      <c r="Y133" s="317">
        <f>IF($H133="3334",$F133,0)</f>
        <v>0</v>
      </c>
      <c r="Z133" s="317">
        <f>IF($G133="33382",$F133,0)</f>
        <v>0</v>
      </c>
      <c r="AA133" s="317">
        <f>IF($H133="33382",$F133,0)</f>
        <v>0</v>
      </c>
      <c r="AB133" s="317">
        <f>IF($G133="3388",$F133,0)</f>
        <v>0</v>
      </c>
      <c r="AC133" s="317">
        <f>IF($H133="3388",$F133,0)</f>
        <v>0</v>
      </c>
      <c r="AD133" s="317">
        <f>IF($G133="3411",$F133,0)</f>
        <v>0</v>
      </c>
      <c r="AE133" s="317">
        <f>IF($H133="3411",$F133,0)</f>
        <v>0</v>
      </c>
      <c r="AF133" s="317">
        <f t="shared" si="87"/>
        <v>0</v>
      </c>
      <c r="AG133" s="317">
        <f t="shared" si="88"/>
        <v>0</v>
      </c>
      <c r="AH133" s="317">
        <f>IF($G133="4111",$F133,0)</f>
        <v>0</v>
      </c>
      <c r="AI133" s="317">
        <f>IF($H133="4111",$F133,0)</f>
        <v>0</v>
      </c>
      <c r="AJ133" s="317">
        <f>IF($G133="4211",$F133,0)</f>
        <v>0</v>
      </c>
      <c r="AK133" s="317">
        <f>IF($H133="4211",$F133,0)</f>
        <v>0</v>
      </c>
      <c r="AL133" s="317">
        <f>IF($G133="4212",$F133,0)</f>
        <v>0</v>
      </c>
      <c r="AM133" s="317">
        <f>IF($H133="4212",$F133,0)</f>
        <v>0</v>
      </c>
      <c r="AN133" s="317">
        <f>IF($G133="515",$F133,0)</f>
        <v>0</v>
      </c>
      <c r="AO133" s="317">
        <f>IF($H133="515",$F133,0)</f>
        <v>0</v>
      </c>
      <c r="AP133" s="317">
        <f>IF($G133="635",$F133,0)</f>
        <v>0</v>
      </c>
      <c r="AQ133" s="317">
        <f>IF($H133="635",$F133,0)</f>
        <v>0</v>
      </c>
      <c r="AR133" s="317">
        <f>IF($G133="642",$F133,0)</f>
        <v>0</v>
      </c>
      <c r="AS133" s="317">
        <f>IF($H133="642",$F133,0)</f>
        <v>0</v>
      </c>
      <c r="AT133" s="317">
        <f>IF($G133="711",$F133,0)</f>
        <v>0</v>
      </c>
      <c r="AU133" s="317">
        <f>IF($H133="711",$F133,0)</f>
        <v>0</v>
      </c>
      <c r="AV133" s="317">
        <f>IF($G133="811",$F133,0)</f>
        <v>0</v>
      </c>
      <c r="AW133" s="317">
        <f>IF($H133="811",$F133,0)</f>
        <v>0</v>
      </c>
      <c r="AX133" s="317">
        <f>IF($G133="821",$F133,0)</f>
        <v>0</v>
      </c>
      <c r="AY133" s="317">
        <f>IF($H133="821",$F133,0)</f>
        <v>0</v>
      </c>
      <c r="AZ133" s="317">
        <f>IF($G133="911",$F133,0)</f>
        <v>0</v>
      </c>
      <c r="BA133" s="317">
        <f>IF($H133="911",$F133,0)</f>
        <v>0</v>
      </c>
    </row>
    <row r="134" spans="1:53" s="314" customFormat="1" ht="16.5" customHeight="1">
      <c r="A134" s="63" t="str">
        <f t="array" ref="A134">IF(C134&lt;&gt;0,SUM(($C$11:C134&lt;&gt;0)*1),"")</f>
        <v/>
      </c>
      <c r="B134" s="315"/>
      <c r="C134" s="315"/>
      <c r="D134" s="315"/>
      <c r="E134" s="433"/>
      <c r="F134" s="371"/>
      <c r="G134" s="373"/>
      <c r="H134" s="373"/>
      <c r="I134" s="63" t="str">
        <f>A134</f>
        <v/>
      </c>
      <c r="J134" s="317">
        <f>IF($G134="1111",$F134,0)</f>
        <v>0</v>
      </c>
      <c r="K134" s="317">
        <f>IF($H134="1111",$F134,0)</f>
        <v>0</v>
      </c>
      <c r="L134" s="317">
        <f>IF($G134="1121",$F134,0)</f>
        <v>0</v>
      </c>
      <c r="M134" s="317">
        <f>IF($H134="1121",$F134,0)</f>
        <v>0</v>
      </c>
      <c r="N134" s="317">
        <f t="shared" si="83"/>
        <v>0</v>
      </c>
      <c r="O134" s="317">
        <f t="shared" si="84"/>
        <v>0</v>
      </c>
      <c r="P134" s="317">
        <f>IF($G134="1331",$F134,0)</f>
        <v>0</v>
      </c>
      <c r="Q134" s="317">
        <f>IF($H134="1331",$F134,0)</f>
        <v>0</v>
      </c>
      <c r="R134" s="317">
        <f>IF($G134="1388",$F134,0)</f>
        <v>0</v>
      </c>
      <c r="S134" s="317">
        <f>IF($H134="1388",$F134,0)</f>
        <v>0</v>
      </c>
      <c r="T134" s="317">
        <f t="shared" si="85"/>
        <v>0</v>
      </c>
      <c r="U134" s="317">
        <f t="shared" si="86"/>
        <v>0</v>
      </c>
      <c r="V134" s="317">
        <f>IF($G134="331",$F134,0)</f>
        <v>0</v>
      </c>
      <c r="W134" s="317">
        <f>IF($H134="331",$F134,0)</f>
        <v>0</v>
      </c>
      <c r="X134" s="317">
        <f>IF($G134="3334",$F134,0)</f>
        <v>0</v>
      </c>
      <c r="Y134" s="317">
        <f>IF($H134="3334",$F134,0)</f>
        <v>0</v>
      </c>
      <c r="Z134" s="317">
        <f>IF($G134="33382",$F134,0)</f>
        <v>0</v>
      </c>
      <c r="AA134" s="317">
        <f>IF($H134="33382",$F134,0)</f>
        <v>0</v>
      </c>
      <c r="AB134" s="317">
        <f>IF($G134="3388",$F134,0)</f>
        <v>0</v>
      </c>
      <c r="AC134" s="317">
        <f>IF($H134="3388",$F134,0)</f>
        <v>0</v>
      </c>
      <c r="AD134" s="317">
        <f>IF($G134="3411",$F134,0)</f>
        <v>0</v>
      </c>
      <c r="AE134" s="317">
        <f>IF($H134="3411",$F134,0)</f>
        <v>0</v>
      </c>
      <c r="AF134" s="317">
        <f t="shared" si="87"/>
        <v>0</v>
      </c>
      <c r="AG134" s="317">
        <f t="shared" si="88"/>
        <v>0</v>
      </c>
      <c r="AH134" s="317">
        <f>IF($G134="4111",$F134,0)</f>
        <v>0</v>
      </c>
      <c r="AI134" s="317">
        <f>IF($H134="4111",$F134,0)</f>
        <v>0</v>
      </c>
      <c r="AJ134" s="317">
        <f>IF($G134="4211",$F134,0)</f>
        <v>0</v>
      </c>
      <c r="AK134" s="317">
        <f>IF($H134="4211",$F134,0)</f>
        <v>0</v>
      </c>
      <c r="AL134" s="317">
        <f>IF($G134="4212",$F134,0)</f>
        <v>0</v>
      </c>
      <c r="AM134" s="317">
        <f>IF($H134="4212",$F134,0)</f>
        <v>0</v>
      </c>
      <c r="AN134" s="317">
        <f>IF($G134="515",$F134,0)</f>
        <v>0</v>
      </c>
      <c r="AO134" s="317">
        <f>IF($H134="515",$F134,0)</f>
        <v>0</v>
      </c>
      <c r="AP134" s="317">
        <f>IF($G134="635",$F134,0)</f>
        <v>0</v>
      </c>
      <c r="AQ134" s="317">
        <f>IF($H134="635",$F134,0)</f>
        <v>0</v>
      </c>
      <c r="AR134" s="317">
        <f>IF($G134="642",$F134,0)</f>
        <v>0</v>
      </c>
      <c r="AS134" s="317">
        <f>IF($H134="642",$F134,0)</f>
        <v>0</v>
      </c>
      <c r="AT134" s="317">
        <f>IF($G134="711",$F134,0)</f>
        <v>0</v>
      </c>
      <c r="AU134" s="317">
        <f>IF($H134="711",$F134,0)</f>
        <v>0</v>
      </c>
      <c r="AV134" s="317">
        <f>IF($G134="811",$F134,0)</f>
        <v>0</v>
      </c>
      <c r="AW134" s="317">
        <f>IF($H134="811",$F134,0)</f>
        <v>0</v>
      </c>
      <c r="AX134" s="317">
        <f>IF($G134="821",$F134,0)</f>
        <v>0</v>
      </c>
      <c r="AY134" s="317">
        <f>IF($H134="821",$F134,0)</f>
        <v>0</v>
      </c>
      <c r="AZ134" s="317">
        <f>IF($G134="911",$F134,0)</f>
        <v>0</v>
      </c>
      <c r="BA134" s="317">
        <f>IF($H134="911",$F134,0)</f>
        <v>0</v>
      </c>
    </row>
    <row r="135" spans="1:53" s="314" customFormat="1" ht="16.5" customHeight="1">
      <c r="A135" s="63" t="str">
        <f t="array" ref="A135">IF(C135&lt;&gt;0,SUM(($C$11:C135&lt;&gt;0)*1),"")</f>
        <v/>
      </c>
      <c r="B135" s="315"/>
      <c r="C135" s="315"/>
      <c r="D135" s="315"/>
      <c r="E135" s="433"/>
      <c r="F135" s="371"/>
      <c r="G135" s="373"/>
      <c r="H135" s="373"/>
      <c r="I135" s="63" t="str">
        <f t="shared" ref="I135:I206" si="129">A135</f>
        <v/>
      </c>
      <c r="J135" s="317">
        <f t="shared" ref="J135:J206" si="130">IF($G135="1111",$F135,0)</f>
        <v>0</v>
      </c>
      <c r="K135" s="317">
        <f t="shared" ref="K135:K206" si="131">IF($H135="1111",$F135,0)</f>
        <v>0</v>
      </c>
      <c r="L135" s="317">
        <f t="shared" ref="L135:L207" si="132">IF($G135="1121",$F135,0)</f>
        <v>0</v>
      </c>
      <c r="M135" s="317">
        <f t="shared" ref="M135:M207" si="133">IF($H135="1121",$F135,0)</f>
        <v>0</v>
      </c>
      <c r="N135" s="317">
        <f t="shared" si="83"/>
        <v>0</v>
      </c>
      <c r="O135" s="317">
        <f t="shared" si="84"/>
        <v>0</v>
      </c>
      <c r="P135" s="317">
        <f t="shared" ref="P135:P207" si="134">IF($G135="1331",$F135,0)</f>
        <v>0</v>
      </c>
      <c r="Q135" s="317">
        <f t="shared" ref="Q135:Q207" si="135">IF($H135="1331",$F135,0)</f>
        <v>0</v>
      </c>
      <c r="R135" s="317">
        <f t="shared" ref="R135:R207" si="136">IF($G135="1388",$F135,0)</f>
        <v>0</v>
      </c>
      <c r="S135" s="317">
        <f t="shared" ref="S135:S207" si="137">IF($H135="1388",$F135,0)</f>
        <v>0</v>
      </c>
      <c r="T135" s="317">
        <f t="shared" si="85"/>
        <v>0</v>
      </c>
      <c r="U135" s="317">
        <f t="shared" si="86"/>
        <v>0</v>
      </c>
      <c r="V135" s="317">
        <f t="shared" ref="V135:V207" si="138">IF($G135="331",$F135,0)</f>
        <v>0</v>
      </c>
      <c r="W135" s="317">
        <f t="shared" ref="W135:W207" si="139">IF($H135="331",$F135,0)</f>
        <v>0</v>
      </c>
      <c r="X135" s="317">
        <f t="shared" ref="X135:X207" si="140">IF($G135="3334",$F135,0)</f>
        <v>0</v>
      </c>
      <c r="Y135" s="317">
        <f t="shared" ref="Y135:Y207" si="141">IF($H135="3334",$F135,0)</f>
        <v>0</v>
      </c>
      <c r="Z135" s="317">
        <f t="shared" ref="Z135:Z206" si="142">IF($G135="33382",$F135,0)</f>
        <v>0</v>
      </c>
      <c r="AA135" s="317">
        <f t="shared" ref="AA135:AA206" si="143">IF($H135="33382",$F135,0)</f>
        <v>0</v>
      </c>
      <c r="AB135" s="317">
        <f t="shared" ref="AB135:AB207" si="144">IF($G135="3388",$F135,0)</f>
        <v>0</v>
      </c>
      <c r="AC135" s="317">
        <f t="shared" ref="AC135:AC207" si="145">IF($H135="3388",$F135,0)</f>
        <v>0</v>
      </c>
      <c r="AD135" s="317">
        <f t="shared" ref="AD135:AD206" si="146">IF($G135="3411",$F135,0)</f>
        <v>0</v>
      </c>
      <c r="AE135" s="317">
        <f t="shared" ref="AE135:AE206" si="147">IF($H135="3411",$F135,0)</f>
        <v>0</v>
      </c>
      <c r="AF135" s="317">
        <f t="shared" si="87"/>
        <v>0</v>
      </c>
      <c r="AG135" s="317">
        <f t="shared" si="88"/>
        <v>0</v>
      </c>
      <c r="AH135" s="317">
        <f t="shared" ref="AH135:AH207" si="148">IF($G135="4111",$F135,0)</f>
        <v>0</v>
      </c>
      <c r="AI135" s="317">
        <f t="shared" ref="AI135:AI207" si="149">IF($H135="4111",$F135,0)</f>
        <v>0</v>
      </c>
      <c r="AJ135" s="317">
        <f t="shared" ref="AJ135:AJ207" si="150">IF($G135="4211",$F135,0)</f>
        <v>0</v>
      </c>
      <c r="AK135" s="317">
        <f t="shared" ref="AK135:AK207" si="151">IF($H135="4211",$F135,0)</f>
        <v>0</v>
      </c>
      <c r="AL135" s="317">
        <f t="shared" ref="AL135:AL207" si="152">IF($G135="4212",$F135,0)</f>
        <v>0</v>
      </c>
      <c r="AM135" s="317">
        <f t="shared" ref="AM135:AM207" si="153">IF($H135="4212",$F135,0)</f>
        <v>0</v>
      </c>
      <c r="AN135" s="317">
        <f t="shared" ref="AN135:AN207" si="154">IF($G135="515",$F135,0)</f>
        <v>0</v>
      </c>
      <c r="AO135" s="317">
        <f t="shared" ref="AO135:AO207" si="155">IF($H135="515",$F135,0)</f>
        <v>0</v>
      </c>
      <c r="AP135" s="317">
        <f t="shared" ref="AP135:AP207" si="156">IF($G135="635",$F135,0)</f>
        <v>0</v>
      </c>
      <c r="AQ135" s="317">
        <f t="shared" ref="AQ135:AQ207" si="157">IF($H135="635",$F135,0)</f>
        <v>0</v>
      </c>
      <c r="AR135" s="317">
        <f t="shared" ref="AR135:AR206" si="158">IF($G135="642",$F135,0)</f>
        <v>0</v>
      </c>
      <c r="AS135" s="317">
        <f t="shared" ref="AS135:AS206" si="159">IF($H135="642",$F135,0)</f>
        <v>0</v>
      </c>
      <c r="AT135" s="317">
        <f t="shared" ref="AT135:AT207" si="160">IF($G135="711",$F135,0)</f>
        <v>0</v>
      </c>
      <c r="AU135" s="317">
        <f t="shared" ref="AU135:AU207" si="161">IF($H135="711",$F135,0)</f>
        <v>0</v>
      </c>
      <c r="AV135" s="317">
        <f t="shared" ref="AV135:AV207" si="162">IF($G135="811",$F135,0)</f>
        <v>0</v>
      </c>
      <c r="AW135" s="317">
        <f t="shared" ref="AW135:AW207" si="163">IF($H135="811",$F135,0)</f>
        <v>0</v>
      </c>
      <c r="AX135" s="317">
        <f t="shared" ref="AX135:AX206" si="164">IF($G135="821",$F135,0)</f>
        <v>0</v>
      </c>
      <c r="AY135" s="317">
        <f t="shared" ref="AY135:AY206" si="165">IF($H135="821",$F135,0)</f>
        <v>0</v>
      </c>
      <c r="AZ135" s="317">
        <f t="shared" ref="AZ135:AZ206" si="166">IF($G135="911",$F135,0)</f>
        <v>0</v>
      </c>
      <c r="BA135" s="317">
        <f t="shared" ref="BA135:BA206" si="167">IF($H135="911",$F135,0)</f>
        <v>0</v>
      </c>
    </row>
    <row r="136" spans="1:53" s="314" customFormat="1" ht="16.5" customHeight="1">
      <c r="A136" s="63" t="str">
        <f t="array" ref="A136">IF(C136&lt;&gt;0,SUM(($C$11:C136&lt;&gt;0)*1),"")</f>
        <v/>
      </c>
      <c r="B136" s="315"/>
      <c r="C136" s="315"/>
      <c r="D136" s="315"/>
      <c r="E136" s="433"/>
      <c r="F136" s="371"/>
      <c r="G136" s="373"/>
      <c r="H136" s="373"/>
      <c r="I136" s="63" t="str">
        <f t="shared" si="129"/>
        <v/>
      </c>
      <c r="J136" s="317">
        <f t="shared" si="130"/>
        <v>0</v>
      </c>
      <c r="K136" s="317">
        <f t="shared" si="131"/>
        <v>0</v>
      </c>
      <c r="L136" s="317">
        <f t="shared" si="132"/>
        <v>0</v>
      </c>
      <c r="M136" s="317">
        <f t="shared" si="133"/>
        <v>0</v>
      </c>
      <c r="N136" s="317">
        <f t="shared" si="83"/>
        <v>0</v>
      </c>
      <c r="O136" s="317">
        <f t="shared" si="84"/>
        <v>0</v>
      </c>
      <c r="P136" s="317">
        <f t="shared" si="134"/>
        <v>0</v>
      </c>
      <c r="Q136" s="317">
        <f t="shared" si="135"/>
        <v>0</v>
      </c>
      <c r="R136" s="317">
        <f t="shared" si="136"/>
        <v>0</v>
      </c>
      <c r="S136" s="317">
        <f t="shared" si="137"/>
        <v>0</v>
      </c>
      <c r="T136" s="317">
        <f t="shared" si="85"/>
        <v>0</v>
      </c>
      <c r="U136" s="317">
        <f t="shared" si="86"/>
        <v>0</v>
      </c>
      <c r="V136" s="317">
        <f t="shared" si="138"/>
        <v>0</v>
      </c>
      <c r="W136" s="317">
        <f t="shared" si="139"/>
        <v>0</v>
      </c>
      <c r="X136" s="317">
        <f t="shared" si="140"/>
        <v>0</v>
      </c>
      <c r="Y136" s="317">
        <f t="shared" si="141"/>
        <v>0</v>
      </c>
      <c r="Z136" s="317">
        <f t="shared" si="142"/>
        <v>0</v>
      </c>
      <c r="AA136" s="317">
        <f t="shared" si="143"/>
        <v>0</v>
      </c>
      <c r="AB136" s="317">
        <f t="shared" si="144"/>
        <v>0</v>
      </c>
      <c r="AC136" s="317">
        <f t="shared" si="145"/>
        <v>0</v>
      </c>
      <c r="AD136" s="317">
        <f t="shared" si="146"/>
        <v>0</v>
      </c>
      <c r="AE136" s="317">
        <f t="shared" si="147"/>
        <v>0</v>
      </c>
      <c r="AF136" s="317">
        <f t="shared" si="87"/>
        <v>0</v>
      </c>
      <c r="AG136" s="317">
        <f t="shared" si="88"/>
        <v>0</v>
      </c>
      <c r="AH136" s="317">
        <f t="shared" si="148"/>
        <v>0</v>
      </c>
      <c r="AI136" s="317">
        <f t="shared" si="149"/>
        <v>0</v>
      </c>
      <c r="AJ136" s="317">
        <f t="shared" si="150"/>
        <v>0</v>
      </c>
      <c r="AK136" s="317">
        <f t="shared" si="151"/>
        <v>0</v>
      </c>
      <c r="AL136" s="317">
        <f t="shared" si="152"/>
        <v>0</v>
      </c>
      <c r="AM136" s="317">
        <f t="shared" si="153"/>
        <v>0</v>
      </c>
      <c r="AN136" s="317">
        <f t="shared" si="154"/>
        <v>0</v>
      </c>
      <c r="AO136" s="317">
        <f t="shared" si="155"/>
        <v>0</v>
      </c>
      <c r="AP136" s="317">
        <f t="shared" si="156"/>
        <v>0</v>
      </c>
      <c r="AQ136" s="317">
        <f t="shared" si="157"/>
        <v>0</v>
      </c>
      <c r="AR136" s="317">
        <f t="shared" si="158"/>
        <v>0</v>
      </c>
      <c r="AS136" s="317">
        <f t="shared" si="159"/>
        <v>0</v>
      </c>
      <c r="AT136" s="317">
        <f t="shared" si="160"/>
        <v>0</v>
      </c>
      <c r="AU136" s="317">
        <f t="shared" si="161"/>
        <v>0</v>
      </c>
      <c r="AV136" s="317">
        <f t="shared" si="162"/>
        <v>0</v>
      </c>
      <c r="AW136" s="317">
        <f t="shared" si="163"/>
        <v>0</v>
      </c>
      <c r="AX136" s="317">
        <f t="shared" si="164"/>
        <v>0</v>
      </c>
      <c r="AY136" s="317">
        <f t="shared" si="165"/>
        <v>0</v>
      </c>
      <c r="AZ136" s="317">
        <f t="shared" si="166"/>
        <v>0</v>
      </c>
      <c r="BA136" s="317">
        <f t="shared" si="167"/>
        <v>0</v>
      </c>
    </row>
    <row r="137" spans="1:53" s="314" customFormat="1" ht="16.5" customHeight="1">
      <c r="A137" s="63" t="str">
        <f t="array" ref="A137">IF(C137&lt;&gt;0,SUM(($C$11:C137&lt;&gt;0)*1),"")</f>
        <v/>
      </c>
      <c r="B137" s="315"/>
      <c r="C137" s="315"/>
      <c r="D137" s="315"/>
      <c r="E137" s="433"/>
      <c r="F137" s="371"/>
      <c r="G137" s="373"/>
      <c r="H137" s="373"/>
      <c r="I137" s="63" t="str">
        <f t="shared" si="129"/>
        <v/>
      </c>
      <c r="J137" s="317">
        <f t="shared" si="130"/>
        <v>0</v>
      </c>
      <c r="K137" s="317">
        <f t="shared" si="131"/>
        <v>0</v>
      </c>
      <c r="L137" s="317">
        <f t="shared" si="132"/>
        <v>0</v>
      </c>
      <c r="M137" s="317">
        <f t="shared" si="133"/>
        <v>0</v>
      </c>
      <c r="N137" s="317">
        <f t="shared" si="83"/>
        <v>0</v>
      </c>
      <c r="O137" s="317">
        <f t="shared" si="84"/>
        <v>0</v>
      </c>
      <c r="P137" s="317">
        <f t="shared" si="134"/>
        <v>0</v>
      </c>
      <c r="Q137" s="317">
        <f t="shared" si="135"/>
        <v>0</v>
      </c>
      <c r="R137" s="317">
        <f t="shared" si="136"/>
        <v>0</v>
      </c>
      <c r="S137" s="317">
        <f t="shared" si="137"/>
        <v>0</v>
      </c>
      <c r="T137" s="317">
        <f t="shared" si="85"/>
        <v>0</v>
      </c>
      <c r="U137" s="317">
        <f t="shared" si="86"/>
        <v>0</v>
      </c>
      <c r="V137" s="317">
        <f t="shared" si="138"/>
        <v>0</v>
      </c>
      <c r="W137" s="317">
        <f t="shared" si="139"/>
        <v>0</v>
      </c>
      <c r="X137" s="317">
        <f t="shared" si="140"/>
        <v>0</v>
      </c>
      <c r="Y137" s="317">
        <f t="shared" si="141"/>
        <v>0</v>
      </c>
      <c r="Z137" s="317">
        <f t="shared" si="142"/>
        <v>0</v>
      </c>
      <c r="AA137" s="317">
        <f t="shared" si="143"/>
        <v>0</v>
      </c>
      <c r="AB137" s="317">
        <f t="shared" si="144"/>
        <v>0</v>
      </c>
      <c r="AC137" s="317">
        <f t="shared" si="145"/>
        <v>0</v>
      </c>
      <c r="AD137" s="317">
        <f t="shared" si="146"/>
        <v>0</v>
      </c>
      <c r="AE137" s="317">
        <f t="shared" si="147"/>
        <v>0</v>
      </c>
      <c r="AF137" s="317">
        <f t="shared" si="87"/>
        <v>0</v>
      </c>
      <c r="AG137" s="317">
        <f t="shared" si="88"/>
        <v>0</v>
      </c>
      <c r="AH137" s="317">
        <f t="shared" si="148"/>
        <v>0</v>
      </c>
      <c r="AI137" s="317">
        <f t="shared" si="149"/>
        <v>0</v>
      </c>
      <c r="AJ137" s="317">
        <f t="shared" si="150"/>
        <v>0</v>
      </c>
      <c r="AK137" s="317">
        <f t="shared" si="151"/>
        <v>0</v>
      </c>
      <c r="AL137" s="317">
        <f t="shared" si="152"/>
        <v>0</v>
      </c>
      <c r="AM137" s="317">
        <f t="shared" si="153"/>
        <v>0</v>
      </c>
      <c r="AN137" s="317">
        <f t="shared" si="154"/>
        <v>0</v>
      </c>
      <c r="AO137" s="317">
        <f t="shared" si="155"/>
        <v>0</v>
      </c>
      <c r="AP137" s="317">
        <f t="shared" si="156"/>
        <v>0</v>
      </c>
      <c r="AQ137" s="317">
        <f t="shared" si="157"/>
        <v>0</v>
      </c>
      <c r="AR137" s="317">
        <f t="shared" si="158"/>
        <v>0</v>
      </c>
      <c r="AS137" s="317">
        <f t="shared" si="159"/>
        <v>0</v>
      </c>
      <c r="AT137" s="317">
        <f t="shared" si="160"/>
        <v>0</v>
      </c>
      <c r="AU137" s="317">
        <f t="shared" si="161"/>
        <v>0</v>
      </c>
      <c r="AV137" s="317">
        <f t="shared" si="162"/>
        <v>0</v>
      </c>
      <c r="AW137" s="317">
        <f t="shared" si="163"/>
        <v>0</v>
      </c>
      <c r="AX137" s="317">
        <f t="shared" si="164"/>
        <v>0</v>
      </c>
      <c r="AY137" s="317">
        <f t="shared" si="165"/>
        <v>0</v>
      </c>
      <c r="AZ137" s="317">
        <f t="shared" si="166"/>
        <v>0</v>
      </c>
      <c r="BA137" s="317">
        <f t="shared" si="167"/>
        <v>0</v>
      </c>
    </row>
    <row r="138" spans="1:53" s="314" customFormat="1" ht="16.5" customHeight="1">
      <c r="A138" s="63" t="str">
        <f t="array" ref="A138">IF(C138&lt;&gt;0,SUM(($C$11:C138&lt;&gt;0)*1),"")</f>
        <v/>
      </c>
      <c r="B138" s="315"/>
      <c r="C138" s="315"/>
      <c r="D138" s="315"/>
      <c r="E138" s="433"/>
      <c r="F138" s="371"/>
      <c r="G138" s="373"/>
      <c r="H138" s="373"/>
      <c r="I138" s="63" t="str">
        <f t="shared" si="129"/>
        <v/>
      </c>
      <c r="J138" s="317">
        <f t="shared" si="130"/>
        <v>0</v>
      </c>
      <c r="K138" s="317">
        <f t="shared" si="131"/>
        <v>0</v>
      </c>
      <c r="L138" s="317">
        <f t="shared" si="132"/>
        <v>0</v>
      </c>
      <c r="M138" s="317">
        <f t="shared" si="133"/>
        <v>0</v>
      </c>
      <c r="N138" s="317">
        <f t="shared" si="83"/>
        <v>0</v>
      </c>
      <c r="O138" s="317">
        <f t="shared" si="84"/>
        <v>0</v>
      </c>
      <c r="P138" s="317">
        <f t="shared" si="134"/>
        <v>0</v>
      </c>
      <c r="Q138" s="317">
        <f t="shared" si="135"/>
        <v>0</v>
      </c>
      <c r="R138" s="317">
        <f t="shared" si="136"/>
        <v>0</v>
      </c>
      <c r="S138" s="317">
        <f t="shared" si="137"/>
        <v>0</v>
      </c>
      <c r="T138" s="317">
        <f t="shared" si="85"/>
        <v>0</v>
      </c>
      <c r="U138" s="317">
        <f t="shared" si="86"/>
        <v>0</v>
      </c>
      <c r="V138" s="317">
        <f t="shared" si="138"/>
        <v>0</v>
      </c>
      <c r="W138" s="317">
        <f t="shared" si="139"/>
        <v>0</v>
      </c>
      <c r="X138" s="317">
        <f t="shared" si="140"/>
        <v>0</v>
      </c>
      <c r="Y138" s="317">
        <f t="shared" si="141"/>
        <v>0</v>
      </c>
      <c r="Z138" s="317">
        <f t="shared" si="142"/>
        <v>0</v>
      </c>
      <c r="AA138" s="317">
        <f t="shared" si="143"/>
        <v>0</v>
      </c>
      <c r="AB138" s="317">
        <f t="shared" si="144"/>
        <v>0</v>
      </c>
      <c r="AC138" s="317">
        <f t="shared" si="145"/>
        <v>0</v>
      </c>
      <c r="AD138" s="317">
        <f t="shared" si="146"/>
        <v>0</v>
      </c>
      <c r="AE138" s="317">
        <f t="shared" si="147"/>
        <v>0</v>
      </c>
      <c r="AF138" s="317">
        <f t="shared" si="87"/>
        <v>0</v>
      </c>
      <c r="AG138" s="317">
        <f t="shared" si="88"/>
        <v>0</v>
      </c>
      <c r="AH138" s="317">
        <f t="shared" si="148"/>
        <v>0</v>
      </c>
      <c r="AI138" s="317">
        <f t="shared" si="149"/>
        <v>0</v>
      </c>
      <c r="AJ138" s="317">
        <f t="shared" si="150"/>
        <v>0</v>
      </c>
      <c r="AK138" s="317">
        <f t="shared" si="151"/>
        <v>0</v>
      </c>
      <c r="AL138" s="317">
        <f t="shared" si="152"/>
        <v>0</v>
      </c>
      <c r="AM138" s="317">
        <f t="shared" si="153"/>
        <v>0</v>
      </c>
      <c r="AN138" s="317">
        <f t="shared" si="154"/>
        <v>0</v>
      </c>
      <c r="AO138" s="317">
        <f t="shared" si="155"/>
        <v>0</v>
      </c>
      <c r="AP138" s="317">
        <f t="shared" si="156"/>
        <v>0</v>
      </c>
      <c r="AQ138" s="317">
        <f t="shared" si="157"/>
        <v>0</v>
      </c>
      <c r="AR138" s="317">
        <f t="shared" si="158"/>
        <v>0</v>
      </c>
      <c r="AS138" s="317">
        <f t="shared" si="159"/>
        <v>0</v>
      </c>
      <c r="AT138" s="317">
        <f t="shared" si="160"/>
        <v>0</v>
      </c>
      <c r="AU138" s="317">
        <f t="shared" si="161"/>
        <v>0</v>
      </c>
      <c r="AV138" s="317">
        <f t="shared" si="162"/>
        <v>0</v>
      </c>
      <c r="AW138" s="317">
        <f t="shared" si="163"/>
        <v>0</v>
      </c>
      <c r="AX138" s="317">
        <f t="shared" si="164"/>
        <v>0</v>
      </c>
      <c r="AY138" s="317">
        <f t="shared" si="165"/>
        <v>0</v>
      </c>
      <c r="AZ138" s="317">
        <f t="shared" si="166"/>
        <v>0</v>
      </c>
      <c r="BA138" s="317">
        <f t="shared" si="167"/>
        <v>0</v>
      </c>
    </row>
    <row r="139" spans="1:53" s="314" customFormat="1" ht="16.5" customHeight="1">
      <c r="A139" s="63" t="str">
        <f t="array" ref="A139">IF(C139&lt;&gt;0,SUM(($C$11:C139&lt;&gt;0)*1),"")</f>
        <v/>
      </c>
      <c r="B139" s="315"/>
      <c r="C139" s="315"/>
      <c r="D139" s="315"/>
      <c r="E139" s="433"/>
      <c r="F139" s="371"/>
      <c r="G139" s="373"/>
      <c r="H139" s="373"/>
      <c r="I139" s="63" t="str">
        <f t="shared" si="129"/>
        <v/>
      </c>
      <c r="J139" s="317">
        <f t="shared" si="130"/>
        <v>0</v>
      </c>
      <c r="K139" s="317">
        <f t="shared" si="131"/>
        <v>0</v>
      </c>
      <c r="L139" s="317">
        <f t="shared" si="132"/>
        <v>0</v>
      </c>
      <c r="M139" s="317">
        <f t="shared" si="133"/>
        <v>0</v>
      </c>
      <c r="N139" s="317">
        <f t="shared" si="83"/>
        <v>0</v>
      </c>
      <c r="O139" s="317">
        <f t="shared" si="84"/>
        <v>0</v>
      </c>
      <c r="P139" s="317">
        <f t="shared" si="134"/>
        <v>0</v>
      </c>
      <c r="Q139" s="317">
        <f t="shared" si="135"/>
        <v>0</v>
      </c>
      <c r="R139" s="317">
        <f t="shared" si="136"/>
        <v>0</v>
      </c>
      <c r="S139" s="317">
        <f t="shared" si="137"/>
        <v>0</v>
      </c>
      <c r="T139" s="317">
        <f t="shared" si="85"/>
        <v>0</v>
      </c>
      <c r="U139" s="317">
        <f t="shared" si="86"/>
        <v>0</v>
      </c>
      <c r="V139" s="317">
        <f t="shared" si="138"/>
        <v>0</v>
      </c>
      <c r="W139" s="317">
        <f t="shared" si="139"/>
        <v>0</v>
      </c>
      <c r="X139" s="317">
        <f t="shared" si="140"/>
        <v>0</v>
      </c>
      <c r="Y139" s="317">
        <f t="shared" si="141"/>
        <v>0</v>
      </c>
      <c r="Z139" s="317">
        <f t="shared" si="142"/>
        <v>0</v>
      </c>
      <c r="AA139" s="317">
        <f t="shared" si="143"/>
        <v>0</v>
      </c>
      <c r="AB139" s="317">
        <f t="shared" si="144"/>
        <v>0</v>
      </c>
      <c r="AC139" s="317">
        <f t="shared" si="145"/>
        <v>0</v>
      </c>
      <c r="AD139" s="317">
        <f t="shared" si="146"/>
        <v>0</v>
      </c>
      <c r="AE139" s="317">
        <f t="shared" si="147"/>
        <v>0</v>
      </c>
      <c r="AF139" s="317">
        <f t="shared" si="87"/>
        <v>0</v>
      </c>
      <c r="AG139" s="317">
        <f t="shared" si="88"/>
        <v>0</v>
      </c>
      <c r="AH139" s="317">
        <f t="shared" si="148"/>
        <v>0</v>
      </c>
      <c r="AI139" s="317">
        <f t="shared" si="149"/>
        <v>0</v>
      </c>
      <c r="AJ139" s="317">
        <f t="shared" si="150"/>
        <v>0</v>
      </c>
      <c r="AK139" s="317">
        <f t="shared" si="151"/>
        <v>0</v>
      </c>
      <c r="AL139" s="317">
        <f t="shared" si="152"/>
        <v>0</v>
      </c>
      <c r="AM139" s="317">
        <f t="shared" si="153"/>
        <v>0</v>
      </c>
      <c r="AN139" s="317">
        <f t="shared" si="154"/>
        <v>0</v>
      </c>
      <c r="AO139" s="317">
        <f t="shared" si="155"/>
        <v>0</v>
      </c>
      <c r="AP139" s="317">
        <f t="shared" si="156"/>
        <v>0</v>
      </c>
      <c r="AQ139" s="317">
        <f t="shared" si="157"/>
        <v>0</v>
      </c>
      <c r="AR139" s="317">
        <f t="shared" si="158"/>
        <v>0</v>
      </c>
      <c r="AS139" s="317">
        <f t="shared" si="159"/>
        <v>0</v>
      </c>
      <c r="AT139" s="317">
        <f t="shared" si="160"/>
        <v>0</v>
      </c>
      <c r="AU139" s="317">
        <f t="shared" si="161"/>
        <v>0</v>
      </c>
      <c r="AV139" s="317">
        <f t="shared" si="162"/>
        <v>0</v>
      </c>
      <c r="AW139" s="317">
        <f t="shared" si="163"/>
        <v>0</v>
      </c>
      <c r="AX139" s="317">
        <f t="shared" si="164"/>
        <v>0</v>
      </c>
      <c r="AY139" s="317">
        <f t="shared" si="165"/>
        <v>0</v>
      </c>
      <c r="AZ139" s="317">
        <f t="shared" si="166"/>
        <v>0</v>
      </c>
      <c r="BA139" s="317">
        <f t="shared" si="167"/>
        <v>0</v>
      </c>
    </row>
    <row r="140" spans="1:53" s="314" customFormat="1" ht="16.5" customHeight="1">
      <c r="A140" s="63" t="str">
        <f t="array" ref="A140">IF(C140&lt;&gt;0,SUM(($C$11:C140&lt;&gt;0)*1),"")</f>
        <v/>
      </c>
      <c r="B140" s="315"/>
      <c r="C140" s="315"/>
      <c r="D140" s="315"/>
      <c r="E140" s="433"/>
      <c r="F140" s="371"/>
      <c r="G140" s="373"/>
      <c r="H140" s="373"/>
      <c r="I140" s="63" t="str">
        <f t="shared" si="129"/>
        <v/>
      </c>
      <c r="J140" s="317">
        <f t="shared" si="130"/>
        <v>0</v>
      </c>
      <c r="K140" s="317">
        <f t="shared" si="131"/>
        <v>0</v>
      </c>
      <c r="L140" s="317">
        <f t="shared" si="132"/>
        <v>0</v>
      </c>
      <c r="M140" s="317">
        <f t="shared" si="133"/>
        <v>0</v>
      </c>
      <c r="N140" s="317">
        <f t="shared" ref="N140:N203" si="168">IF($G140="1122",$F140,0)</f>
        <v>0</v>
      </c>
      <c r="O140" s="317">
        <f t="shared" ref="O140:O203" si="169">IF($H140="1122",$F140,0)</f>
        <v>0</v>
      </c>
      <c r="P140" s="317">
        <f t="shared" si="134"/>
        <v>0</v>
      </c>
      <c r="Q140" s="317">
        <f t="shared" si="135"/>
        <v>0</v>
      </c>
      <c r="R140" s="317">
        <f t="shared" si="136"/>
        <v>0</v>
      </c>
      <c r="S140" s="317">
        <f t="shared" si="137"/>
        <v>0</v>
      </c>
      <c r="T140" s="317">
        <f t="shared" ref="T140:T203" si="170">IF($G140="2412",$F140,0)</f>
        <v>0</v>
      </c>
      <c r="U140" s="317">
        <f t="shared" ref="U140:U203" si="171">IF($H140="2412",$F140,0)</f>
        <v>0</v>
      </c>
      <c r="V140" s="317">
        <f t="shared" si="138"/>
        <v>0</v>
      </c>
      <c r="W140" s="317">
        <f t="shared" si="139"/>
        <v>0</v>
      </c>
      <c r="X140" s="317">
        <f t="shared" si="140"/>
        <v>0</v>
      </c>
      <c r="Y140" s="317">
        <f t="shared" si="141"/>
        <v>0</v>
      </c>
      <c r="Z140" s="317">
        <f t="shared" si="142"/>
        <v>0</v>
      </c>
      <c r="AA140" s="317">
        <f t="shared" si="143"/>
        <v>0</v>
      </c>
      <c r="AB140" s="317">
        <f t="shared" si="144"/>
        <v>0</v>
      </c>
      <c r="AC140" s="317">
        <f t="shared" si="145"/>
        <v>0</v>
      </c>
      <c r="AD140" s="317">
        <f t="shared" si="146"/>
        <v>0</v>
      </c>
      <c r="AE140" s="317">
        <f t="shared" si="147"/>
        <v>0</v>
      </c>
      <c r="AF140" s="317">
        <f t="shared" ref="AF140:AF203" si="172">IF($G140="3412",$F140,0)</f>
        <v>0</v>
      </c>
      <c r="AG140" s="317">
        <f t="shared" ref="AG140:AG203" si="173">IF($H140="3412",$F140,0)</f>
        <v>0</v>
      </c>
      <c r="AH140" s="317">
        <f t="shared" si="148"/>
        <v>0</v>
      </c>
      <c r="AI140" s="317">
        <f t="shared" si="149"/>
        <v>0</v>
      </c>
      <c r="AJ140" s="317">
        <f t="shared" si="150"/>
        <v>0</v>
      </c>
      <c r="AK140" s="317">
        <f t="shared" si="151"/>
        <v>0</v>
      </c>
      <c r="AL140" s="317">
        <f t="shared" si="152"/>
        <v>0</v>
      </c>
      <c r="AM140" s="317">
        <f t="shared" si="153"/>
        <v>0</v>
      </c>
      <c r="AN140" s="317">
        <f t="shared" si="154"/>
        <v>0</v>
      </c>
      <c r="AO140" s="317">
        <f t="shared" si="155"/>
        <v>0</v>
      </c>
      <c r="AP140" s="317">
        <f t="shared" si="156"/>
        <v>0</v>
      </c>
      <c r="AQ140" s="317">
        <f t="shared" si="157"/>
        <v>0</v>
      </c>
      <c r="AR140" s="317">
        <f t="shared" si="158"/>
        <v>0</v>
      </c>
      <c r="AS140" s="317">
        <f t="shared" si="159"/>
        <v>0</v>
      </c>
      <c r="AT140" s="317">
        <f t="shared" si="160"/>
        <v>0</v>
      </c>
      <c r="AU140" s="317">
        <f t="shared" si="161"/>
        <v>0</v>
      </c>
      <c r="AV140" s="317">
        <f t="shared" si="162"/>
        <v>0</v>
      </c>
      <c r="AW140" s="317">
        <f t="shared" si="163"/>
        <v>0</v>
      </c>
      <c r="AX140" s="317">
        <f t="shared" si="164"/>
        <v>0</v>
      </c>
      <c r="AY140" s="317">
        <f t="shared" si="165"/>
        <v>0</v>
      </c>
      <c r="AZ140" s="317">
        <f t="shared" si="166"/>
        <v>0</v>
      </c>
      <c r="BA140" s="317">
        <f t="shared" si="167"/>
        <v>0</v>
      </c>
    </row>
    <row r="141" spans="1:53" s="314" customFormat="1" ht="16.5" customHeight="1">
      <c r="A141" s="63" t="str">
        <f t="array" ref="A141">IF(C141&lt;&gt;0,SUM(($C$11:C141&lt;&gt;0)*1),"")</f>
        <v/>
      </c>
      <c r="B141" s="315"/>
      <c r="C141" s="315"/>
      <c r="D141" s="315"/>
      <c r="E141" s="433"/>
      <c r="F141" s="371"/>
      <c r="G141" s="373"/>
      <c r="H141" s="373"/>
      <c r="I141" s="63" t="str">
        <f t="shared" si="129"/>
        <v/>
      </c>
      <c r="J141" s="317">
        <f t="shared" si="130"/>
        <v>0</v>
      </c>
      <c r="K141" s="317">
        <f t="shared" si="131"/>
        <v>0</v>
      </c>
      <c r="L141" s="317">
        <f t="shared" si="132"/>
        <v>0</v>
      </c>
      <c r="M141" s="317">
        <f t="shared" si="133"/>
        <v>0</v>
      </c>
      <c r="N141" s="317">
        <f t="shared" si="168"/>
        <v>0</v>
      </c>
      <c r="O141" s="317">
        <f t="shared" si="169"/>
        <v>0</v>
      </c>
      <c r="P141" s="317">
        <f t="shared" si="134"/>
        <v>0</v>
      </c>
      <c r="Q141" s="317">
        <f t="shared" si="135"/>
        <v>0</v>
      </c>
      <c r="R141" s="317">
        <f t="shared" si="136"/>
        <v>0</v>
      </c>
      <c r="S141" s="317">
        <f t="shared" si="137"/>
        <v>0</v>
      </c>
      <c r="T141" s="317">
        <f t="shared" si="170"/>
        <v>0</v>
      </c>
      <c r="U141" s="317">
        <f t="shared" si="171"/>
        <v>0</v>
      </c>
      <c r="V141" s="317">
        <f t="shared" si="138"/>
        <v>0</v>
      </c>
      <c r="W141" s="317">
        <f t="shared" si="139"/>
        <v>0</v>
      </c>
      <c r="X141" s="317">
        <f t="shared" si="140"/>
        <v>0</v>
      </c>
      <c r="Y141" s="317">
        <f t="shared" si="141"/>
        <v>0</v>
      </c>
      <c r="Z141" s="317">
        <f t="shared" si="142"/>
        <v>0</v>
      </c>
      <c r="AA141" s="317">
        <f t="shared" si="143"/>
        <v>0</v>
      </c>
      <c r="AB141" s="317">
        <f t="shared" si="144"/>
        <v>0</v>
      </c>
      <c r="AC141" s="317">
        <f t="shared" si="145"/>
        <v>0</v>
      </c>
      <c r="AD141" s="317">
        <f t="shared" si="146"/>
        <v>0</v>
      </c>
      <c r="AE141" s="317">
        <f t="shared" si="147"/>
        <v>0</v>
      </c>
      <c r="AF141" s="317">
        <f t="shared" si="172"/>
        <v>0</v>
      </c>
      <c r="AG141" s="317">
        <f t="shared" si="173"/>
        <v>0</v>
      </c>
      <c r="AH141" s="317">
        <f t="shared" si="148"/>
        <v>0</v>
      </c>
      <c r="AI141" s="317">
        <f t="shared" si="149"/>
        <v>0</v>
      </c>
      <c r="AJ141" s="317">
        <f t="shared" si="150"/>
        <v>0</v>
      </c>
      <c r="AK141" s="317">
        <f t="shared" si="151"/>
        <v>0</v>
      </c>
      <c r="AL141" s="317">
        <f t="shared" si="152"/>
        <v>0</v>
      </c>
      <c r="AM141" s="317">
        <f t="shared" si="153"/>
        <v>0</v>
      </c>
      <c r="AN141" s="317">
        <f t="shared" si="154"/>
        <v>0</v>
      </c>
      <c r="AO141" s="317">
        <f t="shared" si="155"/>
        <v>0</v>
      </c>
      <c r="AP141" s="317">
        <f t="shared" si="156"/>
        <v>0</v>
      </c>
      <c r="AQ141" s="317">
        <f t="shared" si="157"/>
        <v>0</v>
      </c>
      <c r="AR141" s="317">
        <f t="shared" si="158"/>
        <v>0</v>
      </c>
      <c r="AS141" s="317">
        <f t="shared" si="159"/>
        <v>0</v>
      </c>
      <c r="AT141" s="317">
        <f t="shared" si="160"/>
        <v>0</v>
      </c>
      <c r="AU141" s="317">
        <f t="shared" si="161"/>
        <v>0</v>
      </c>
      <c r="AV141" s="317">
        <f t="shared" si="162"/>
        <v>0</v>
      </c>
      <c r="AW141" s="317">
        <f t="shared" si="163"/>
        <v>0</v>
      </c>
      <c r="AX141" s="317">
        <f t="shared" si="164"/>
        <v>0</v>
      </c>
      <c r="AY141" s="317">
        <f t="shared" si="165"/>
        <v>0</v>
      </c>
      <c r="AZ141" s="317">
        <f t="shared" si="166"/>
        <v>0</v>
      </c>
      <c r="BA141" s="317">
        <f t="shared" si="167"/>
        <v>0</v>
      </c>
    </row>
    <row r="142" spans="1:53" s="314" customFormat="1" ht="16.5" customHeight="1">
      <c r="A142" s="63" t="str">
        <f t="array" ref="A142">IF(C142&lt;&gt;0,SUM(($C$11:C142&lt;&gt;0)*1),"")</f>
        <v/>
      </c>
      <c r="B142" s="315"/>
      <c r="C142" s="315"/>
      <c r="D142" s="315"/>
      <c r="E142" s="433"/>
      <c r="F142" s="371"/>
      <c r="G142" s="373"/>
      <c r="H142" s="373"/>
      <c r="I142" s="63" t="str">
        <f t="shared" si="129"/>
        <v/>
      </c>
      <c r="J142" s="317">
        <f t="shared" si="130"/>
        <v>0</v>
      </c>
      <c r="K142" s="317">
        <f t="shared" si="131"/>
        <v>0</v>
      </c>
      <c r="L142" s="317">
        <f t="shared" si="132"/>
        <v>0</v>
      </c>
      <c r="M142" s="317">
        <f t="shared" si="133"/>
        <v>0</v>
      </c>
      <c r="N142" s="317">
        <f t="shared" si="168"/>
        <v>0</v>
      </c>
      <c r="O142" s="317">
        <f t="shared" si="169"/>
        <v>0</v>
      </c>
      <c r="P142" s="317">
        <f t="shared" si="134"/>
        <v>0</v>
      </c>
      <c r="Q142" s="317">
        <f t="shared" si="135"/>
        <v>0</v>
      </c>
      <c r="R142" s="317">
        <f t="shared" si="136"/>
        <v>0</v>
      </c>
      <c r="S142" s="317">
        <f t="shared" si="137"/>
        <v>0</v>
      </c>
      <c r="T142" s="317">
        <f t="shared" si="170"/>
        <v>0</v>
      </c>
      <c r="U142" s="317">
        <f t="shared" si="171"/>
        <v>0</v>
      </c>
      <c r="V142" s="317">
        <f t="shared" si="138"/>
        <v>0</v>
      </c>
      <c r="W142" s="317">
        <f t="shared" si="139"/>
        <v>0</v>
      </c>
      <c r="X142" s="317">
        <f t="shared" si="140"/>
        <v>0</v>
      </c>
      <c r="Y142" s="317">
        <f t="shared" si="141"/>
        <v>0</v>
      </c>
      <c r="Z142" s="317">
        <f t="shared" si="142"/>
        <v>0</v>
      </c>
      <c r="AA142" s="317">
        <f t="shared" si="143"/>
        <v>0</v>
      </c>
      <c r="AB142" s="317">
        <f t="shared" si="144"/>
        <v>0</v>
      </c>
      <c r="AC142" s="317">
        <f t="shared" si="145"/>
        <v>0</v>
      </c>
      <c r="AD142" s="317">
        <f t="shared" si="146"/>
        <v>0</v>
      </c>
      <c r="AE142" s="317">
        <f t="shared" si="147"/>
        <v>0</v>
      </c>
      <c r="AF142" s="317">
        <f t="shared" si="172"/>
        <v>0</v>
      </c>
      <c r="AG142" s="317">
        <f t="shared" si="173"/>
        <v>0</v>
      </c>
      <c r="AH142" s="317">
        <f t="shared" si="148"/>
        <v>0</v>
      </c>
      <c r="AI142" s="317">
        <f t="shared" si="149"/>
        <v>0</v>
      </c>
      <c r="AJ142" s="317">
        <f t="shared" si="150"/>
        <v>0</v>
      </c>
      <c r="AK142" s="317">
        <f t="shared" si="151"/>
        <v>0</v>
      </c>
      <c r="AL142" s="317">
        <f t="shared" si="152"/>
        <v>0</v>
      </c>
      <c r="AM142" s="317">
        <f t="shared" si="153"/>
        <v>0</v>
      </c>
      <c r="AN142" s="317">
        <f t="shared" si="154"/>
        <v>0</v>
      </c>
      <c r="AO142" s="317">
        <f t="shared" si="155"/>
        <v>0</v>
      </c>
      <c r="AP142" s="317">
        <f t="shared" si="156"/>
        <v>0</v>
      </c>
      <c r="AQ142" s="317">
        <f t="shared" si="157"/>
        <v>0</v>
      </c>
      <c r="AR142" s="317">
        <f t="shared" si="158"/>
        <v>0</v>
      </c>
      <c r="AS142" s="317">
        <f t="shared" si="159"/>
        <v>0</v>
      </c>
      <c r="AT142" s="317">
        <f t="shared" si="160"/>
        <v>0</v>
      </c>
      <c r="AU142" s="317">
        <f t="shared" si="161"/>
        <v>0</v>
      </c>
      <c r="AV142" s="317">
        <f t="shared" si="162"/>
        <v>0</v>
      </c>
      <c r="AW142" s="317">
        <f t="shared" si="163"/>
        <v>0</v>
      </c>
      <c r="AX142" s="317">
        <f t="shared" si="164"/>
        <v>0</v>
      </c>
      <c r="AY142" s="317">
        <f t="shared" si="165"/>
        <v>0</v>
      </c>
      <c r="AZ142" s="317">
        <f t="shared" si="166"/>
        <v>0</v>
      </c>
      <c r="BA142" s="317">
        <f t="shared" si="167"/>
        <v>0</v>
      </c>
    </row>
    <row r="143" spans="1:53" s="314" customFormat="1" ht="16.5" customHeight="1">
      <c r="A143" s="63" t="str">
        <f t="array" ref="A143">IF(C143&lt;&gt;0,SUM(($C$11:C143&lt;&gt;0)*1),"")</f>
        <v/>
      </c>
      <c r="B143" s="315"/>
      <c r="C143" s="315"/>
      <c r="D143" s="315"/>
      <c r="E143" s="433"/>
      <c r="F143" s="371"/>
      <c r="G143" s="373"/>
      <c r="H143" s="373"/>
      <c r="I143" s="63" t="str">
        <f t="shared" si="129"/>
        <v/>
      </c>
      <c r="J143" s="317">
        <f t="shared" si="130"/>
        <v>0</v>
      </c>
      <c r="K143" s="317">
        <f t="shared" si="131"/>
        <v>0</v>
      </c>
      <c r="L143" s="317">
        <f t="shared" si="132"/>
        <v>0</v>
      </c>
      <c r="M143" s="317">
        <f t="shared" si="133"/>
        <v>0</v>
      </c>
      <c r="N143" s="317">
        <f t="shared" si="168"/>
        <v>0</v>
      </c>
      <c r="O143" s="317">
        <f t="shared" si="169"/>
        <v>0</v>
      </c>
      <c r="P143" s="317">
        <f t="shared" si="134"/>
        <v>0</v>
      </c>
      <c r="Q143" s="317">
        <f t="shared" si="135"/>
        <v>0</v>
      </c>
      <c r="R143" s="317">
        <f t="shared" si="136"/>
        <v>0</v>
      </c>
      <c r="S143" s="317">
        <f t="shared" si="137"/>
        <v>0</v>
      </c>
      <c r="T143" s="317">
        <f t="shared" si="170"/>
        <v>0</v>
      </c>
      <c r="U143" s="317">
        <f t="shared" si="171"/>
        <v>0</v>
      </c>
      <c r="V143" s="317">
        <f t="shared" si="138"/>
        <v>0</v>
      </c>
      <c r="W143" s="317">
        <f t="shared" si="139"/>
        <v>0</v>
      </c>
      <c r="X143" s="317">
        <f t="shared" si="140"/>
        <v>0</v>
      </c>
      <c r="Y143" s="317">
        <f t="shared" si="141"/>
        <v>0</v>
      </c>
      <c r="Z143" s="317">
        <f t="shared" si="142"/>
        <v>0</v>
      </c>
      <c r="AA143" s="317">
        <f t="shared" si="143"/>
        <v>0</v>
      </c>
      <c r="AB143" s="317">
        <f t="shared" si="144"/>
        <v>0</v>
      </c>
      <c r="AC143" s="317">
        <f t="shared" si="145"/>
        <v>0</v>
      </c>
      <c r="AD143" s="317">
        <f t="shared" si="146"/>
        <v>0</v>
      </c>
      <c r="AE143" s="317">
        <f t="shared" si="147"/>
        <v>0</v>
      </c>
      <c r="AF143" s="317">
        <f t="shared" si="172"/>
        <v>0</v>
      </c>
      <c r="AG143" s="317">
        <f t="shared" si="173"/>
        <v>0</v>
      </c>
      <c r="AH143" s="317">
        <f t="shared" si="148"/>
        <v>0</v>
      </c>
      <c r="AI143" s="317">
        <f t="shared" si="149"/>
        <v>0</v>
      </c>
      <c r="AJ143" s="317">
        <f t="shared" si="150"/>
        <v>0</v>
      </c>
      <c r="AK143" s="317">
        <f t="shared" si="151"/>
        <v>0</v>
      </c>
      <c r="AL143" s="317">
        <f t="shared" si="152"/>
        <v>0</v>
      </c>
      <c r="AM143" s="317">
        <f t="shared" si="153"/>
        <v>0</v>
      </c>
      <c r="AN143" s="317">
        <f t="shared" si="154"/>
        <v>0</v>
      </c>
      <c r="AO143" s="317">
        <f t="shared" si="155"/>
        <v>0</v>
      </c>
      <c r="AP143" s="317">
        <f t="shared" si="156"/>
        <v>0</v>
      </c>
      <c r="AQ143" s="317">
        <f t="shared" si="157"/>
        <v>0</v>
      </c>
      <c r="AR143" s="317">
        <f t="shared" si="158"/>
        <v>0</v>
      </c>
      <c r="AS143" s="317">
        <f t="shared" si="159"/>
        <v>0</v>
      </c>
      <c r="AT143" s="317">
        <f t="shared" si="160"/>
        <v>0</v>
      </c>
      <c r="AU143" s="317">
        <f t="shared" si="161"/>
        <v>0</v>
      </c>
      <c r="AV143" s="317">
        <f t="shared" si="162"/>
        <v>0</v>
      </c>
      <c r="AW143" s="317">
        <f t="shared" si="163"/>
        <v>0</v>
      </c>
      <c r="AX143" s="317">
        <f t="shared" si="164"/>
        <v>0</v>
      </c>
      <c r="AY143" s="317">
        <f t="shared" si="165"/>
        <v>0</v>
      </c>
      <c r="AZ143" s="317">
        <f t="shared" si="166"/>
        <v>0</v>
      </c>
      <c r="BA143" s="317">
        <f t="shared" si="167"/>
        <v>0</v>
      </c>
    </row>
    <row r="144" spans="1:53" s="314" customFormat="1" ht="16.5" customHeight="1">
      <c r="A144" s="63" t="str">
        <f t="array" ref="A144">IF(C144&lt;&gt;0,SUM(($C$11:C144&lt;&gt;0)*1),"")</f>
        <v/>
      </c>
      <c r="B144" s="315"/>
      <c r="C144" s="315"/>
      <c r="D144" s="315"/>
      <c r="E144" s="433"/>
      <c r="F144" s="371"/>
      <c r="G144" s="373"/>
      <c r="H144" s="373"/>
      <c r="I144" s="63" t="str">
        <f t="shared" si="129"/>
        <v/>
      </c>
      <c r="J144" s="317">
        <f t="shared" si="130"/>
        <v>0</v>
      </c>
      <c r="K144" s="317">
        <f t="shared" si="131"/>
        <v>0</v>
      </c>
      <c r="L144" s="317">
        <f t="shared" si="132"/>
        <v>0</v>
      </c>
      <c r="M144" s="317">
        <f t="shared" si="133"/>
        <v>0</v>
      </c>
      <c r="N144" s="317">
        <f t="shared" si="168"/>
        <v>0</v>
      </c>
      <c r="O144" s="317">
        <f t="shared" si="169"/>
        <v>0</v>
      </c>
      <c r="P144" s="317">
        <f t="shared" si="134"/>
        <v>0</v>
      </c>
      <c r="Q144" s="317">
        <f t="shared" si="135"/>
        <v>0</v>
      </c>
      <c r="R144" s="317">
        <f t="shared" si="136"/>
        <v>0</v>
      </c>
      <c r="S144" s="317">
        <f t="shared" si="137"/>
        <v>0</v>
      </c>
      <c r="T144" s="317">
        <f t="shared" si="170"/>
        <v>0</v>
      </c>
      <c r="U144" s="317">
        <f t="shared" si="171"/>
        <v>0</v>
      </c>
      <c r="V144" s="317">
        <f t="shared" si="138"/>
        <v>0</v>
      </c>
      <c r="W144" s="317">
        <f t="shared" si="139"/>
        <v>0</v>
      </c>
      <c r="X144" s="317">
        <f t="shared" si="140"/>
        <v>0</v>
      </c>
      <c r="Y144" s="317">
        <f t="shared" si="141"/>
        <v>0</v>
      </c>
      <c r="Z144" s="317">
        <f t="shared" si="142"/>
        <v>0</v>
      </c>
      <c r="AA144" s="317">
        <f t="shared" si="143"/>
        <v>0</v>
      </c>
      <c r="AB144" s="317">
        <f t="shared" si="144"/>
        <v>0</v>
      </c>
      <c r="AC144" s="317">
        <f t="shared" si="145"/>
        <v>0</v>
      </c>
      <c r="AD144" s="317">
        <f t="shared" si="146"/>
        <v>0</v>
      </c>
      <c r="AE144" s="317">
        <f t="shared" si="147"/>
        <v>0</v>
      </c>
      <c r="AF144" s="317">
        <f t="shared" si="172"/>
        <v>0</v>
      </c>
      <c r="AG144" s="317">
        <f t="shared" si="173"/>
        <v>0</v>
      </c>
      <c r="AH144" s="317">
        <f t="shared" si="148"/>
        <v>0</v>
      </c>
      <c r="AI144" s="317">
        <f t="shared" si="149"/>
        <v>0</v>
      </c>
      <c r="AJ144" s="317">
        <f t="shared" si="150"/>
        <v>0</v>
      </c>
      <c r="AK144" s="317">
        <f t="shared" si="151"/>
        <v>0</v>
      </c>
      <c r="AL144" s="317">
        <f t="shared" si="152"/>
        <v>0</v>
      </c>
      <c r="AM144" s="317">
        <f t="shared" si="153"/>
        <v>0</v>
      </c>
      <c r="AN144" s="317">
        <f t="shared" si="154"/>
        <v>0</v>
      </c>
      <c r="AO144" s="317">
        <f t="shared" si="155"/>
        <v>0</v>
      </c>
      <c r="AP144" s="317">
        <f t="shared" si="156"/>
        <v>0</v>
      </c>
      <c r="AQ144" s="317">
        <f t="shared" si="157"/>
        <v>0</v>
      </c>
      <c r="AR144" s="317">
        <f t="shared" si="158"/>
        <v>0</v>
      </c>
      <c r="AS144" s="317">
        <f t="shared" si="159"/>
        <v>0</v>
      </c>
      <c r="AT144" s="317">
        <f t="shared" si="160"/>
        <v>0</v>
      </c>
      <c r="AU144" s="317">
        <f t="shared" si="161"/>
        <v>0</v>
      </c>
      <c r="AV144" s="317">
        <f t="shared" si="162"/>
        <v>0</v>
      </c>
      <c r="AW144" s="317">
        <f t="shared" si="163"/>
        <v>0</v>
      </c>
      <c r="AX144" s="317">
        <f t="shared" si="164"/>
        <v>0</v>
      </c>
      <c r="AY144" s="317">
        <f t="shared" si="165"/>
        <v>0</v>
      </c>
      <c r="AZ144" s="317">
        <f t="shared" si="166"/>
        <v>0</v>
      </c>
      <c r="BA144" s="317">
        <f t="shared" si="167"/>
        <v>0</v>
      </c>
    </row>
    <row r="145" spans="1:53" s="314" customFormat="1" ht="16.5" customHeight="1">
      <c r="A145" s="63" t="str">
        <f t="array" ref="A145">IF(C145&lt;&gt;0,SUM(($C$11:C145&lt;&gt;0)*1),"")</f>
        <v/>
      </c>
      <c r="B145" s="315"/>
      <c r="C145" s="315"/>
      <c r="D145" s="315"/>
      <c r="E145" s="433"/>
      <c r="F145" s="371"/>
      <c r="G145" s="373"/>
      <c r="H145" s="373"/>
      <c r="I145" s="63" t="str">
        <f t="shared" si="129"/>
        <v/>
      </c>
      <c r="J145" s="317">
        <f t="shared" si="130"/>
        <v>0</v>
      </c>
      <c r="K145" s="317">
        <f t="shared" si="131"/>
        <v>0</v>
      </c>
      <c r="L145" s="317">
        <f t="shared" si="132"/>
        <v>0</v>
      </c>
      <c r="M145" s="317">
        <f t="shared" si="133"/>
        <v>0</v>
      </c>
      <c r="N145" s="317">
        <f t="shared" si="168"/>
        <v>0</v>
      </c>
      <c r="O145" s="317">
        <f t="shared" si="169"/>
        <v>0</v>
      </c>
      <c r="P145" s="317">
        <f t="shared" si="134"/>
        <v>0</v>
      </c>
      <c r="Q145" s="317">
        <f t="shared" si="135"/>
        <v>0</v>
      </c>
      <c r="R145" s="317">
        <f t="shared" si="136"/>
        <v>0</v>
      </c>
      <c r="S145" s="317">
        <f t="shared" si="137"/>
        <v>0</v>
      </c>
      <c r="T145" s="317">
        <f t="shared" si="170"/>
        <v>0</v>
      </c>
      <c r="U145" s="317">
        <f t="shared" si="171"/>
        <v>0</v>
      </c>
      <c r="V145" s="317">
        <f t="shared" si="138"/>
        <v>0</v>
      </c>
      <c r="W145" s="317">
        <f t="shared" si="139"/>
        <v>0</v>
      </c>
      <c r="X145" s="317">
        <f t="shared" si="140"/>
        <v>0</v>
      </c>
      <c r="Y145" s="317">
        <f t="shared" si="141"/>
        <v>0</v>
      </c>
      <c r="Z145" s="317">
        <f t="shared" si="142"/>
        <v>0</v>
      </c>
      <c r="AA145" s="317">
        <f t="shared" si="143"/>
        <v>0</v>
      </c>
      <c r="AB145" s="317">
        <f t="shared" si="144"/>
        <v>0</v>
      </c>
      <c r="AC145" s="317">
        <f t="shared" si="145"/>
        <v>0</v>
      </c>
      <c r="AD145" s="317">
        <f t="shared" si="146"/>
        <v>0</v>
      </c>
      <c r="AE145" s="317">
        <f t="shared" si="147"/>
        <v>0</v>
      </c>
      <c r="AF145" s="317">
        <f t="shared" si="172"/>
        <v>0</v>
      </c>
      <c r="AG145" s="317">
        <f t="shared" si="173"/>
        <v>0</v>
      </c>
      <c r="AH145" s="317">
        <f t="shared" si="148"/>
        <v>0</v>
      </c>
      <c r="AI145" s="317">
        <f t="shared" si="149"/>
        <v>0</v>
      </c>
      <c r="AJ145" s="317">
        <f t="shared" si="150"/>
        <v>0</v>
      </c>
      <c r="AK145" s="317">
        <f t="shared" si="151"/>
        <v>0</v>
      </c>
      <c r="AL145" s="317">
        <f t="shared" si="152"/>
        <v>0</v>
      </c>
      <c r="AM145" s="317">
        <f t="shared" si="153"/>
        <v>0</v>
      </c>
      <c r="AN145" s="317">
        <f t="shared" si="154"/>
        <v>0</v>
      </c>
      <c r="AO145" s="317">
        <f t="shared" si="155"/>
        <v>0</v>
      </c>
      <c r="AP145" s="317">
        <f t="shared" si="156"/>
        <v>0</v>
      </c>
      <c r="AQ145" s="317">
        <f t="shared" si="157"/>
        <v>0</v>
      </c>
      <c r="AR145" s="317">
        <f t="shared" si="158"/>
        <v>0</v>
      </c>
      <c r="AS145" s="317">
        <f t="shared" si="159"/>
        <v>0</v>
      </c>
      <c r="AT145" s="317">
        <f t="shared" si="160"/>
        <v>0</v>
      </c>
      <c r="AU145" s="317">
        <f t="shared" si="161"/>
        <v>0</v>
      </c>
      <c r="AV145" s="317">
        <f t="shared" si="162"/>
        <v>0</v>
      </c>
      <c r="AW145" s="317">
        <f t="shared" si="163"/>
        <v>0</v>
      </c>
      <c r="AX145" s="317">
        <f t="shared" si="164"/>
        <v>0</v>
      </c>
      <c r="AY145" s="317">
        <f t="shared" si="165"/>
        <v>0</v>
      </c>
      <c r="AZ145" s="317">
        <f t="shared" si="166"/>
        <v>0</v>
      </c>
      <c r="BA145" s="317">
        <f t="shared" si="167"/>
        <v>0</v>
      </c>
    </row>
    <row r="146" spans="1:53" s="314" customFormat="1" ht="16.5" customHeight="1">
      <c r="A146" s="63" t="str">
        <f t="array" ref="A146">IF(C146&lt;&gt;0,SUM(($C$11:C146&lt;&gt;0)*1),"")</f>
        <v/>
      </c>
      <c r="B146" s="315"/>
      <c r="C146" s="315"/>
      <c r="D146" s="315"/>
      <c r="E146" s="433"/>
      <c r="F146" s="371"/>
      <c r="G146" s="373"/>
      <c r="H146" s="373"/>
      <c r="I146" s="63" t="str">
        <f t="shared" si="129"/>
        <v/>
      </c>
      <c r="J146" s="317">
        <f t="shared" si="130"/>
        <v>0</v>
      </c>
      <c r="K146" s="317">
        <f t="shared" si="131"/>
        <v>0</v>
      </c>
      <c r="L146" s="317">
        <f t="shared" si="132"/>
        <v>0</v>
      </c>
      <c r="M146" s="317">
        <f t="shared" si="133"/>
        <v>0</v>
      </c>
      <c r="N146" s="317">
        <f t="shared" si="168"/>
        <v>0</v>
      </c>
      <c r="O146" s="317">
        <f t="shared" si="169"/>
        <v>0</v>
      </c>
      <c r="P146" s="317">
        <f t="shared" si="134"/>
        <v>0</v>
      </c>
      <c r="Q146" s="317">
        <f t="shared" si="135"/>
        <v>0</v>
      </c>
      <c r="R146" s="317">
        <f t="shared" si="136"/>
        <v>0</v>
      </c>
      <c r="S146" s="317">
        <f t="shared" si="137"/>
        <v>0</v>
      </c>
      <c r="T146" s="317">
        <f t="shared" si="170"/>
        <v>0</v>
      </c>
      <c r="U146" s="317">
        <f t="shared" si="171"/>
        <v>0</v>
      </c>
      <c r="V146" s="317">
        <f t="shared" si="138"/>
        <v>0</v>
      </c>
      <c r="W146" s="317">
        <f t="shared" si="139"/>
        <v>0</v>
      </c>
      <c r="X146" s="317">
        <f t="shared" si="140"/>
        <v>0</v>
      </c>
      <c r="Y146" s="317">
        <f t="shared" si="141"/>
        <v>0</v>
      </c>
      <c r="Z146" s="317">
        <f t="shared" si="142"/>
        <v>0</v>
      </c>
      <c r="AA146" s="317">
        <f t="shared" si="143"/>
        <v>0</v>
      </c>
      <c r="AB146" s="317">
        <f t="shared" si="144"/>
        <v>0</v>
      </c>
      <c r="AC146" s="317">
        <f t="shared" si="145"/>
        <v>0</v>
      </c>
      <c r="AD146" s="317">
        <f t="shared" si="146"/>
        <v>0</v>
      </c>
      <c r="AE146" s="317">
        <f t="shared" si="147"/>
        <v>0</v>
      </c>
      <c r="AF146" s="317">
        <f t="shared" si="172"/>
        <v>0</v>
      </c>
      <c r="AG146" s="317">
        <f t="shared" si="173"/>
        <v>0</v>
      </c>
      <c r="AH146" s="317">
        <f t="shared" si="148"/>
        <v>0</v>
      </c>
      <c r="AI146" s="317">
        <f t="shared" si="149"/>
        <v>0</v>
      </c>
      <c r="AJ146" s="317">
        <f t="shared" si="150"/>
        <v>0</v>
      </c>
      <c r="AK146" s="317">
        <f t="shared" si="151"/>
        <v>0</v>
      </c>
      <c r="AL146" s="317">
        <f t="shared" si="152"/>
        <v>0</v>
      </c>
      <c r="AM146" s="317">
        <f t="shared" si="153"/>
        <v>0</v>
      </c>
      <c r="AN146" s="317">
        <f t="shared" si="154"/>
        <v>0</v>
      </c>
      <c r="AO146" s="317">
        <f t="shared" si="155"/>
        <v>0</v>
      </c>
      <c r="AP146" s="317">
        <f t="shared" si="156"/>
        <v>0</v>
      </c>
      <c r="AQ146" s="317">
        <f t="shared" si="157"/>
        <v>0</v>
      </c>
      <c r="AR146" s="317">
        <f t="shared" si="158"/>
        <v>0</v>
      </c>
      <c r="AS146" s="317">
        <f t="shared" si="159"/>
        <v>0</v>
      </c>
      <c r="AT146" s="317">
        <f t="shared" si="160"/>
        <v>0</v>
      </c>
      <c r="AU146" s="317">
        <f t="shared" si="161"/>
        <v>0</v>
      </c>
      <c r="AV146" s="317">
        <f t="shared" si="162"/>
        <v>0</v>
      </c>
      <c r="AW146" s="317">
        <f t="shared" si="163"/>
        <v>0</v>
      </c>
      <c r="AX146" s="317">
        <f t="shared" si="164"/>
        <v>0</v>
      </c>
      <c r="AY146" s="317">
        <f t="shared" si="165"/>
        <v>0</v>
      </c>
      <c r="AZ146" s="317">
        <f t="shared" si="166"/>
        <v>0</v>
      </c>
      <c r="BA146" s="317">
        <f t="shared" si="167"/>
        <v>0</v>
      </c>
    </row>
    <row r="147" spans="1:53" s="314" customFormat="1" ht="16.5" customHeight="1">
      <c r="A147" s="63" t="str">
        <f t="array" ref="A147">IF(C147&lt;&gt;0,SUM(($C$11:C147&lt;&gt;0)*1),"")</f>
        <v/>
      </c>
      <c r="B147" s="315"/>
      <c r="C147" s="315"/>
      <c r="D147" s="315"/>
      <c r="E147" s="433"/>
      <c r="F147" s="371"/>
      <c r="G147" s="373"/>
      <c r="H147" s="373"/>
      <c r="I147" s="63" t="str">
        <f t="shared" si="129"/>
        <v/>
      </c>
      <c r="J147" s="317">
        <f t="shared" si="130"/>
        <v>0</v>
      </c>
      <c r="K147" s="317">
        <f t="shared" si="131"/>
        <v>0</v>
      </c>
      <c r="L147" s="317">
        <f t="shared" si="132"/>
        <v>0</v>
      </c>
      <c r="M147" s="317">
        <f t="shared" si="133"/>
        <v>0</v>
      </c>
      <c r="N147" s="317">
        <f t="shared" si="168"/>
        <v>0</v>
      </c>
      <c r="O147" s="317">
        <f t="shared" si="169"/>
        <v>0</v>
      </c>
      <c r="P147" s="317">
        <f t="shared" si="134"/>
        <v>0</v>
      </c>
      <c r="Q147" s="317">
        <f t="shared" si="135"/>
        <v>0</v>
      </c>
      <c r="R147" s="317">
        <f t="shared" si="136"/>
        <v>0</v>
      </c>
      <c r="S147" s="317">
        <f t="shared" si="137"/>
        <v>0</v>
      </c>
      <c r="T147" s="317">
        <f t="shared" si="170"/>
        <v>0</v>
      </c>
      <c r="U147" s="317">
        <f t="shared" si="171"/>
        <v>0</v>
      </c>
      <c r="V147" s="317">
        <f t="shared" si="138"/>
        <v>0</v>
      </c>
      <c r="W147" s="317">
        <f t="shared" si="139"/>
        <v>0</v>
      </c>
      <c r="X147" s="317">
        <f t="shared" si="140"/>
        <v>0</v>
      </c>
      <c r="Y147" s="317">
        <f t="shared" si="141"/>
        <v>0</v>
      </c>
      <c r="Z147" s="317">
        <f t="shared" si="142"/>
        <v>0</v>
      </c>
      <c r="AA147" s="317">
        <f t="shared" si="143"/>
        <v>0</v>
      </c>
      <c r="AB147" s="317">
        <f t="shared" si="144"/>
        <v>0</v>
      </c>
      <c r="AC147" s="317">
        <f t="shared" si="145"/>
        <v>0</v>
      </c>
      <c r="AD147" s="317">
        <f t="shared" si="146"/>
        <v>0</v>
      </c>
      <c r="AE147" s="317">
        <f t="shared" si="147"/>
        <v>0</v>
      </c>
      <c r="AF147" s="317">
        <f t="shared" si="172"/>
        <v>0</v>
      </c>
      <c r="AG147" s="317">
        <f t="shared" si="173"/>
        <v>0</v>
      </c>
      <c r="AH147" s="317">
        <f t="shared" si="148"/>
        <v>0</v>
      </c>
      <c r="AI147" s="317">
        <f t="shared" si="149"/>
        <v>0</v>
      </c>
      <c r="AJ147" s="317">
        <f t="shared" si="150"/>
        <v>0</v>
      </c>
      <c r="AK147" s="317">
        <f t="shared" si="151"/>
        <v>0</v>
      </c>
      <c r="AL147" s="317">
        <f t="shared" si="152"/>
        <v>0</v>
      </c>
      <c r="AM147" s="317">
        <f t="shared" si="153"/>
        <v>0</v>
      </c>
      <c r="AN147" s="317">
        <f t="shared" si="154"/>
        <v>0</v>
      </c>
      <c r="AO147" s="317">
        <f t="shared" si="155"/>
        <v>0</v>
      </c>
      <c r="AP147" s="317">
        <f t="shared" si="156"/>
        <v>0</v>
      </c>
      <c r="AQ147" s="317">
        <f t="shared" si="157"/>
        <v>0</v>
      </c>
      <c r="AR147" s="317">
        <f t="shared" si="158"/>
        <v>0</v>
      </c>
      <c r="AS147" s="317">
        <f t="shared" si="159"/>
        <v>0</v>
      </c>
      <c r="AT147" s="317">
        <f t="shared" si="160"/>
        <v>0</v>
      </c>
      <c r="AU147" s="317">
        <f t="shared" si="161"/>
        <v>0</v>
      </c>
      <c r="AV147" s="317">
        <f t="shared" si="162"/>
        <v>0</v>
      </c>
      <c r="AW147" s="317">
        <f t="shared" si="163"/>
        <v>0</v>
      </c>
      <c r="AX147" s="317">
        <f t="shared" si="164"/>
        <v>0</v>
      </c>
      <c r="AY147" s="317">
        <f t="shared" si="165"/>
        <v>0</v>
      </c>
      <c r="AZ147" s="317">
        <f t="shared" si="166"/>
        <v>0</v>
      </c>
      <c r="BA147" s="317">
        <f t="shared" si="167"/>
        <v>0</v>
      </c>
    </row>
    <row r="148" spans="1:53" s="314" customFormat="1" ht="16.5" customHeight="1">
      <c r="A148" s="63" t="str">
        <f t="array" ref="A148">IF(C148&lt;&gt;0,SUM(($C$11:C148&lt;&gt;0)*1),"")</f>
        <v/>
      </c>
      <c r="B148" s="315"/>
      <c r="C148" s="315"/>
      <c r="D148" s="315"/>
      <c r="E148" s="433"/>
      <c r="F148" s="371"/>
      <c r="G148" s="373"/>
      <c r="H148" s="373"/>
      <c r="I148" s="63" t="str">
        <f t="shared" si="129"/>
        <v/>
      </c>
      <c r="J148" s="317">
        <f t="shared" si="130"/>
        <v>0</v>
      </c>
      <c r="K148" s="317">
        <f t="shared" si="131"/>
        <v>0</v>
      </c>
      <c r="L148" s="317">
        <f t="shared" si="132"/>
        <v>0</v>
      </c>
      <c r="M148" s="317">
        <f t="shared" si="133"/>
        <v>0</v>
      </c>
      <c r="N148" s="317">
        <f t="shared" si="168"/>
        <v>0</v>
      </c>
      <c r="O148" s="317">
        <f t="shared" si="169"/>
        <v>0</v>
      </c>
      <c r="P148" s="317">
        <f t="shared" si="134"/>
        <v>0</v>
      </c>
      <c r="Q148" s="317">
        <f t="shared" si="135"/>
        <v>0</v>
      </c>
      <c r="R148" s="317">
        <f t="shared" si="136"/>
        <v>0</v>
      </c>
      <c r="S148" s="317">
        <f t="shared" si="137"/>
        <v>0</v>
      </c>
      <c r="T148" s="317">
        <f t="shared" si="170"/>
        <v>0</v>
      </c>
      <c r="U148" s="317">
        <f t="shared" si="171"/>
        <v>0</v>
      </c>
      <c r="V148" s="317">
        <f t="shared" si="138"/>
        <v>0</v>
      </c>
      <c r="W148" s="317">
        <f t="shared" si="139"/>
        <v>0</v>
      </c>
      <c r="X148" s="317">
        <f t="shared" si="140"/>
        <v>0</v>
      </c>
      <c r="Y148" s="317">
        <f t="shared" si="141"/>
        <v>0</v>
      </c>
      <c r="Z148" s="317">
        <f t="shared" si="142"/>
        <v>0</v>
      </c>
      <c r="AA148" s="317">
        <f t="shared" si="143"/>
        <v>0</v>
      </c>
      <c r="AB148" s="317">
        <f t="shared" si="144"/>
        <v>0</v>
      </c>
      <c r="AC148" s="317">
        <f t="shared" si="145"/>
        <v>0</v>
      </c>
      <c r="AD148" s="317">
        <f t="shared" si="146"/>
        <v>0</v>
      </c>
      <c r="AE148" s="317">
        <f t="shared" si="147"/>
        <v>0</v>
      </c>
      <c r="AF148" s="317">
        <f t="shared" si="172"/>
        <v>0</v>
      </c>
      <c r="AG148" s="317">
        <f t="shared" si="173"/>
        <v>0</v>
      </c>
      <c r="AH148" s="317">
        <f t="shared" si="148"/>
        <v>0</v>
      </c>
      <c r="AI148" s="317">
        <f t="shared" si="149"/>
        <v>0</v>
      </c>
      <c r="AJ148" s="317">
        <f t="shared" si="150"/>
        <v>0</v>
      </c>
      <c r="AK148" s="317">
        <f t="shared" si="151"/>
        <v>0</v>
      </c>
      <c r="AL148" s="317">
        <f t="shared" si="152"/>
        <v>0</v>
      </c>
      <c r="AM148" s="317">
        <f t="shared" si="153"/>
        <v>0</v>
      </c>
      <c r="AN148" s="317">
        <f t="shared" si="154"/>
        <v>0</v>
      </c>
      <c r="AO148" s="317">
        <f t="shared" si="155"/>
        <v>0</v>
      </c>
      <c r="AP148" s="317">
        <f t="shared" si="156"/>
        <v>0</v>
      </c>
      <c r="AQ148" s="317">
        <f t="shared" si="157"/>
        <v>0</v>
      </c>
      <c r="AR148" s="317">
        <f t="shared" si="158"/>
        <v>0</v>
      </c>
      <c r="AS148" s="317">
        <f t="shared" si="159"/>
        <v>0</v>
      </c>
      <c r="AT148" s="317">
        <f t="shared" si="160"/>
        <v>0</v>
      </c>
      <c r="AU148" s="317">
        <f t="shared" si="161"/>
        <v>0</v>
      </c>
      <c r="AV148" s="317">
        <f t="shared" si="162"/>
        <v>0</v>
      </c>
      <c r="AW148" s="317">
        <f t="shared" si="163"/>
        <v>0</v>
      </c>
      <c r="AX148" s="317">
        <f t="shared" si="164"/>
        <v>0</v>
      </c>
      <c r="AY148" s="317">
        <f t="shared" si="165"/>
        <v>0</v>
      </c>
      <c r="AZ148" s="317">
        <f t="shared" si="166"/>
        <v>0</v>
      </c>
      <c r="BA148" s="317">
        <f t="shared" si="167"/>
        <v>0</v>
      </c>
    </row>
    <row r="149" spans="1:53" s="314" customFormat="1" ht="16.5" customHeight="1">
      <c r="A149" s="63" t="str">
        <f t="array" ref="A149">IF(C149&lt;&gt;0,SUM(($C$11:C149&lt;&gt;0)*1),"")</f>
        <v/>
      </c>
      <c r="B149" s="315"/>
      <c r="C149" s="315"/>
      <c r="D149" s="315"/>
      <c r="E149" s="433"/>
      <c r="F149" s="371"/>
      <c r="G149" s="373"/>
      <c r="H149" s="373"/>
      <c r="I149" s="63" t="str">
        <f t="shared" si="129"/>
        <v/>
      </c>
      <c r="J149" s="317">
        <f t="shared" si="130"/>
        <v>0</v>
      </c>
      <c r="K149" s="317">
        <f t="shared" si="131"/>
        <v>0</v>
      </c>
      <c r="L149" s="317">
        <f t="shared" si="132"/>
        <v>0</v>
      </c>
      <c r="M149" s="317">
        <f t="shared" si="133"/>
        <v>0</v>
      </c>
      <c r="N149" s="317">
        <f t="shared" si="168"/>
        <v>0</v>
      </c>
      <c r="O149" s="317">
        <f t="shared" si="169"/>
        <v>0</v>
      </c>
      <c r="P149" s="317">
        <f t="shared" si="134"/>
        <v>0</v>
      </c>
      <c r="Q149" s="317">
        <f t="shared" si="135"/>
        <v>0</v>
      </c>
      <c r="R149" s="317">
        <f t="shared" si="136"/>
        <v>0</v>
      </c>
      <c r="S149" s="317">
        <f t="shared" si="137"/>
        <v>0</v>
      </c>
      <c r="T149" s="317">
        <f t="shared" si="170"/>
        <v>0</v>
      </c>
      <c r="U149" s="317">
        <f t="shared" si="171"/>
        <v>0</v>
      </c>
      <c r="V149" s="317">
        <f t="shared" si="138"/>
        <v>0</v>
      </c>
      <c r="W149" s="317">
        <f t="shared" si="139"/>
        <v>0</v>
      </c>
      <c r="X149" s="317">
        <f t="shared" si="140"/>
        <v>0</v>
      </c>
      <c r="Y149" s="317">
        <f t="shared" si="141"/>
        <v>0</v>
      </c>
      <c r="Z149" s="317">
        <f t="shared" si="142"/>
        <v>0</v>
      </c>
      <c r="AA149" s="317">
        <f t="shared" si="143"/>
        <v>0</v>
      </c>
      <c r="AB149" s="317">
        <f t="shared" si="144"/>
        <v>0</v>
      </c>
      <c r="AC149" s="317">
        <f t="shared" si="145"/>
        <v>0</v>
      </c>
      <c r="AD149" s="317">
        <f t="shared" si="146"/>
        <v>0</v>
      </c>
      <c r="AE149" s="317">
        <f t="shared" si="147"/>
        <v>0</v>
      </c>
      <c r="AF149" s="317">
        <f t="shared" si="172"/>
        <v>0</v>
      </c>
      <c r="AG149" s="317">
        <f t="shared" si="173"/>
        <v>0</v>
      </c>
      <c r="AH149" s="317">
        <f t="shared" si="148"/>
        <v>0</v>
      </c>
      <c r="AI149" s="317">
        <f t="shared" si="149"/>
        <v>0</v>
      </c>
      <c r="AJ149" s="317">
        <f t="shared" si="150"/>
        <v>0</v>
      </c>
      <c r="AK149" s="317">
        <f t="shared" si="151"/>
        <v>0</v>
      </c>
      <c r="AL149" s="317">
        <f t="shared" si="152"/>
        <v>0</v>
      </c>
      <c r="AM149" s="317">
        <f t="shared" si="153"/>
        <v>0</v>
      </c>
      <c r="AN149" s="317">
        <f t="shared" si="154"/>
        <v>0</v>
      </c>
      <c r="AO149" s="317">
        <f t="shared" si="155"/>
        <v>0</v>
      </c>
      <c r="AP149" s="317">
        <f t="shared" si="156"/>
        <v>0</v>
      </c>
      <c r="AQ149" s="317">
        <f t="shared" si="157"/>
        <v>0</v>
      </c>
      <c r="AR149" s="317">
        <f t="shared" si="158"/>
        <v>0</v>
      </c>
      <c r="AS149" s="317">
        <f t="shared" si="159"/>
        <v>0</v>
      </c>
      <c r="AT149" s="317">
        <f t="shared" si="160"/>
        <v>0</v>
      </c>
      <c r="AU149" s="317">
        <f t="shared" si="161"/>
        <v>0</v>
      </c>
      <c r="AV149" s="317">
        <f t="shared" si="162"/>
        <v>0</v>
      </c>
      <c r="AW149" s="317">
        <f t="shared" si="163"/>
        <v>0</v>
      </c>
      <c r="AX149" s="317">
        <f t="shared" si="164"/>
        <v>0</v>
      </c>
      <c r="AY149" s="317">
        <f t="shared" si="165"/>
        <v>0</v>
      </c>
      <c r="AZ149" s="317">
        <f t="shared" si="166"/>
        <v>0</v>
      </c>
      <c r="BA149" s="317">
        <f t="shared" si="167"/>
        <v>0</v>
      </c>
    </row>
    <row r="150" spans="1:53" s="314" customFormat="1" ht="16.5" customHeight="1">
      <c r="A150" s="63" t="str">
        <f t="array" ref="A150">IF(C150&lt;&gt;0,SUM(($C$11:C150&lt;&gt;0)*1),"")</f>
        <v/>
      </c>
      <c r="B150" s="315"/>
      <c r="C150" s="315"/>
      <c r="D150" s="315"/>
      <c r="E150" s="433"/>
      <c r="F150" s="371"/>
      <c r="G150" s="373"/>
      <c r="H150" s="373"/>
      <c r="I150" s="63" t="str">
        <f t="shared" si="129"/>
        <v/>
      </c>
      <c r="J150" s="317">
        <f t="shared" si="130"/>
        <v>0</v>
      </c>
      <c r="K150" s="317">
        <f t="shared" si="131"/>
        <v>0</v>
      </c>
      <c r="L150" s="317">
        <f t="shared" si="132"/>
        <v>0</v>
      </c>
      <c r="M150" s="317">
        <f t="shared" si="133"/>
        <v>0</v>
      </c>
      <c r="N150" s="317">
        <f t="shared" si="168"/>
        <v>0</v>
      </c>
      <c r="O150" s="317">
        <f t="shared" si="169"/>
        <v>0</v>
      </c>
      <c r="P150" s="317">
        <f t="shared" si="134"/>
        <v>0</v>
      </c>
      <c r="Q150" s="317">
        <f t="shared" si="135"/>
        <v>0</v>
      </c>
      <c r="R150" s="317">
        <f t="shared" si="136"/>
        <v>0</v>
      </c>
      <c r="S150" s="317">
        <f t="shared" si="137"/>
        <v>0</v>
      </c>
      <c r="T150" s="317">
        <f t="shared" si="170"/>
        <v>0</v>
      </c>
      <c r="U150" s="317">
        <f t="shared" si="171"/>
        <v>0</v>
      </c>
      <c r="V150" s="317">
        <f t="shared" si="138"/>
        <v>0</v>
      </c>
      <c r="W150" s="317">
        <f t="shared" si="139"/>
        <v>0</v>
      </c>
      <c r="X150" s="317">
        <f t="shared" si="140"/>
        <v>0</v>
      </c>
      <c r="Y150" s="317">
        <f t="shared" si="141"/>
        <v>0</v>
      </c>
      <c r="Z150" s="317">
        <f t="shared" si="142"/>
        <v>0</v>
      </c>
      <c r="AA150" s="317">
        <f t="shared" si="143"/>
        <v>0</v>
      </c>
      <c r="AB150" s="317">
        <f t="shared" si="144"/>
        <v>0</v>
      </c>
      <c r="AC150" s="317">
        <f t="shared" si="145"/>
        <v>0</v>
      </c>
      <c r="AD150" s="317">
        <f t="shared" si="146"/>
        <v>0</v>
      </c>
      <c r="AE150" s="317">
        <f t="shared" si="147"/>
        <v>0</v>
      </c>
      <c r="AF150" s="317">
        <f t="shared" si="172"/>
        <v>0</v>
      </c>
      <c r="AG150" s="317">
        <f t="shared" si="173"/>
        <v>0</v>
      </c>
      <c r="AH150" s="317">
        <f t="shared" si="148"/>
        <v>0</v>
      </c>
      <c r="AI150" s="317">
        <f t="shared" si="149"/>
        <v>0</v>
      </c>
      <c r="AJ150" s="317">
        <f t="shared" si="150"/>
        <v>0</v>
      </c>
      <c r="AK150" s="317">
        <f t="shared" si="151"/>
        <v>0</v>
      </c>
      <c r="AL150" s="317">
        <f t="shared" si="152"/>
        <v>0</v>
      </c>
      <c r="AM150" s="317">
        <f t="shared" si="153"/>
        <v>0</v>
      </c>
      <c r="AN150" s="317">
        <f t="shared" si="154"/>
        <v>0</v>
      </c>
      <c r="AO150" s="317">
        <f t="shared" si="155"/>
        <v>0</v>
      </c>
      <c r="AP150" s="317">
        <f t="shared" si="156"/>
        <v>0</v>
      </c>
      <c r="AQ150" s="317">
        <f t="shared" si="157"/>
        <v>0</v>
      </c>
      <c r="AR150" s="317">
        <f t="shared" si="158"/>
        <v>0</v>
      </c>
      <c r="AS150" s="317">
        <f t="shared" si="159"/>
        <v>0</v>
      </c>
      <c r="AT150" s="317">
        <f t="shared" si="160"/>
        <v>0</v>
      </c>
      <c r="AU150" s="317">
        <f t="shared" si="161"/>
        <v>0</v>
      </c>
      <c r="AV150" s="317">
        <f t="shared" si="162"/>
        <v>0</v>
      </c>
      <c r="AW150" s="317">
        <f t="shared" si="163"/>
        <v>0</v>
      </c>
      <c r="AX150" s="317">
        <f t="shared" si="164"/>
        <v>0</v>
      </c>
      <c r="AY150" s="317">
        <f t="shared" si="165"/>
        <v>0</v>
      </c>
      <c r="AZ150" s="317">
        <f t="shared" si="166"/>
        <v>0</v>
      </c>
      <c r="BA150" s="317">
        <f t="shared" si="167"/>
        <v>0</v>
      </c>
    </row>
    <row r="151" spans="1:53" s="314" customFormat="1" ht="16.5" customHeight="1">
      <c r="A151" s="63" t="str">
        <f t="array" ref="A151">IF(C151&lt;&gt;0,SUM(($C$11:C151&lt;&gt;0)*1),"")</f>
        <v/>
      </c>
      <c r="B151" s="315"/>
      <c r="C151" s="315"/>
      <c r="D151" s="315"/>
      <c r="E151" s="433"/>
      <c r="F151" s="371"/>
      <c r="G151" s="373"/>
      <c r="H151" s="373"/>
      <c r="I151" s="63" t="str">
        <f t="shared" si="129"/>
        <v/>
      </c>
      <c r="J151" s="317">
        <f t="shared" si="130"/>
        <v>0</v>
      </c>
      <c r="K151" s="317">
        <f t="shared" si="131"/>
        <v>0</v>
      </c>
      <c r="L151" s="317">
        <f t="shared" si="132"/>
        <v>0</v>
      </c>
      <c r="M151" s="317">
        <f t="shared" si="133"/>
        <v>0</v>
      </c>
      <c r="N151" s="317">
        <f t="shared" si="168"/>
        <v>0</v>
      </c>
      <c r="O151" s="317">
        <f t="shared" si="169"/>
        <v>0</v>
      </c>
      <c r="P151" s="317">
        <f t="shared" si="134"/>
        <v>0</v>
      </c>
      <c r="Q151" s="317">
        <f t="shared" si="135"/>
        <v>0</v>
      </c>
      <c r="R151" s="317">
        <f t="shared" si="136"/>
        <v>0</v>
      </c>
      <c r="S151" s="317">
        <f t="shared" si="137"/>
        <v>0</v>
      </c>
      <c r="T151" s="317">
        <f t="shared" si="170"/>
        <v>0</v>
      </c>
      <c r="U151" s="317">
        <f t="shared" si="171"/>
        <v>0</v>
      </c>
      <c r="V151" s="317">
        <f t="shared" si="138"/>
        <v>0</v>
      </c>
      <c r="W151" s="317">
        <f t="shared" si="139"/>
        <v>0</v>
      </c>
      <c r="X151" s="317">
        <f t="shared" si="140"/>
        <v>0</v>
      </c>
      <c r="Y151" s="317">
        <f t="shared" si="141"/>
        <v>0</v>
      </c>
      <c r="Z151" s="317">
        <f t="shared" si="142"/>
        <v>0</v>
      </c>
      <c r="AA151" s="317">
        <f t="shared" si="143"/>
        <v>0</v>
      </c>
      <c r="AB151" s="317">
        <f t="shared" si="144"/>
        <v>0</v>
      </c>
      <c r="AC151" s="317">
        <f t="shared" si="145"/>
        <v>0</v>
      </c>
      <c r="AD151" s="317">
        <f t="shared" si="146"/>
        <v>0</v>
      </c>
      <c r="AE151" s="317">
        <f t="shared" si="147"/>
        <v>0</v>
      </c>
      <c r="AF151" s="317">
        <f t="shared" si="172"/>
        <v>0</v>
      </c>
      <c r="AG151" s="317">
        <f t="shared" si="173"/>
        <v>0</v>
      </c>
      <c r="AH151" s="317">
        <f t="shared" si="148"/>
        <v>0</v>
      </c>
      <c r="AI151" s="317">
        <f t="shared" si="149"/>
        <v>0</v>
      </c>
      <c r="AJ151" s="317">
        <f t="shared" si="150"/>
        <v>0</v>
      </c>
      <c r="AK151" s="317">
        <f t="shared" si="151"/>
        <v>0</v>
      </c>
      <c r="AL151" s="317">
        <f t="shared" si="152"/>
        <v>0</v>
      </c>
      <c r="AM151" s="317">
        <f t="shared" si="153"/>
        <v>0</v>
      </c>
      <c r="AN151" s="317">
        <f t="shared" si="154"/>
        <v>0</v>
      </c>
      <c r="AO151" s="317">
        <f t="shared" si="155"/>
        <v>0</v>
      </c>
      <c r="AP151" s="317">
        <f t="shared" si="156"/>
        <v>0</v>
      </c>
      <c r="AQ151" s="317">
        <f t="shared" si="157"/>
        <v>0</v>
      </c>
      <c r="AR151" s="317">
        <f t="shared" si="158"/>
        <v>0</v>
      </c>
      <c r="AS151" s="317">
        <f t="shared" si="159"/>
        <v>0</v>
      </c>
      <c r="AT151" s="317">
        <f t="shared" si="160"/>
        <v>0</v>
      </c>
      <c r="AU151" s="317">
        <f t="shared" si="161"/>
        <v>0</v>
      </c>
      <c r="AV151" s="317">
        <f t="shared" si="162"/>
        <v>0</v>
      </c>
      <c r="AW151" s="317">
        <f t="shared" si="163"/>
        <v>0</v>
      </c>
      <c r="AX151" s="317">
        <f t="shared" si="164"/>
        <v>0</v>
      </c>
      <c r="AY151" s="317">
        <f t="shared" si="165"/>
        <v>0</v>
      </c>
      <c r="AZ151" s="317">
        <f t="shared" si="166"/>
        <v>0</v>
      </c>
      <c r="BA151" s="317">
        <f t="shared" si="167"/>
        <v>0</v>
      </c>
    </row>
    <row r="152" spans="1:53" s="314" customFormat="1" ht="16.5" customHeight="1">
      <c r="A152" s="63" t="str">
        <f t="array" ref="A152">IF(C152&lt;&gt;0,SUM(($C$11:C152&lt;&gt;0)*1),"")</f>
        <v/>
      </c>
      <c r="B152" s="315"/>
      <c r="C152" s="315"/>
      <c r="D152" s="315"/>
      <c r="E152" s="433"/>
      <c r="F152" s="371"/>
      <c r="G152" s="373"/>
      <c r="H152" s="373"/>
      <c r="I152" s="63" t="str">
        <f t="shared" si="129"/>
        <v/>
      </c>
      <c r="J152" s="317">
        <f t="shared" si="130"/>
        <v>0</v>
      </c>
      <c r="K152" s="317">
        <f t="shared" si="131"/>
        <v>0</v>
      </c>
      <c r="L152" s="317">
        <f t="shared" si="132"/>
        <v>0</v>
      </c>
      <c r="M152" s="317">
        <f t="shared" si="133"/>
        <v>0</v>
      </c>
      <c r="N152" s="317">
        <f t="shared" si="168"/>
        <v>0</v>
      </c>
      <c r="O152" s="317">
        <f t="shared" si="169"/>
        <v>0</v>
      </c>
      <c r="P152" s="317">
        <f t="shared" si="134"/>
        <v>0</v>
      </c>
      <c r="Q152" s="317">
        <f t="shared" si="135"/>
        <v>0</v>
      </c>
      <c r="R152" s="317">
        <f t="shared" si="136"/>
        <v>0</v>
      </c>
      <c r="S152" s="317">
        <f t="shared" si="137"/>
        <v>0</v>
      </c>
      <c r="T152" s="317">
        <f t="shared" si="170"/>
        <v>0</v>
      </c>
      <c r="U152" s="317">
        <f t="shared" si="171"/>
        <v>0</v>
      </c>
      <c r="V152" s="317">
        <f t="shared" si="138"/>
        <v>0</v>
      </c>
      <c r="W152" s="317">
        <f t="shared" si="139"/>
        <v>0</v>
      </c>
      <c r="X152" s="317">
        <f t="shared" si="140"/>
        <v>0</v>
      </c>
      <c r="Y152" s="317">
        <f t="shared" si="141"/>
        <v>0</v>
      </c>
      <c r="Z152" s="317">
        <f t="shared" si="142"/>
        <v>0</v>
      </c>
      <c r="AA152" s="317">
        <f t="shared" si="143"/>
        <v>0</v>
      </c>
      <c r="AB152" s="317">
        <f t="shared" si="144"/>
        <v>0</v>
      </c>
      <c r="AC152" s="317">
        <f t="shared" si="145"/>
        <v>0</v>
      </c>
      <c r="AD152" s="317">
        <f t="shared" si="146"/>
        <v>0</v>
      </c>
      <c r="AE152" s="317">
        <f t="shared" si="147"/>
        <v>0</v>
      </c>
      <c r="AF152" s="317">
        <f t="shared" si="172"/>
        <v>0</v>
      </c>
      <c r="AG152" s="317">
        <f t="shared" si="173"/>
        <v>0</v>
      </c>
      <c r="AH152" s="317">
        <f t="shared" si="148"/>
        <v>0</v>
      </c>
      <c r="AI152" s="317">
        <f t="shared" si="149"/>
        <v>0</v>
      </c>
      <c r="AJ152" s="317">
        <f t="shared" si="150"/>
        <v>0</v>
      </c>
      <c r="AK152" s="317">
        <f t="shared" si="151"/>
        <v>0</v>
      </c>
      <c r="AL152" s="317">
        <f t="shared" si="152"/>
        <v>0</v>
      </c>
      <c r="AM152" s="317">
        <f t="shared" si="153"/>
        <v>0</v>
      </c>
      <c r="AN152" s="317">
        <f t="shared" si="154"/>
        <v>0</v>
      </c>
      <c r="AO152" s="317">
        <f t="shared" si="155"/>
        <v>0</v>
      </c>
      <c r="AP152" s="317">
        <f t="shared" si="156"/>
        <v>0</v>
      </c>
      <c r="AQ152" s="317">
        <f t="shared" si="157"/>
        <v>0</v>
      </c>
      <c r="AR152" s="317">
        <f t="shared" si="158"/>
        <v>0</v>
      </c>
      <c r="AS152" s="317">
        <f t="shared" si="159"/>
        <v>0</v>
      </c>
      <c r="AT152" s="317">
        <f t="shared" si="160"/>
        <v>0</v>
      </c>
      <c r="AU152" s="317">
        <f t="shared" si="161"/>
        <v>0</v>
      </c>
      <c r="AV152" s="317">
        <f t="shared" si="162"/>
        <v>0</v>
      </c>
      <c r="AW152" s="317">
        <f t="shared" si="163"/>
        <v>0</v>
      </c>
      <c r="AX152" s="317">
        <f t="shared" si="164"/>
        <v>0</v>
      </c>
      <c r="AY152" s="317">
        <f t="shared" si="165"/>
        <v>0</v>
      </c>
      <c r="AZ152" s="317">
        <f t="shared" si="166"/>
        <v>0</v>
      </c>
      <c r="BA152" s="317">
        <f t="shared" si="167"/>
        <v>0</v>
      </c>
    </row>
    <row r="153" spans="1:53" s="314" customFormat="1" ht="16.5" customHeight="1">
      <c r="A153" s="63" t="str">
        <f t="array" ref="A153">IF(C153&lt;&gt;0,SUM(($C$11:C153&lt;&gt;0)*1),"")</f>
        <v/>
      </c>
      <c r="B153" s="315"/>
      <c r="C153" s="315"/>
      <c r="D153" s="315"/>
      <c r="E153" s="433"/>
      <c r="F153" s="371"/>
      <c r="G153" s="373"/>
      <c r="H153" s="373"/>
      <c r="I153" s="63" t="str">
        <f t="shared" si="129"/>
        <v/>
      </c>
      <c r="J153" s="317">
        <f t="shared" si="130"/>
        <v>0</v>
      </c>
      <c r="K153" s="317">
        <f t="shared" si="131"/>
        <v>0</v>
      </c>
      <c r="L153" s="317">
        <f t="shared" si="132"/>
        <v>0</v>
      </c>
      <c r="M153" s="317">
        <f t="shared" si="133"/>
        <v>0</v>
      </c>
      <c r="N153" s="317">
        <f t="shared" si="168"/>
        <v>0</v>
      </c>
      <c r="O153" s="317">
        <f t="shared" si="169"/>
        <v>0</v>
      </c>
      <c r="P153" s="317">
        <f t="shared" si="134"/>
        <v>0</v>
      </c>
      <c r="Q153" s="317">
        <f t="shared" si="135"/>
        <v>0</v>
      </c>
      <c r="R153" s="317">
        <f t="shared" si="136"/>
        <v>0</v>
      </c>
      <c r="S153" s="317">
        <f t="shared" si="137"/>
        <v>0</v>
      </c>
      <c r="T153" s="317">
        <f t="shared" si="170"/>
        <v>0</v>
      </c>
      <c r="U153" s="317">
        <f t="shared" si="171"/>
        <v>0</v>
      </c>
      <c r="V153" s="317">
        <f t="shared" si="138"/>
        <v>0</v>
      </c>
      <c r="W153" s="317">
        <f t="shared" si="139"/>
        <v>0</v>
      </c>
      <c r="X153" s="317">
        <f t="shared" si="140"/>
        <v>0</v>
      </c>
      <c r="Y153" s="317">
        <f t="shared" si="141"/>
        <v>0</v>
      </c>
      <c r="Z153" s="317">
        <f t="shared" si="142"/>
        <v>0</v>
      </c>
      <c r="AA153" s="317">
        <f t="shared" si="143"/>
        <v>0</v>
      </c>
      <c r="AB153" s="317">
        <f t="shared" si="144"/>
        <v>0</v>
      </c>
      <c r="AC153" s="317">
        <f t="shared" si="145"/>
        <v>0</v>
      </c>
      <c r="AD153" s="317">
        <f t="shared" si="146"/>
        <v>0</v>
      </c>
      <c r="AE153" s="317">
        <f t="shared" si="147"/>
        <v>0</v>
      </c>
      <c r="AF153" s="317">
        <f t="shared" si="172"/>
        <v>0</v>
      </c>
      <c r="AG153" s="317">
        <f t="shared" si="173"/>
        <v>0</v>
      </c>
      <c r="AH153" s="317">
        <f t="shared" si="148"/>
        <v>0</v>
      </c>
      <c r="AI153" s="317">
        <f t="shared" si="149"/>
        <v>0</v>
      </c>
      <c r="AJ153" s="317">
        <f t="shared" si="150"/>
        <v>0</v>
      </c>
      <c r="AK153" s="317">
        <f t="shared" si="151"/>
        <v>0</v>
      </c>
      <c r="AL153" s="317">
        <f t="shared" si="152"/>
        <v>0</v>
      </c>
      <c r="AM153" s="317">
        <f t="shared" si="153"/>
        <v>0</v>
      </c>
      <c r="AN153" s="317">
        <f t="shared" si="154"/>
        <v>0</v>
      </c>
      <c r="AO153" s="317">
        <f t="shared" si="155"/>
        <v>0</v>
      </c>
      <c r="AP153" s="317">
        <f t="shared" si="156"/>
        <v>0</v>
      </c>
      <c r="AQ153" s="317">
        <f t="shared" si="157"/>
        <v>0</v>
      </c>
      <c r="AR153" s="317">
        <f t="shared" si="158"/>
        <v>0</v>
      </c>
      <c r="AS153" s="317">
        <f t="shared" si="159"/>
        <v>0</v>
      </c>
      <c r="AT153" s="317">
        <f t="shared" si="160"/>
        <v>0</v>
      </c>
      <c r="AU153" s="317">
        <f t="shared" si="161"/>
        <v>0</v>
      </c>
      <c r="AV153" s="317">
        <f t="shared" si="162"/>
        <v>0</v>
      </c>
      <c r="AW153" s="317">
        <f t="shared" si="163"/>
        <v>0</v>
      </c>
      <c r="AX153" s="317">
        <f t="shared" si="164"/>
        <v>0</v>
      </c>
      <c r="AY153" s="317">
        <f t="shared" si="165"/>
        <v>0</v>
      </c>
      <c r="AZ153" s="317">
        <f t="shared" si="166"/>
        <v>0</v>
      </c>
      <c r="BA153" s="317">
        <f t="shared" si="167"/>
        <v>0</v>
      </c>
    </row>
    <row r="154" spans="1:53" s="314" customFormat="1" ht="16.5" customHeight="1">
      <c r="A154" s="63" t="str">
        <f t="array" ref="A154">IF(C154&lt;&gt;0,SUM(($C$11:C154&lt;&gt;0)*1),"")</f>
        <v/>
      </c>
      <c r="B154" s="315"/>
      <c r="C154" s="315"/>
      <c r="D154" s="315"/>
      <c r="E154" s="433"/>
      <c r="F154" s="371"/>
      <c r="G154" s="373"/>
      <c r="H154" s="373"/>
      <c r="I154" s="63" t="str">
        <f t="shared" si="129"/>
        <v/>
      </c>
      <c r="J154" s="317">
        <f t="shared" si="130"/>
        <v>0</v>
      </c>
      <c r="K154" s="317">
        <f t="shared" si="131"/>
        <v>0</v>
      </c>
      <c r="L154" s="317">
        <f t="shared" si="132"/>
        <v>0</v>
      </c>
      <c r="M154" s="317">
        <f t="shared" si="133"/>
        <v>0</v>
      </c>
      <c r="N154" s="317">
        <f t="shared" si="168"/>
        <v>0</v>
      </c>
      <c r="O154" s="317">
        <f t="shared" si="169"/>
        <v>0</v>
      </c>
      <c r="P154" s="317">
        <f t="shared" si="134"/>
        <v>0</v>
      </c>
      <c r="Q154" s="317">
        <f t="shared" si="135"/>
        <v>0</v>
      </c>
      <c r="R154" s="317">
        <f t="shared" si="136"/>
        <v>0</v>
      </c>
      <c r="S154" s="317">
        <f t="shared" si="137"/>
        <v>0</v>
      </c>
      <c r="T154" s="317">
        <f t="shared" si="170"/>
        <v>0</v>
      </c>
      <c r="U154" s="317">
        <f t="shared" si="171"/>
        <v>0</v>
      </c>
      <c r="V154" s="317">
        <f t="shared" si="138"/>
        <v>0</v>
      </c>
      <c r="W154" s="317">
        <f t="shared" si="139"/>
        <v>0</v>
      </c>
      <c r="X154" s="317">
        <f t="shared" si="140"/>
        <v>0</v>
      </c>
      <c r="Y154" s="317">
        <f t="shared" si="141"/>
        <v>0</v>
      </c>
      <c r="Z154" s="317">
        <f t="shared" si="142"/>
        <v>0</v>
      </c>
      <c r="AA154" s="317">
        <f t="shared" si="143"/>
        <v>0</v>
      </c>
      <c r="AB154" s="317">
        <f t="shared" si="144"/>
        <v>0</v>
      </c>
      <c r="AC154" s="317">
        <f t="shared" si="145"/>
        <v>0</v>
      </c>
      <c r="AD154" s="317">
        <f t="shared" si="146"/>
        <v>0</v>
      </c>
      <c r="AE154" s="317">
        <f t="shared" si="147"/>
        <v>0</v>
      </c>
      <c r="AF154" s="317">
        <f t="shared" si="172"/>
        <v>0</v>
      </c>
      <c r="AG154" s="317">
        <f t="shared" si="173"/>
        <v>0</v>
      </c>
      <c r="AH154" s="317">
        <f t="shared" si="148"/>
        <v>0</v>
      </c>
      <c r="AI154" s="317">
        <f t="shared" si="149"/>
        <v>0</v>
      </c>
      <c r="AJ154" s="317">
        <f t="shared" si="150"/>
        <v>0</v>
      </c>
      <c r="AK154" s="317">
        <f t="shared" si="151"/>
        <v>0</v>
      </c>
      <c r="AL154" s="317">
        <f t="shared" si="152"/>
        <v>0</v>
      </c>
      <c r="AM154" s="317">
        <f t="shared" si="153"/>
        <v>0</v>
      </c>
      <c r="AN154" s="317">
        <f t="shared" si="154"/>
        <v>0</v>
      </c>
      <c r="AO154" s="317">
        <f t="shared" si="155"/>
        <v>0</v>
      </c>
      <c r="AP154" s="317">
        <f t="shared" si="156"/>
        <v>0</v>
      </c>
      <c r="AQ154" s="317">
        <f t="shared" si="157"/>
        <v>0</v>
      </c>
      <c r="AR154" s="317">
        <f t="shared" si="158"/>
        <v>0</v>
      </c>
      <c r="AS154" s="317">
        <f t="shared" si="159"/>
        <v>0</v>
      </c>
      <c r="AT154" s="317">
        <f t="shared" si="160"/>
        <v>0</v>
      </c>
      <c r="AU154" s="317">
        <f t="shared" si="161"/>
        <v>0</v>
      </c>
      <c r="AV154" s="317">
        <f t="shared" si="162"/>
        <v>0</v>
      </c>
      <c r="AW154" s="317">
        <f t="shared" si="163"/>
        <v>0</v>
      </c>
      <c r="AX154" s="317">
        <f t="shared" si="164"/>
        <v>0</v>
      </c>
      <c r="AY154" s="317">
        <f t="shared" si="165"/>
        <v>0</v>
      </c>
      <c r="AZ154" s="317">
        <f t="shared" si="166"/>
        <v>0</v>
      </c>
      <c r="BA154" s="317">
        <f t="shared" si="167"/>
        <v>0</v>
      </c>
    </row>
    <row r="155" spans="1:53" s="314" customFormat="1" ht="16.5" customHeight="1">
      <c r="A155" s="63" t="str">
        <f t="array" ref="A155">IF(C155&lt;&gt;0,SUM(($C$11:C155&lt;&gt;0)*1),"")</f>
        <v/>
      </c>
      <c r="B155" s="315"/>
      <c r="C155" s="315"/>
      <c r="D155" s="315"/>
      <c r="E155" s="433"/>
      <c r="F155" s="371"/>
      <c r="G155" s="373"/>
      <c r="H155" s="373"/>
      <c r="I155" s="63" t="str">
        <f t="shared" si="129"/>
        <v/>
      </c>
      <c r="J155" s="317">
        <f t="shared" si="130"/>
        <v>0</v>
      </c>
      <c r="K155" s="317">
        <f t="shared" si="131"/>
        <v>0</v>
      </c>
      <c r="L155" s="317">
        <f t="shared" si="132"/>
        <v>0</v>
      </c>
      <c r="M155" s="317">
        <f t="shared" si="133"/>
        <v>0</v>
      </c>
      <c r="N155" s="317">
        <f t="shared" si="168"/>
        <v>0</v>
      </c>
      <c r="O155" s="317">
        <f t="shared" si="169"/>
        <v>0</v>
      </c>
      <c r="P155" s="317">
        <f t="shared" si="134"/>
        <v>0</v>
      </c>
      <c r="Q155" s="317">
        <f t="shared" si="135"/>
        <v>0</v>
      </c>
      <c r="R155" s="317">
        <f t="shared" si="136"/>
        <v>0</v>
      </c>
      <c r="S155" s="317">
        <f t="shared" si="137"/>
        <v>0</v>
      </c>
      <c r="T155" s="317">
        <f t="shared" si="170"/>
        <v>0</v>
      </c>
      <c r="U155" s="317">
        <f t="shared" si="171"/>
        <v>0</v>
      </c>
      <c r="V155" s="317">
        <f t="shared" si="138"/>
        <v>0</v>
      </c>
      <c r="W155" s="317">
        <f t="shared" si="139"/>
        <v>0</v>
      </c>
      <c r="X155" s="317">
        <f t="shared" si="140"/>
        <v>0</v>
      </c>
      <c r="Y155" s="317">
        <f t="shared" si="141"/>
        <v>0</v>
      </c>
      <c r="Z155" s="317">
        <f t="shared" si="142"/>
        <v>0</v>
      </c>
      <c r="AA155" s="317">
        <f t="shared" si="143"/>
        <v>0</v>
      </c>
      <c r="AB155" s="317">
        <f t="shared" si="144"/>
        <v>0</v>
      </c>
      <c r="AC155" s="317">
        <f t="shared" si="145"/>
        <v>0</v>
      </c>
      <c r="AD155" s="317">
        <f t="shared" si="146"/>
        <v>0</v>
      </c>
      <c r="AE155" s="317">
        <f t="shared" si="147"/>
        <v>0</v>
      </c>
      <c r="AF155" s="317">
        <f t="shared" si="172"/>
        <v>0</v>
      </c>
      <c r="AG155" s="317">
        <f t="shared" si="173"/>
        <v>0</v>
      </c>
      <c r="AH155" s="317">
        <f t="shared" si="148"/>
        <v>0</v>
      </c>
      <c r="AI155" s="317">
        <f t="shared" si="149"/>
        <v>0</v>
      </c>
      <c r="AJ155" s="317">
        <f t="shared" si="150"/>
        <v>0</v>
      </c>
      <c r="AK155" s="317">
        <f t="shared" si="151"/>
        <v>0</v>
      </c>
      <c r="AL155" s="317">
        <f t="shared" si="152"/>
        <v>0</v>
      </c>
      <c r="AM155" s="317">
        <f t="shared" si="153"/>
        <v>0</v>
      </c>
      <c r="AN155" s="317">
        <f t="shared" si="154"/>
        <v>0</v>
      </c>
      <c r="AO155" s="317">
        <f t="shared" si="155"/>
        <v>0</v>
      </c>
      <c r="AP155" s="317">
        <f t="shared" si="156"/>
        <v>0</v>
      </c>
      <c r="AQ155" s="317">
        <f t="shared" si="157"/>
        <v>0</v>
      </c>
      <c r="AR155" s="317">
        <f t="shared" si="158"/>
        <v>0</v>
      </c>
      <c r="AS155" s="317">
        <f t="shared" si="159"/>
        <v>0</v>
      </c>
      <c r="AT155" s="317">
        <f t="shared" si="160"/>
        <v>0</v>
      </c>
      <c r="AU155" s="317">
        <f t="shared" si="161"/>
        <v>0</v>
      </c>
      <c r="AV155" s="317">
        <f t="shared" si="162"/>
        <v>0</v>
      </c>
      <c r="AW155" s="317">
        <f t="shared" si="163"/>
        <v>0</v>
      </c>
      <c r="AX155" s="317">
        <f t="shared" si="164"/>
        <v>0</v>
      </c>
      <c r="AY155" s="317">
        <f t="shared" si="165"/>
        <v>0</v>
      </c>
      <c r="AZ155" s="317">
        <f t="shared" si="166"/>
        <v>0</v>
      </c>
      <c r="BA155" s="317">
        <f t="shared" si="167"/>
        <v>0</v>
      </c>
    </row>
    <row r="156" spans="1:53" s="314" customFormat="1" ht="16.5" customHeight="1">
      <c r="A156" s="63" t="str">
        <f t="array" ref="A156">IF(C156&lt;&gt;0,SUM(($C$11:C156&lt;&gt;0)*1),"")</f>
        <v/>
      </c>
      <c r="B156" s="315"/>
      <c r="C156" s="315"/>
      <c r="D156" s="315"/>
      <c r="E156" s="433"/>
      <c r="F156" s="371"/>
      <c r="G156" s="373"/>
      <c r="H156" s="373"/>
      <c r="I156" s="63" t="str">
        <f t="shared" si="129"/>
        <v/>
      </c>
      <c r="J156" s="317">
        <f t="shared" si="130"/>
        <v>0</v>
      </c>
      <c r="K156" s="317">
        <f t="shared" si="131"/>
        <v>0</v>
      </c>
      <c r="L156" s="317">
        <f t="shared" si="132"/>
        <v>0</v>
      </c>
      <c r="M156" s="317">
        <f t="shared" si="133"/>
        <v>0</v>
      </c>
      <c r="N156" s="317">
        <f t="shared" si="168"/>
        <v>0</v>
      </c>
      <c r="O156" s="317">
        <f t="shared" si="169"/>
        <v>0</v>
      </c>
      <c r="P156" s="317">
        <f t="shared" si="134"/>
        <v>0</v>
      </c>
      <c r="Q156" s="317">
        <f t="shared" si="135"/>
        <v>0</v>
      </c>
      <c r="R156" s="317">
        <f t="shared" si="136"/>
        <v>0</v>
      </c>
      <c r="S156" s="317">
        <f t="shared" si="137"/>
        <v>0</v>
      </c>
      <c r="T156" s="317">
        <f t="shared" si="170"/>
        <v>0</v>
      </c>
      <c r="U156" s="317">
        <f t="shared" si="171"/>
        <v>0</v>
      </c>
      <c r="V156" s="317">
        <f t="shared" si="138"/>
        <v>0</v>
      </c>
      <c r="W156" s="317">
        <f t="shared" si="139"/>
        <v>0</v>
      </c>
      <c r="X156" s="317">
        <f t="shared" si="140"/>
        <v>0</v>
      </c>
      <c r="Y156" s="317">
        <f t="shared" si="141"/>
        <v>0</v>
      </c>
      <c r="Z156" s="317">
        <f t="shared" si="142"/>
        <v>0</v>
      </c>
      <c r="AA156" s="317">
        <f t="shared" si="143"/>
        <v>0</v>
      </c>
      <c r="AB156" s="317">
        <f t="shared" si="144"/>
        <v>0</v>
      </c>
      <c r="AC156" s="317">
        <f t="shared" si="145"/>
        <v>0</v>
      </c>
      <c r="AD156" s="317">
        <f t="shared" si="146"/>
        <v>0</v>
      </c>
      <c r="AE156" s="317">
        <f t="shared" si="147"/>
        <v>0</v>
      </c>
      <c r="AF156" s="317">
        <f t="shared" si="172"/>
        <v>0</v>
      </c>
      <c r="AG156" s="317">
        <f t="shared" si="173"/>
        <v>0</v>
      </c>
      <c r="AH156" s="317">
        <f t="shared" si="148"/>
        <v>0</v>
      </c>
      <c r="AI156" s="317">
        <f t="shared" si="149"/>
        <v>0</v>
      </c>
      <c r="AJ156" s="317">
        <f t="shared" si="150"/>
        <v>0</v>
      </c>
      <c r="AK156" s="317">
        <f t="shared" si="151"/>
        <v>0</v>
      </c>
      <c r="AL156" s="317">
        <f t="shared" si="152"/>
        <v>0</v>
      </c>
      <c r="AM156" s="317">
        <f t="shared" si="153"/>
        <v>0</v>
      </c>
      <c r="AN156" s="317">
        <f t="shared" si="154"/>
        <v>0</v>
      </c>
      <c r="AO156" s="317">
        <f t="shared" si="155"/>
        <v>0</v>
      </c>
      <c r="AP156" s="317">
        <f t="shared" si="156"/>
        <v>0</v>
      </c>
      <c r="AQ156" s="317">
        <f t="shared" si="157"/>
        <v>0</v>
      </c>
      <c r="AR156" s="317">
        <f t="shared" si="158"/>
        <v>0</v>
      </c>
      <c r="AS156" s="317">
        <f t="shared" si="159"/>
        <v>0</v>
      </c>
      <c r="AT156" s="317">
        <f t="shared" si="160"/>
        <v>0</v>
      </c>
      <c r="AU156" s="317">
        <f t="shared" si="161"/>
        <v>0</v>
      </c>
      <c r="AV156" s="317">
        <f t="shared" si="162"/>
        <v>0</v>
      </c>
      <c r="AW156" s="317">
        <f t="shared" si="163"/>
        <v>0</v>
      </c>
      <c r="AX156" s="317">
        <f t="shared" si="164"/>
        <v>0</v>
      </c>
      <c r="AY156" s="317">
        <f t="shared" si="165"/>
        <v>0</v>
      </c>
      <c r="AZ156" s="317">
        <f t="shared" si="166"/>
        <v>0</v>
      </c>
      <c r="BA156" s="317">
        <f t="shared" si="167"/>
        <v>0</v>
      </c>
    </row>
    <row r="157" spans="1:53" s="314" customFormat="1" ht="16.5" customHeight="1">
      <c r="A157" s="63" t="str">
        <f t="array" ref="A157">IF(C157&lt;&gt;0,SUM(($C$11:C157&lt;&gt;0)*1),"")</f>
        <v/>
      </c>
      <c r="B157" s="315"/>
      <c r="C157" s="315"/>
      <c r="D157" s="315"/>
      <c r="E157" s="433"/>
      <c r="F157" s="371"/>
      <c r="G157" s="373"/>
      <c r="H157" s="373"/>
      <c r="I157" s="63" t="str">
        <f t="shared" si="129"/>
        <v/>
      </c>
      <c r="J157" s="317">
        <f t="shared" si="130"/>
        <v>0</v>
      </c>
      <c r="K157" s="317">
        <f t="shared" si="131"/>
        <v>0</v>
      </c>
      <c r="L157" s="317">
        <f t="shared" si="132"/>
        <v>0</v>
      </c>
      <c r="M157" s="317">
        <f t="shared" si="133"/>
        <v>0</v>
      </c>
      <c r="N157" s="317">
        <f t="shared" si="168"/>
        <v>0</v>
      </c>
      <c r="O157" s="317">
        <f t="shared" si="169"/>
        <v>0</v>
      </c>
      <c r="P157" s="317">
        <f t="shared" si="134"/>
        <v>0</v>
      </c>
      <c r="Q157" s="317">
        <f t="shared" si="135"/>
        <v>0</v>
      </c>
      <c r="R157" s="317">
        <f t="shared" si="136"/>
        <v>0</v>
      </c>
      <c r="S157" s="317">
        <f t="shared" si="137"/>
        <v>0</v>
      </c>
      <c r="T157" s="317">
        <f t="shared" si="170"/>
        <v>0</v>
      </c>
      <c r="U157" s="317">
        <f t="shared" si="171"/>
        <v>0</v>
      </c>
      <c r="V157" s="317">
        <f t="shared" si="138"/>
        <v>0</v>
      </c>
      <c r="W157" s="317">
        <f t="shared" si="139"/>
        <v>0</v>
      </c>
      <c r="X157" s="317">
        <f t="shared" si="140"/>
        <v>0</v>
      </c>
      <c r="Y157" s="317">
        <f t="shared" si="141"/>
        <v>0</v>
      </c>
      <c r="Z157" s="317">
        <f t="shared" si="142"/>
        <v>0</v>
      </c>
      <c r="AA157" s="317">
        <f t="shared" si="143"/>
        <v>0</v>
      </c>
      <c r="AB157" s="317">
        <f t="shared" si="144"/>
        <v>0</v>
      </c>
      <c r="AC157" s="317">
        <f t="shared" si="145"/>
        <v>0</v>
      </c>
      <c r="AD157" s="317">
        <f t="shared" si="146"/>
        <v>0</v>
      </c>
      <c r="AE157" s="317">
        <f t="shared" si="147"/>
        <v>0</v>
      </c>
      <c r="AF157" s="317">
        <f t="shared" si="172"/>
        <v>0</v>
      </c>
      <c r="AG157" s="317">
        <f t="shared" si="173"/>
        <v>0</v>
      </c>
      <c r="AH157" s="317">
        <f t="shared" si="148"/>
        <v>0</v>
      </c>
      <c r="AI157" s="317">
        <f t="shared" si="149"/>
        <v>0</v>
      </c>
      <c r="AJ157" s="317">
        <f t="shared" si="150"/>
        <v>0</v>
      </c>
      <c r="AK157" s="317">
        <f t="shared" si="151"/>
        <v>0</v>
      </c>
      <c r="AL157" s="317">
        <f t="shared" si="152"/>
        <v>0</v>
      </c>
      <c r="AM157" s="317">
        <f t="shared" si="153"/>
        <v>0</v>
      </c>
      <c r="AN157" s="317">
        <f t="shared" si="154"/>
        <v>0</v>
      </c>
      <c r="AO157" s="317">
        <f t="shared" si="155"/>
        <v>0</v>
      </c>
      <c r="AP157" s="317">
        <f t="shared" si="156"/>
        <v>0</v>
      </c>
      <c r="AQ157" s="317">
        <f t="shared" si="157"/>
        <v>0</v>
      </c>
      <c r="AR157" s="317">
        <f t="shared" si="158"/>
        <v>0</v>
      </c>
      <c r="AS157" s="317">
        <f t="shared" si="159"/>
        <v>0</v>
      </c>
      <c r="AT157" s="317">
        <f t="shared" si="160"/>
        <v>0</v>
      </c>
      <c r="AU157" s="317">
        <f t="shared" si="161"/>
        <v>0</v>
      </c>
      <c r="AV157" s="317">
        <f t="shared" si="162"/>
        <v>0</v>
      </c>
      <c r="AW157" s="317">
        <f t="shared" si="163"/>
        <v>0</v>
      </c>
      <c r="AX157" s="317">
        <f t="shared" si="164"/>
        <v>0</v>
      </c>
      <c r="AY157" s="317">
        <f t="shared" si="165"/>
        <v>0</v>
      </c>
      <c r="AZ157" s="317">
        <f t="shared" si="166"/>
        <v>0</v>
      </c>
      <c r="BA157" s="317">
        <f t="shared" si="167"/>
        <v>0</v>
      </c>
    </row>
    <row r="158" spans="1:53" s="314" customFormat="1" ht="16.5" customHeight="1">
      <c r="A158" s="63" t="str">
        <f t="array" ref="A158">IF(C158&lt;&gt;0,SUM(($C$11:C158&lt;&gt;0)*1),"")</f>
        <v/>
      </c>
      <c r="B158" s="315"/>
      <c r="C158" s="315"/>
      <c r="D158" s="315"/>
      <c r="E158" s="433"/>
      <c r="F158" s="371"/>
      <c r="G158" s="373"/>
      <c r="H158" s="373"/>
      <c r="I158" s="63" t="str">
        <f t="shared" si="129"/>
        <v/>
      </c>
      <c r="J158" s="317">
        <f t="shared" si="130"/>
        <v>0</v>
      </c>
      <c r="K158" s="317">
        <f t="shared" si="131"/>
        <v>0</v>
      </c>
      <c r="L158" s="317">
        <f t="shared" si="132"/>
        <v>0</v>
      </c>
      <c r="M158" s="317">
        <f t="shared" si="133"/>
        <v>0</v>
      </c>
      <c r="N158" s="317">
        <f t="shared" si="168"/>
        <v>0</v>
      </c>
      <c r="O158" s="317">
        <f t="shared" si="169"/>
        <v>0</v>
      </c>
      <c r="P158" s="317">
        <f t="shared" si="134"/>
        <v>0</v>
      </c>
      <c r="Q158" s="317">
        <f t="shared" si="135"/>
        <v>0</v>
      </c>
      <c r="R158" s="317">
        <f t="shared" si="136"/>
        <v>0</v>
      </c>
      <c r="S158" s="317">
        <f t="shared" si="137"/>
        <v>0</v>
      </c>
      <c r="T158" s="317">
        <f t="shared" si="170"/>
        <v>0</v>
      </c>
      <c r="U158" s="317">
        <f t="shared" si="171"/>
        <v>0</v>
      </c>
      <c r="V158" s="317">
        <f t="shared" si="138"/>
        <v>0</v>
      </c>
      <c r="W158" s="317">
        <f t="shared" si="139"/>
        <v>0</v>
      </c>
      <c r="X158" s="317">
        <f t="shared" si="140"/>
        <v>0</v>
      </c>
      <c r="Y158" s="317">
        <f t="shared" si="141"/>
        <v>0</v>
      </c>
      <c r="Z158" s="317">
        <f t="shared" si="142"/>
        <v>0</v>
      </c>
      <c r="AA158" s="317">
        <f t="shared" si="143"/>
        <v>0</v>
      </c>
      <c r="AB158" s="317">
        <f t="shared" si="144"/>
        <v>0</v>
      </c>
      <c r="AC158" s="317">
        <f t="shared" si="145"/>
        <v>0</v>
      </c>
      <c r="AD158" s="317">
        <f t="shared" si="146"/>
        <v>0</v>
      </c>
      <c r="AE158" s="317">
        <f t="shared" si="147"/>
        <v>0</v>
      </c>
      <c r="AF158" s="317">
        <f t="shared" si="172"/>
        <v>0</v>
      </c>
      <c r="AG158" s="317">
        <f t="shared" si="173"/>
        <v>0</v>
      </c>
      <c r="AH158" s="317">
        <f t="shared" si="148"/>
        <v>0</v>
      </c>
      <c r="AI158" s="317">
        <f t="shared" si="149"/>
        <v>0</v>
      </c>
      <c r="AJ158" s="317">
        <f t="shared" si="150"/>
        <v>0</v>
      </c>
      <c r="AK158" s="317">
        <f t="shared" si="151"/>
        <v>0</v>
      </c>
      <c r="AL158" s="317">
        <f t="shared" si="152"/>
        <v>0</v>
      </c>
      <c r="AM158" s="317">
        <f t="shared" si="153"/>
        <v>0</v>
      </c>
      <c r="AN158" s="317">
        <f t="shared" si="154"/>
        <v>0</v>
      </c>
      <c r="AO158" s="317">
        <f t="shared" si="155"/>
        <v>0</v>
      </c>
      <c r="AP158" s="317">
        <f t="shared" si="156"/>
        <v>0</v>
      </c>
      <c r="AQ158" s="317">
        <f t="shared" si="157"/>
        <v>0</v>
      </c>
      <c r="AR158" s="317">
        <f t="shared" si="158"/>
        <v>0</v>
      </c>
      <c r="AS158" s="317">
        <f t="shared" si="159"/>
        <v>0</v>
      </c>
      <c r="AT158" s="317">
        <f t="shared" si="160"/>
        <v>0</v>
      </c>
      <c r="AU158" s="317">
        <f t="shared" si="161"/>
        <v>0</v>
      </c>
      <c r="AV158" s="317">
        <f t="shared" si="162"/>
        <v>0</v>
      </c>
      <c r="AW158" s="317">
        <f t="shared" si="163"/>
        <v>0</v>
      </c>
      <c r="AX158" s="317">
        <f t="shared" si="164"/>
        <v>0</v>
      </c>
      <c r="AY158" s="317">
        <f t="shared" si="165"/>
        <v>0</v>
      </c>
      <c r="AZ158" s="317">
        <f t="shared" si="166"/>
        <v>0</v>
      </c>
      <c r="BA158" s="317">
        <f t="shared" si="167"/>
        <v>0</v>
      </c>
    </row>
    <row r="159" spans="1:53" s="314" customFormat="1" ht="16.5" customHeight="1">
      <c r="A159" s="63" t="str">
        <f t="array" ref="A159">IF(C159&lt;&gt;0,SUM(($C$11:C159&lt;&gt;0)*1),"")</f>
        <v/>
      </c>
      <c r="B159" s="315"/>
      <c r="C159" s="315"/>
      <c r="D159" s="315"/>
      <c r="E159" s="433"/>
      <c r="F159" s="371"/>
      <c r="G159" s="373"/>
      <c r="H159" s="373"/>
      <c r="I159" s="63" t="str">
        <f t="shared" si="129"/>
        <v/>
      </c>
      <c r="J159" s="317">
        <f t="shared" si="130"/>
        <v>0</v>
      </c>
      <c r="K159" s="317">
        <f t="shared" si="131"/>
        <v>0</v>
      </c>
      <c r="L159" s="317">
        <f t="shared" si="132"/>
        <v>0</v>
      </c>
      <c r="M159" s="317">
        <f t="shared" si="133"/>
        <v>0</v>
      </c>
      <c r="N159" s="317">
        <f t="shared" si="168"/>
        <v>0</v>
      </c>
      <c r="O159" s="317">
        <f t="shared" si="169"/>
        <v>0</v>
      </c>
      <c r="P159" s="317">
        <f t="shared" si="134"/>
        <v>0</v>
      </c>
      <c r="Q159" s="317">
        <f t="shared" si="135"/>
        <v>0</v>
      </c>
      <c r="R159" s="317">
        <f t="shared" si="136"/>
        <v>0</v>
      </c>
      <c r="S159" s="317">
        <f t="shared" si="137"/>
        <v>0</v>
      </c>
      <c r="T159" s="317">
        <f t="shared" si="170"/>
        <v>0</v>
      </c>
      <c r="U159" s="317">
        <f t="shared" si="171"/>
        <v>0</v>
      </c>
      <c r="V159" s="317">
        <f t="shared" si="138"/>
        <v>0</v>
      </c>
      <c r="W159" s="317">
        <f t="shared" si="139"/>
        <v>0</v>
      </c>
      <c r="X159" s="317">
        <f t="shared" si="140"/>
        <v>0</v>
      </c>
      <c r="Y159" s="317">
        <f t="shared" si="141"/>
        <v>0</v>
      </c>
      <c r="Z159" s="317">
        <f t="shared" si="142"/>
        <v>0</v>
      </c>
      <c r="AA159" s="317">
        <f t="shared" si="143"/>
        <v>0</v>
      </c>
      <c r="AB159" s="317">
        <f t="shared" si="144"/>
        <v>0</v>
      </c>
      <c r="AC159" s="317">
        <f t="shared" si="145"/>
        <v>0</v>
      </c>
      <c r="AD159" s="317">
        <f t="shared" si="146"/>
        <v>0</v>
      </c>
      <c r="AE159" s="317">
        <f t="shared" si="147"/>
        <v>0</v>
      </c>
      <c r="AF159" s="317">
        <f t="shared" si="172"/>
        <v>0</v>
      </c>
      <c r="AG159" s="317">
        <f t="shared" si="173"/>
        <v>0</v>
      </c>
      <c r="AH159" s="317">
        <f t="shared" si="148"/>
        <v>0</v>
      </c>
      <c r="AI159" s="317">
        <f t="shared" si="149"/>
        <v>0</v>
      </c>
      <c r="AJ159" s="317">
        <f t="shared" si="150"/>
        <v>0</v>
      </c>
      <c r="AK159" s="317">
        <f t="shared" si="151"/>
        <v>0</v>
      </c>
      <c r="AL159" s="317">
        <f t="shared" si="152"/>
        <v>0</v>
      </c>
      <c r="AM159" s="317">
        <f t="shared" si="153"/>
        <v>0</v>
      </c>
      <c r="AN159" s="317">
        <f t="shared" si="154"/>
        <v>0</v>
      </c>
      <c r="AO159" s="317">
        <f t="shared" si="155"/>
        <v>0</v>
      </c>
      <c r="AP159" s="317">
        <f t="shared" si="156"/>
        <v>0</v>
      </c>
      <c r="AQ159" s="317">
        <f t="shared" si="157"/>
        <v>0</v>
      </c>
      <c r="AR159" s="317">
        <f t="shared" si="158"/>
        <v>0</v>
      </c>
      <c r="AS159" s="317">
        <f t="shared" si="159"/>
        <v>0</v>
      </c>
      <c r="AT159" s="317">
        <f t="shared" si="160"/>
        <v>0</v>
      </c>
      <c r="AU159" s="317">
        <f t="shared" si="161"/>
        <v>0</v>
      </c>
      <c r="AV159" s="317">
        <f t="shared" si="162"/>
        <v>0</v>
      </c>
      <c r="AW159" s="317">
        <f t="shared" si="163"/>
        <v>0</v>
      </c>
      <c r="AX159" s="317">
        <f t="shared" si="164"/>
        <v>0</v>
      </c>
      <c r="AY159" s="317">
        <f t="shared" si="165"/>
        <v>0</v>
      </c>
      <c r="AZ159" s="317">
        <f t="shared" si="166"/>
        <v>0</v>
      </c>
      <c r="BA159" s="317">
        <f t="shared" si="167"/>
        <v>0</v>
      </c>
    </row>
    <row r="160" spans="1:53" s="314" customFormat="1" ht="16.5" customHeight="1">
      <c r="A160" s="63" t="str">
        <f t="array" ref="A160">IF(C160&lt;&gt;0,SUM(($C$11:C160&lt;&gt;0)*1),"")</f>
        <v/>
      </c>
      <c r="B160" s="315"/>
      <c r="C160" s="315"/>
      <c r="D160" s="315"/>
      <c r="E160" s="433"/>
      <c r="F160" s="371"/>
      <c r="G160" s="373"/>
      <c r="H160" s="373"/>
      <c r="I160" s="63" t="str">
        <f t="shared" si="129"/>
        <v/>
      </c>
      <c r="J160" s="317">
        <f t="shared" si="130"/>
        <v>0</v>
      </c>
      <c r="K160" s="317">
        <f t="shared" si="131"/>
        <v>0</v>
      </c>
      <c r="L160" s="317">
        <f t="shared" si="132"/>
        <v>0</v>
      </c>
      <c r="M160" s="317">
        <f t="shared" si="133"/>
        <v>0</v>
      </c>
      <c r="N160" s="317">
        <f t="shared" si="168"/>
        <v>0</v>
      </c>
      <c r="O160" s="317">
        <f t="shared" si="169"/>
        <v>0</v>
      </c>
      <c r="P160" s="317">
        <f t="shared" si="134"/>
        <v>0</v>
      </c>
      <c r="Q160" s="317">
        <f t="shared" si="135"/>
        <v>0</v>
      </c>
      <c r="R160" s="317">
        <f t="shared" si="136"/>
        <v>0</v>
      </c>
      <c r="S160" s="317">
        <f t="shared" si="137"/>
        <v>0</v>
      </c>
      <c r="T160" s="317">
        <f t="shared" si="170"/>
        <v>0</v>
      </c>
      <c r="U160" s="317">
        <f t="shared" si="171"/>
        <v>0</v>
      </c>
      <c r="V160" s="317">
        <f t="shared" si="138"/>
        <v>0</v>
      </c>
      <c r="W160" s="317">
        <f t="shared" si="139"/>
        <v>0</v>
      </c>
      <c r="X160" s="317">
        <f t="shared" si="140"/>
        <v>0</v>
      </c>
      <c r="Y160" s="317">
        <f t="shared" si="141"/>
        <v>0</v>
      </c>
      <c r="Z160" s="317">
        <f t="shared" si="142"/>
        <v>0</v>
      </c>
      <c r="AA160" s="317">
        <f t="shared" si="143"/>
        <v>0</v>
      </c>
      <c r="AB160" s="317">
        <f t="shared" si="144"/>
        <v>0</v>
      </c>
      <c r="AC160" s="317">
        <f t="shared" si="145"/>
        <v>0</v>
      </c>
      <c r="AD160" s="317">
        <f t="shared" si="146"/>
        <v>0</v>
      </c>
      <c r="AE160" s="317">
        <f t="shared" si="147"/>
        <v>0</v>
      </c>
      <c r="AF160" s="317">
        <f t="shared" si="172"/>
        <v>0</v>
      </c>
      <c r="AG160" s="317">
        <f t="shared" si="173"/>
        <v>0</v>
      </c>
      <c r="AH160" s="317">
        <f t="shared" si="148"/>
        <v>0</v>
      </c>
      <c r="AI160" s="317">
        <f t="shared" si="149"/>
        <v>0</v>
      </c>
      <c r="AJ160" s="317">
        <f t="shared" si="150"/>
        <v>0</v>
      </c>
      <c r="AK160" s="317">
        <f t="shared" si="151"/>
        <v>0</v>
      </c>
      <c r="AL160" s="317">
        <f t="shared" si="152"/>
        <v>0</v>
      </c>
      <c r="AM160" s="317">
        <f t="shared" si="153"/>
        <v>0</v>
      </c>
      <c r="AN160" s="317">
        <f t="shared" si="154"/>
        <v>0</v>
      </c>
      <c r="AO160" s="317">
        <f t="shared" si="155"/>
        <v>0</v>
      </c>
      <c r="AP160" s="317">
        <f t="shared" si="156"/>
        <v>0</v>
      </c>
      <c r="AQ160" s="317">
        <f t="shared" si="157"/>
        <v>0</v>
      </c>
      <c r="AR160" s="317">
        <f t="shared" si="158"/>
        <v>0</v>
      </c>
      <c r="AS160" s="317">
        <f t="shared" si="159"/>
        <v>0</v>
      </c>
      <c r="AT160" s="317">
        <f t="shared" si="160"/>
        <v>0</v>
      </c>
      <c r="AU160" s="317">
        <f t="shared" si="161"/>
        <v>0</v>
      </c>
      <c r="AV160" s="317">
        <f t="shared" si="162"/>
        <v>0</v>
      </c>
      <c r="AW160" s="317">
        <f t="shared" si="163"/>
        <v>0</v>
      </c>
      <c r="AX160" s="317">
        <f t="shared" si="164"/>
        <v>0</v>
      </c>
      <c r="AY160" s="317">
        <f t="shared" si="165"/>
        <v>0</v>
      </c>
      <c r="AZ160" s="317">
        <f t="shared" si="166"/>
        <v>0</v>
      </c>
      <c r="BA160" s="317">
        <f t="shared" si="167"/>
        <v>0</v>
      </c>
    </row>
    <row r="161" spans="1:53" s="314" customFormat="1" ht="16.5" customHeight="1">
      <c r="A161" s="63" t="str">
        <f t="array" ref="A161">IF(C161&lt;&gt;0,SUM(($C$11:C161&lt;&gt;0)*1),"")</f>
        <v/>
      </c>
      <c r="B161" s="315"/>
      <c r="C161" s="315"/>
      <c r="D161" s="315"/>
      <c r="E161" s="433"/>
      <c r="F161" s="371"/>
      <c r="G161" s="373"/>
      <c r="H161" s="373"/>
      <c r="I161" s="63" t="str">
        <f t="shared" si="129"/>
        <v/>
      </c>
      <c r="J161" s="317">
        <f t="shared" si="130"/>
        <v>0</v>
      </c>
      <c r="K161" s="317">
        <f t="shared" si="131"/>
        <v>0</v>
      </c>
      <c r="L161" s="317">
        <f t="shared" si="132"/>
        <v>0</v>
      </c>
      <c r="M161" s="317">
        <f t="shared" si="133"/>
        <v>0</v>
      </c>
      <c r="N161" s="317">
        <f t="shared" si="168"/>
        <v>0</v>
      </c>
      <c r="O161" s="317">
        <f t="shared" si="169"/>
        <v>0</v>
      </c>
      <c r="P161" s="317">
        <f t="shared" si="134"/>
        <v>0</v>
      </c>
      <c r="Q161" s="317">
        <f t="shared" si="135"/>
        <v>0</v>
      </c>
      <c r="R161" s="317">
        <f t="shared" si="136"/>
        <v>0</v>
      </c>
      <c r="S161" s="317">
        <f t="shared" si="137"/>
        <v>0</v>
      </c>
      <c r="T161" s="317">
        <f t="shared" si="170"/>
        <v>0</v>
      </c>
      <c r="U161" s="317">
        <f t="shared" si="171"/>
        <v>0</v>
      </c>
      <c r="V161" s="317">
        <f t="shared" si="138"/>
        <v>0</v>
      </c>
      <c r="W161" s="317">
        <f t="shared" si="139"/>
        <v>0</v>
      </c>
      <c r="X161" s="317">
        <f t="shared" si="140"/>
        <v>0</v>
      </c>
      <c r="Y161" s="317">
        <f t="shared" si="141"/>
        <v>0</v>
      </c>
      <c r="Z161" s="317">
        <f t="shared" si="142"/>
        <v>0</v>
      </c>
      <c r="AA161" s="317">
        <f t="shared" si="143"/>
        <v>0</v>
      </c>
      <c r="AB161" s="317">
        <f t="shared" si="144"/>
        <v>0</v>
      </c>
      <c r="AC161" s="317">
        <f t="shared" si="145"/>
        <v>0</v>
      </c>
      <c r="AD161" s="317">
        <f t="shared" si="146"/>
        <v>0</v>
      </c>
      <c r="AE161" s="317">
        <f t="shared" si="147"/>
        <v>0</v>
      </c>
      <c r="AF161" s="317">
        <f t="shared" si="172"/>
        <v>0</v>
      </c>
      <c r="AG161" s="317">
        <f t="shared" si="173"/>
        <v>0</v>
      </c>
      <c r="AH161" s="317">
        <f t="shared" si="148"/>
        <v>0</v>
      </c>
      <c r="AI161" s="317">
        <f t="shared" si="149"/>
        <v>0</v>
      </c>
      <c r="AJ161" s="317">
        <f t="shared" si="150"/>
        <v>0</v>
      </c>
      <c r="AK161" s="317">
        <f t="shared" si="151"/>
        <v>0</v>
      </c>
      <c r="AL161" s="317">
        <f t="shared" si="152"/>
        <v>0</v>
      </c>
      <c r="AM161" s="317">
        <f t="shared" si="153"/>
        <v>0</v>
      </c>
      <c r="AN161" s="317">
        <f t="shared" si="154"/>
        <v>0</v>
      </c>
      <c r="AO161" s="317">
        <f t="shared" si="155"/>
        <v>0</v>
      </c>
      <c r="AP161" s="317">
        <f t="shared" si="156"/>
        <v>0</v>
      </c>
      <c r="AQ161" s="317">
        <f t="shared" si="157"/>
        <v>0</v>
      </c>
      <c r="AR161" s="317">
        <f t="shared" si="158"/>
        <v>0</v>
      </c>
      <c r="AS161" s="317">
        <f t="shared" si="159"/>
        <v>0</v>
      </c>
      <c r="AT161" s="317">
        <f t="shared" si="160"/>
        <v>0</v>
      </c>
      <c r="AU161" s="317">
        <f t="shared" si="161"/>
        <v>0</v>
      </c>
      <c r="AV161" s="317">
        <f t="shared" si="162"/>
        <v>0</v>
      </c>
      <c r="AW161" s="317">
        <f t="shared" si="163"/>
        <v>0</v>
      </c>
      <c r="AX161" s="317">
        <f t="shared" si="164"/>
        <v>0</v>
      </c>
      <c r="AY161" s="317">
        <f t="shared" si="165"/>
        <v>0</v>
      </c>
      <c r="AZ161" s="317">
        <f t="shared" si="166"/>
        <v>0</v>
      </c>
      <c r="BA161" s="317">
        <f t="shared" si="167"/>
        <v>0</v>
      </c>
    </row>
    <row r="162" spans="1:53" s="314" customFormat="1" ht="16.5" customHeight="1">
      <c r="A162" s="63" t="str">
        <f t="array" ref="A162">IF(C162&lt;&gt;0,SUM(($C$11:C162&lt;&gt;0)*1),"")</f>
        <v/>
      </c>
      <c r="B162" s="315"/>
      <c r="C162" s="315"/>
      <c r="D162" s="315"/>
      <c r="E162" s="433"/>
      <c r="F162" s="371"/>
      <c r="G162" s="373"/>
      <c r="H162" s="373"/>
      <c r="I162" s="63" t="str">
        <f t="shared" si="129"/>
        <v/>
      </c>
      <c r="J162" s="317">
        <f t="shared" si="130"/>
        <v>0</v>
      </c>
      <c r="K162" s="317">
        <f t="shared" si="131"/>
        <v>0</v>
      </c>
      <c r="L162" s="317">
        <f t="shared" si="132"/>
        <v>0</v>
      </c>
      <c r="M162" s="317">
        <f t="shared" si="133"/>
        <v>0</v>
      </c>
      <c r="N162" s="317">
        <f t="shared" si="168"/>
        <v>0</v>
      </c>
      <c r="O162" s="317">
        <f t="shared" si="169"/>
        <v>0</v>
      </c>
      <c r="P162" s="317">
        <f t="shared" si="134"/>
        <v>0</v>
      </c>
      <c r="Q162" s="317">
        <f t="shared" si="135"/>
        <v>0</v>
      </c>
      <c r="R162" s="317">
        <f t="shared" si="136"/>
        <v>0</v>
      </c>
      <c r="S162" s="317">
        <f t="shared" si="137"/>
        <v>0</v>
      </c>
      <c r="T162" s="317">
        <f t="shared" si="170"/>
        <v>0</v>
      </c>
      <c r="U162" s="317">
        <f t="shared" si="171"/>
        <v>0</v>
      </c>
      <c r="V162" s="317">
        <f t="shared" si="138"/>
        <v>0</v>
      </c>
      <c r="W162" s="317">
        <f t="shared" si="139"/>
        <v>0</v>
      </c>
      <c r="X162" s="317">
        <f t="shared" si="140"/>
        <v>0</v>
      </c>
      <c r="Y162" s="317">
        <f t="shared" si="141"/>
        <v>0</v>
      </c>
      <c r="Z162" s="317">
        <f t="shared" si="142"/>
        <v>0</v>
      </c>
      <c r="AA162" s="317">
        <f t="shared" si="143"/>
        <v>0</v>
      </c>
      <c r="AB162" s="317">
        <f t="shared" si="144"/>
        <v>0</v>
      </c>
      <c r="AC162" s="317">
        <f t="shared" si="145"/>
        <v>0</v>
      </c>
      <c r="AD162" s="317">
        <f t="shared" si="146"/>
        <v>0</v>
      </c>
      <c r="AE162" s="317">
        <f t="shared" si="147"/>
        <v>0</v>
      </c>
      <c r="AF162" s="317">
        <f t="shared" si="172"/>
        <v>0</v>
      </c>
      <c r="AG162" s="317">
        <f t="shared" si="173"/>
        <v>0</v>
      </c>
      <c r="AH162" s="317">
        <f t="shared" si="148"/>
        <v>0</v>
      </c>
      <c r="AI162" s="317">
        <f t="shared" si="149"/>
        <v>0</v>
      </c>
      <c r="AJ162" s="317">
        <f t="shared" si="150"/>
        <v>0</v>
      </c>
      <c r="AK162" s="317">
        <f t="shared" si="151"/>
        <v>0</v>
      </c>
      <c r="AL162" s="317">
        <f t="shared" si="152"/>
        <v>0</v>
      </c>
      <c r="AM162" s="317">
        <f t="shared" si="153"/>
        <v>0</v>
      </c>
      <c r="AN162" s="317">
        <f t="shared" si="154"/>
        <v>0</v>
      </c>
      <c r="AO162" s="317">
        <f t="shared" si="155"/>
        <v>0</v>
      </c>
      <c r="AP162" s="317">
        <f t="shared" si="156"/>
        <v>0</v>
      </c>
      <c r="AQ162" s="317">
        <f t="shared" si="157"/>
        <v>0</v>
      </c>
      <c r="AR162" s="317">
        <f t="shared" si="158"/>
        <v>0</v>
      </c>
      <c r="AS162" s="317">
        <f t="shared" si="159"/>
        <v>0</v>
      </c>
      <c r="AT162" s="317">
        <f t="shared" si="160"/>
        <v>0</v>
      </c>
      <c r="AU162" s="317">
        <f t="shared" si="161"/>
        <v>0</v>
      </c>
      <c r="AV162" s="317">
        <f t="shared" si="162"/>
        <v>0</v>
      </c>
      <c r="AW162" s="317">
        <f t="shared" si="163"/>
        <v>0</v>
      </c>
      <c r="AX162" s="317">
        <f t="shared" si="164"/>
        <v>0</v>
      </c>
      <c r="AY162" s="317">
        <f t="shared" si="165"/>
        <v>0</v>
      </c>
      <c r="AZ162" s="317">
        <f t="shared" si="166"/>
        <v>0</v>
      </c>
      <c r="BA162" s="317">
        <f t="shared" si="167"/>
        <v>0</v>
      </c>
    </row>
    <row r="163" spans="1:53" s="314" customFormat="1" ht="16.5" customHeight="1">
      <c r="A163" s="63" t="str">
        <f t="array" ref="A163">IF(C163&lt;&gt;0,SUM(($C$11:C163&lt;&gt;0)*1),"")</f>
        <v/>
      </c>
      <c r="B163" s="315"/>
      <c r="C163" s="315"/>
      <c r="D163" s="315"/>
      <c r="E163" s="433"/>
      <c r="F163" s="371"/>
      <c r="G163" s="373"/>
      <c r="H163" s="373"/>
      <c r="I163" s="63" t="str">
        <f t="shared" si="129"/>
        <v/>
      </c>
      <c r="J163" s="317">
        <f t="shared" si="130"/>
        <v>0</v>
      </c>
      <c r="K163" s="317">
        <f t="shared" si="131"/>
        <v>0</v>
      </c>
      <c r="L163" s="317">
        <f t="shared" si="132"/>
        <v>0</v>
      </c>
      <c r="M163" s="317">
        <f t="shared" si="133"/>
        <v>0</v>
      </c>
      <c r="N163" s="317">
        <f t="shared" si="168"/>
        <v>0</v>
      </c>
      <c r="O163" s="317">
        <f t="shared" si="169"/>
        <v>0</v>
      </c>
      <c r="P163" s="317">
        <f t="shared" si="134"/>
        <v>0</v>
      </c>
      <c r="Q163" s="317">
        <f t="shared" si="135"/>
        <v>0</v>
      </c>
      <c r="R163" s="317">
        <f t="shared" si="136"/>
        <v>0</v>
      </c>
      <c r="S163" s="317">
        <f t="shared" si="137"/>
        <v>0</v>
      </c>
      <c r="T163" s="317">
        <f t="shared" si="170"/>
        <v>0</v>
      </c>
      <c r="U163" s="317">
        <f t="shared" si="171"/>
        <v>0</v>
      </c>
      <c r="V163" s="317">
        <f t="shared" si="138"/>
        <v>0</v>
      </c>
      <c r="W163" s="317">
        <f t="shared" si="139"/>
        <v>0</v>
      </c>
      <c r="X163" s="317">
        <f t="shared" si="140"/>
        <v>0</v>
      </c>
      <c r="Y163" s="317">
        <f t="shared" si="141"/>
        <v>0</v>
      </c>
      <c r="Z163" s="317">
        <f t="shared" si="142"/>
        <v>0</v>
      </c>
      <c r="AA163" s="317">
        <f t="shared" si="143"/>
        <v>0</v>
      </c>
      <c r="AB163" s="317">
        <f t="shared" si="144"/>
        <v>0</v>
      </c>
      <c r="AC163" s="317">
        <f t="shared" si="145"/>
        <v>0</v>
      </c>
      <c r="AD163" s="317">
        <f t="shared" si="146"/>
        <v>0</v>
      </c>
      <c r="AE163" s="317">
        <f t="shared" si="147"/>
        <v>0</v>
      </c>
      <c r="AF163" s="317">
        <f t="shared" si="172"/>
        <v>0</v>
      </c>
      <c r="AG163" s="317">
        <f t="shared" si="173"/>
        <v>0</v>
      </c>
      <c r="AH163" s="317">
        <f t="shared" si="148"/>
        <v>0</v>
      </c>
      <c r="AI163" s="317">
        <f t="shared" si="149"/>
        <v>0</v>
      </c>
      <c r="AJ163" s="317">
        <f t="shared" si="150"/>
        <v>0</v>
      </c>
      <c r="AK163" s="317">
        <f t="shared" si="151"/>
        <v>0</v>
      </c>
      <c r="AL163" s="317">
        <f t="shared" si="152"/>
        <v>0</v>
      </c>
      <c r="AM163" s="317">
        <f t="shared" si="153"/>
        <v>0</v>
      </c>
      <c r="AN163" s="317">
        <f t="shared" si="154"/>
        <v>0</v>
      </c>
      <c r="AO163" s="317">
        <f t="shared" si="155"/>
        <v>0</v>
      </c>
      <c r="AP163" s="317">
        <f t="shared" si="156"/>
        <v>0</v>
      </c>
      <c r="AQ163" s="317">
        <f t="shared" si="157"/>
        <v>0</v>
      </c>
      <c r="AR163" s="317">
        <f t="shared" si="158"/>
        <v>0</v>
      </c>
      <c r="AS163" s="317">
        <f t="shared" si="159"/>
        <v>0</v>
      </c>
      <c r="AT163" s="317">
        <f t="shared" si="160"/>
        <v>0</v>
      </c>
      <c r="AU163" s="317">
        <f t="shared" si="161"/>
        <v>0</v>
      </c>
      <c r="AV163" s="317">
        <f t="shared" si="162"/>
        <v>0</v>
      </c>
      <c r="AW163" s="317">
        <f t="shared" si="163"/>
        <v>0</v>
      </c>
      <c r="AX163" s="317">
        <f t="shared" si="164"/>
        <v>0</v>
      </c>
      <c r="AY163" s="317">
        <f t="shared" si="165"/>
        <v>0</v>
      </c>
      <c r="AZ163" s="317">
        <f t="shared" si="166"/>
        <v>0</v>
      </c>
      <c r="BA163" s="317">
        <f t="shared" si="167"/>
        <v>0</v>
      </c>
    </row>
    <row r="164" spans="1:53" s="314" customFormat="1" ht="16.5" customHeight="1">
      <c r="A164" s="63" t="str">
        <f t="array" ref="A164">IF(C164&lt;&gt;0,SUM(($C$11:C164&lt;&gt;0)*1),"")</f>
        <v/>
      </c>
      <c r="B164" s="315"/>
      <c r="C164" s="315"/>
      <c r="D164" s="315"/>
      <c r="E164" s="433"/>
      <c r="F164" s="371"/>
      <c r="G164" s="373"/>
      <c r="H164" s="373"/>
      <c r="I164" s="63" t="str">
        <f t="shared" si="129"/>
        <v/>
      </c>
      <c r="J164" s="317">
        <f t="shared" si="130"/>
        <v>0</v>
      </c>
      <c r="K164" s="317">
        <f t="shared" si="131"/>
        <v>0</v>
      </c>
      <c r="L164" s="317">
        <f t="shared" si="132"/>
        <v>0</v>
      </c>
      <c r="M164" s="317">
        <f t="shared" si="133"/>
        <v>0</v>
      </c>
      <c r="N164" s="317">
        <f t="shared" si="168"/>
        <v>0</v>
      </c>
      <c r="O164" s="317">
        <f t="shared" si="169"/>
        <v>0</v>
      </c>
      <c r="P164" s="317">
        <f t="shared" si="134"/>
        <v>0</v>
      </c>
      <c r="Q164" s="317">
        <f t="shared" si="135"/>
        <v>0</v>
      </c>
      <c r="R164" s="317">
        <f t="shared" si="136"/>
        <v>0</v>
      </c>
      <c r="S164" s="317">
        <f t="shared" si="137"/>
        <v>0</v>
      </c>
      <c r="T164" s="317">
        <f t="shared" si="170"/>
        <v>0</v>
      </c>
      <c r="U164" s="317">
        <f t="shared" si="171"/>
        <v>0</v>
      </c>
      <c r="V164" s="317">
        <f t="shared" si="138"/>
        <v>0</v>
      </c>
      <c r="W164" s="317">
        <f t="shared" si="139"/>
        <v>0</v>
      </c>
      <c r="X164" s="317">
        <f t="shared" si="140"/>
        <v>0</v>
      </c>
      <c r="Y164" s="317">
        <f t="shared" si="141"/>
        <v>0</v>
      </c>
      <c r="Z164" s="317">
        <f t="shared" si="142"/>
        <v>0</v>
      </c>
      <c r="AA164" s="317">
        <f t="shared" si="143"/>
        <v>0</v>
      </c>
      <c r="AB164" s="317">
        <f t="shared" si="144"/>
        <v>0</v>
      </c>
      <c r="AC164" s="317">
        <f t="shared" si="145"/>
        <v>0</v>
      </c>
      <c r="AD164" s="317">
        <f t="shared" si="146"/>
        <v>0</v>
      </c>
      <c r="AE164" s="317">
        <f t="shared" si="147"/>
        <v>0</v>
      </c>
      <c r="AF164" s="317">
        <f t="shared" si="172"/>
        <v>0</v>
      </c>
      <c r="AG164" s="317">
        <f t="shared" si="173"/>
        <v>0</v>
      </c>
      <c r="AH164" s="317">
        <f t="shared" si="148"/>
        <v>0</v>
      </c>
      <c r="AI164" s="317">
        <f t="shared" si="149"/>
        <v>0</v>
      </c>
      <c r="AJ164" s="317">
        <f t="shared" si="150"/>
        <v>0</v>
      </c>
      <c r="AK164" s="317">
        <f t="shared" si="151"/>
        <v>0</v>
      </c>
      <c r="AL164" s="317">
        <f t="shared" si="152"/>
        <v>0</v>
      </c>
      <c r="AM164" s="317">
        <f t="shared" si="153"/>
        <v>0</v>
      </c>
      <c r="AN164" s="317">
        <f t="shared" si="154"/>
        <v>0</v>
      </c>
      <c r="AO164" s="317">
        <f t="shared" si="155"/>
        <v>0</v>
      </c>
      <c r="AP164" s="317">
        <f t="shared" si="156"/>
        <v>0</v>
      </c>
      <c r="AQ164" s="317">
        <f t="shared" si="157"/>
        <v>0</v>
      </c>
      <c r="AR164" s="317">
        <f t="shared" si="158"/>
        <v>0</v>
      </c>
      <c r="AS164" s="317">
        <f t="shared" si="159"/>
        <v>0</v>
      </c>
      <c r="AT164" s="317">
        <f t="shared" si="160"/>
        <v>0</v>
      </c>
      <c r="AU164" s="317">
        <f t="shared" si="161"/>
        <v>0</v>
      </c>
      <c r="AV164" s="317">
        <f t="shared" si="162"/>
        <v>0</v>
      </c>
      <c r="AW164" s="317">
        <f t="shared" si="163"/>
        <v>0</v>
      </c>
      <c r="AX164" s="317">
        <f t="shared" si="164"/>
        <v>0</v>
      </c>
      <c r="AY164" s="317">
        <f t="shared" si="165"/>
        <v>0</v>
      </c>
      <c r="AZ164" s="317">
        <f t="shared" si="166"/>
        <v>0</v>
      </c>
      <c r="BA164" s="317">
        <f t="shared" si="167"/>
        <v>0</v>
      </c>
    </row>
    <row r="165" spans="1:53" s="314" customFormat="1" ht="16.5" customHeight="1">
      <c r="A165" s="63" t="str">
        <f t="array" ref="A165">IF(C165&lt;&gt;0,SUM(($C$11:C165&lt;&gt;0)*1),"")</f>
        <v/>
      </c>
      <c r="B165" s="315"/>
      <c r="C165" s="315"/>
      <c r="D165" s="315"/>
      <c r="E165" s="433"/>
      <c r="F165" s="371"/>
      <c r="G165" s="373"/>
      <c r="H165" s="373"/>
      <c r="I165" s="63" t="str">
        <f t="shared" si="129"/>
        <v/>
      </c>
      <c r="J165" s="317">
        <f t="shared" si="130"/>
        <v>0</v>
      </c>
      <c r="K165" s="317">
        <f t="shared" si="131"/>
        <v>0</v>
      </c>
      <c r="L165" s="317">
        <f t="shared" si="132"/>
        <v>0</v>
      </c>
      <c r="M165" s="317">
        <f t="shared" si="133"/>
        <v>0</v>
      </c>
      <c r="N165" s="317">
        <f t="shared" si="168"/>
        <v>0</v>
      </c>
      <c r="O165" s="317">
        <f t="shared" si="169"/>
        <v>0</v>
      </c>
      <c r="P165" s="317">
        <f t="shared" si="134"/>
        <v>0</v>
      </c>
      <c r="Q165" s="317">
        <f t="shared" si="135"/>
        <v>0</v>
      </c>
      <c r="R165" s="317">
        <f t="shared" si="136"/>
        <v>0</v>
      </c>
      <c r="S165" s="317">
        <f t="shared" si="137"/>
        <v>0</v>
      </c>
      <c r="T165" s="317">
        <f t="shared" si="170"/>
        <v>0</v>
      </c>
      <c r="U165" s="317">
        <f t="shared" si="171"/>
        <v>0</v>
      </c>
      <c r="V165" s="317">
        <f t="shared" si="138"/>
        <v>0</v>
      </c>
      <c r="W165" s="317">
        <f t="shared" si="139"/>
        <v>0</v>
      </c>
      <c r="X165" s="317">
        <f t="shared" si="140"/>
        <v>0</v>
      </c>
      <c r="Y165" s="317">
        <f t="shared" si="141"/>
        <v>0</v>
      </c>
      <c r="Z165" s="317">
        <f t="shared" si="142"/>
        <v>0</v>
      </c>
      <c r="AA165" s="317">
        <f t="shared" si="143"/>
        <v>0</v>
      </c>
      <c r="AB165" s="317">
        <f t="shared" si="144"/>
        <v>0</v>
      </c>
      <c r="AC165" s="317">
        <f t="shared" si="145"/>
        <v>0</v>
      </c>
      <c r="AD165" s="317">
        <f t="shared" si="146"/>
        <v>0</v>
      </c>
      <c r="AE165" s="317">
        <f t="shared" si="147"/>
        <v>0</v>
      </c>
      <c r="AF165" s="317">
        <f t="shared" si="172"/>
        <v>0</v>
      </c>
      <c r="AG165" s="317">
        <f t="shared" si="173"/>
        <v>0</v>
      </c>
      <c r="AH165" s="317">
        <f t="shared" si="148"/>
        <v>0</v>
      </c>
      <c r="AI165" s="317">
        <f t="shared" si="149"/>
        <v>0</v>
      </c>
      <c r="AJ165" s="317">
        <f t="shared" si="150"/>
        <v>0</v>
      </c>
      <c r="AK165" s="317">
        <f t="shared" si="151"/>
        <v>0</v>
      </c>
      <c r="AL165" s="317">
        <f t="shared" si="152"/>
        <v>0</v>
      </c>
      <c r="AM165" s="317">
        <f t="shared" si="153"/>
        <v>0</v>
      </c>
      <c r="AN165" s="317">
        <f t="shared" si="154"/>
        <v>0</v>
      </c>
      <c r="AO165" s="317">
        <f t="shared" si="155"/>
        <v>0</v>
      </c>
      <c r="AP165" s="317">
        <f t="shared" si="156"/>
        <v>0</v>
      </c>
      <c r="AQ165" s="317">
        <f t="shared" si="157"/>
        <v>0</v>
      </c>
      <c r="AR165" s="317">
        <f t="shared" si="158"/>
        <v>0</v>
      </c>
      <c r="AS165" s="317">
        <f t="shared" si="159"/>
        <v>0</v>
      </c>
      <c r="AT165" s="317">
        <f t="shared" si="160"/>
        <v>0</v>
      </c>
      <c r="AU165" s="317">
        <f t="shared" si="161"/>
        <v>0</v>
      </c>
      <c r="AV165" s="317">
        <f t="shared" si="162"/>
        <v>0</v>
      </c>
      <c r="AW165" s="317">
        <f t="shared" si="163"/>
        <v>0</v>
      </c>
      <c r="AX165" s="317">
        <f t="shared" si="164"/>
        <v>0</v>
      </c>
      <c r="AY165" s="317">
        <f t="shared" si="165"/>
        <v>0</v>
      </c>
      <c r="AZ165" s="317">
        <f t="shared" si="166"/>
        <v>0</v>
      </c>
      <c r="BA165" s="317">
        <f t="shared" si="167"/>
        <v>0</v>
      </c>
    </row>
    <row r="166" spans="1:53" s="314" customFormat="1" ht="16.5" customHeight="1">
      <c r="A166" s="63" t="str">
        <f t="array" ref="A166">IF(C166&lt;&gt;0,SUM(($C$11:C166&lt;&gt;0)*1),"")</f>
        <v/>
      </c>
      <c r="B166" s="315"/>
      <c r="C166" s="315"/>
      <c r="D166" s="315"/>
      <c r="E166" s="433"/>
      <c r="F166" s="371"/>
      <c r="G166" s="373"/>
      <c r="H166" s="373"/>
      <c r="I166" s="63" t="str">
        <f t="shared" si="129"/>
        <v/>
      </c>
      <c r="J166" s="317">
        <f t="shared" si="130"/>
        <v>0</v>
      </c>
      <c r="K166" s="317">
        <f t="shared" si="131"/>
        <v>0</v>
      </c>
      <c r="L166" s="317">
        <f t="shared" si="132"/>
        <v>0</v>
      </c>
      <c r="M166" s="317">
        <f t="shared" si="133"/>
        <v>0</v>
      </c>
      <c r="N166" s="317">
        <f t="shared" si="168"/>
        <v>0</v>
      </c>
      <c r="O166" s="317">
        <f t="shared" si="169"/>
        <v>0</v>
      </c>
      <c r="P166" s="317">
        <f t="shared" si="134"/>
        <v>0</v>
      </c>
      <c r="Q166" s="317">
        <f t="shared" si="135"/>
        <v>0</v>
      </c>
      <c r="R166" s="317">
        <f t="shared" si="136"/>
        <v>0</v>
      </c>
      <c r="S166" s="317">
        <f t="shared" si="137"/>
        <v>0</v>
      </c>
      <c r="T166" s="317">
        <f t="shared" si="170"/>
        <v>0</v>
      </c>
      <c r="U166" s="317">
        <f t="shared" si="171"/>
        <v>0</v>
      </c>
      <c r="V166" s="317">
        <f t="shared" si="138"/>
        <v>0</v>
      </c>
      <c r="W166" s="317">
        <f t="shared" si="139"/>
        <v>0</v>
      </c>
      <c r="X166" s="317">
        <f t="shared" si="140"/>
        <v>0</v>
      </c>
      <c r="Y166" s="317">
        <f t="shared" si="141"/>
        <v>0</v>
      </c>
      <c r="Z166" s="317">
        <f t="shared" si="142"/>
        <v>0</v>
      </c>
      <c r="AA166" s="317">
        <f t="shared" si="143"/>
        <v>0</v>
      </c>
      <c r="AB166" s="317">
        <f t="shared" si="144"/>
        <v>0</v>
      </c>
      <c r="AC166" s="317">
        <f t="shared" si="145"/>
        <v>0</v>
      </c>
      <c r="AD166" s="317">
        <f t="shared" si="146"/>
        <v>0</v>
      </c>
      <c r="AE166" s="317">
        <f t="shared" si="147"/>
        <v>0</v>
      </c>
      <c r="AF166" s="317">
        <f t="shared" si="172"/>
        <v>0</v>
      </c>
      <c r="AG166" s="317">
        <f t="shared" si="173"/>
        <v>0</v>
      </c>
      <c r="AH166" s="317">
        <f t="shared" si="148"/>
        <v>0</v>
      </c>
      <c r="AI166" s="317">
        <f t="shared" si="149"/>
        <v>0</v>
      </c>
      <c r="AJ166" s="317">
        <f t="shared" si="150"/>
        <v>0</v>
      </c>
      <c r="AK166" s="317">
        <f t="shared" si="151"/>
        <v>0</v>
      </c>
      <c r="AL166" s="317">
        <f t="shared" si="152"/>
        <v>0</v>
      </c>
      <c r="AM166" s="317">
        <f t="shared" si="153"/>
        <v>0</v>
      </c>
      <c r="AN166" s="317">
        <f t="shared" si="154"/>
        <v>0</v>
      </c>
      <c r="AO166" s="317">
        <f t="shared" si="155"/>
        <v>0</v>
      </c>
      <c r="AP166" s="317">
        <f t="shared" si="156"/>
        <v>0</v>
      </c>
      <c r="AQ166" s="317">
        <f t="shared" si="157"/>
        <v>0</v>
      </c>
      <c r="AR166" s="317">
        <f t="shared" si="158"/>
        <v>0</v>
      </c>
      <c r="AS166" s="317">
        <f t="shared" si="159"/>
        <v>0</v>
      </c>
      <c r="AT166" s="317">
        <f t="shared" si="160"/>
        <v>0</v>
      </c>
      <c r="AU166" s="317">
        <f t="shared" si="161"/>
        <v>0</v>
      </c>
      <c r="AV166" s="317">
        <f t="shared" si="162"/>
        <v>0</v>
      </c>
      <c r="AW166" s="317">
        <f t="shared" si="163"/>
        <v>0</v>
      </c>
      <c r="AX166" s="317">
        <f t="shared" si="164"/>
        <v>0</v>
      </c>
      <c r="AY166" s="317">
        <f t="shared" si="165"/>
        <v>0</v>
      </c>
      <c r="AZ166" s="317">
        <f t="shared" si="166"/>
        <v>0</v>
      </c>
      <c r="BA166" s="317">
        <f t="shared" si="167"/>
        <v>0</v>
      </c>
    </row>
    <row r="167" spans="1:53" s="314" customFormat="1" ht="16.5" customHeight="1">
      <c r="A167" s="63" t="str">
        <f t="array" ref="A167">IF(C167&lt;&gt;0,SUM(($C$11:C167&lt;&gt;0)*1),"")</f>
        <v/>
      </c>
      <c r="B167" s="315"/>
      <c r="C167" s="315"/>
      <c r="D167" s="315"/>
      <c r="E167" s="433"/>
      <c r="F167" s="371"/>
      <c r="G167" s="373"/>
      <c r="H167" s="373"/>
      <c r="I167" s="63" t="str">
        <f t="shared" si="129"/>
        <v/>
      </c>
      <c r="J167" s="317">
        <f t="shared" si="130"/>
        <v>0</v>
      </c>
      <c r="K167" s="317">
        <f t="shared" si="131"/>
        <v>0</v>
      </c>
      <c r="L167" s="317">
        <f t="shared" si="132"/>
        <v>0</v>
      </c>
      <c r="M167" s="317">
        <f t="shared" si="133"/>
        <v>0</v>
      </c>
      <c r="N167" s="317">
        <f t="shared" si="168"/>
        <v>0</v>
      </c>
      <c r="O167" s="317">
        <f t="shared" si="169"/>
        <v>0</v>
      </c>
      <c r="P167" s="317">
        <f t="shared" si="134"/>
        <v>0</v>
      </c>
      <c r="Q167" s="317">
        <f t="shared" si="135"/>
        <v>0</v>
      </c>
      <c r="R167" s="317">
        <f t="shared" si="136"/>
        <v>0</v>
      </c>
      <c r="S167" s="317">
        <f t="shared" si="137"/>
        <v>0</v>
      </c>
      <c r="T167" s="317">
        <f t="shared" si="170"/>
        <v>0</v>
      </c>
      <c r="U167" s="317">
        <f t="shared" si="171"/>
        <v>0</v>
      </c>
      <c r="V167" s="317">
        <f t="shared" si="138"/>
        <v>0</v>
      </c>
      <c r="W167" s="317">
        <f t="shared" si="139"/>
        <v>0</v>
      </c>
      <c r="X167" s="317">
        <f t="shared" si="140"/>
        <v>0</v>
      </c>
      <c r="Y167" s="317">
        <f t="shared" si="141"/>
        <v>0</v>
      </c>
      <c r="Z167" s="317">
        <f t="shared" si="142"/>
        <v>0</v>
      </c>
      <c r="AA167" s="317">
        <f t="shared" si="143"/>
        <v>0</v>
      </c>
      <c r="AB167" s="317">
        <f t="shared" si="144"/>
        <v>0</v>
      </c>
      <c r="AC167" s="317">
        <f t="shared" si="145"/>
        <v>0</v>
      </c>
      <c r="AD167" s="317">
        <f t="shared" si="146"/>
        <v>0</v>
      </c>
      <c r="AE167" s="317">
        <f t="shared" si="147"/>
        <v>0</v>
      </c>
      <c r="AF167" s="317">
        <f t="shared" si="172"/>
        <v>0</v>
      </c>
      <c r="AG167" s="317">
        <f t="shared" si="173"/>
        <v>0</v>
      </c>
      <c r="AH167" s="317">
        <f t="shared" si="148"/>
        <v>0</v>
      </c>
      <c r="AI167" s="317">
        <f t="shared" si="149"/>
        <v>0</v>
      </c>
      <c r="AJ167" s="317">
        <f t="shared" si="150"/>
        <v>0</v>
      </c>
      <c r="AK167" s="317">
        <f t="shared" si="151"/>
        <v>0</v>
      </c>
      <c r="AL167" s="317">
        <f t="shared" si="152"/>
        <v>0</v>
      </c>
      <c r="AM167" s="317">
        <f t="shared" si="153"/>
        <v>0</v>
      </c>
      <c r="AN167" s="317">
        <f t="shared" si="154"/>
        <v>0</v>
      </c>
      <c r="AO167" s="317">
        <f t="shared" si="155"/>
        <v>0</v>
      </c>
      <c r="AP167" s="317">
        <f t="shared" si="156"/>
        <v>0</v>
      </c>
      <c r="AQ167" s="317">
        <f t="shared" si="157"/>
        <v>0</v>
      </c>
      <c r="AR167" s="317">
        <f t="shared" si="158"/>
        <v>0</v>
      </c>
      <c r="AS167" s="317">
        <f t="shared" si="159"/>
        <v>0</v>
      </c>
      <c r="AT167" s="317">
        <f t="shared" si="160"/>
        <v>0</v>
      </c>
      <c r="AU167" s="317">
        <f t="shared" si="161"/>
        <v>0</v>
      </c>
      <c r="AV167" s="317">
        <f t="shared" si="162"/>
        <v>0</v>
      </c>
      <c r="AW167" s="317">
        <f t="shared" si="163"/>
        <v>0</v>
      </c>
      <c r="AX167" s="317">
        <f t="shared" si="164"/>
        <v>0</v>
      </c>
      <c r="AY167" s="317">
        <f t="shared" si="165"/>
        <v>0</v>
      </c>
      <c r="AZ167" s="317">
        <f t="shared" si="166"/>
        <v>0</v>
      </c>
      <c r="BA167" s="317">
        <f t="shared" si="167"/>
        <v>0</v>
      </c>
    </row>
    <row r="168" spans="1:53" s="314" customFormat="1" ht="16.5" customHeight="1">
      <c r="A168" s="63" t="str">
        <f t="array" ref="A168">IF(C168&lt;&gt;0,SUM(($C$11:C168&lt;&gt;0)*1),"")</f>
        <v/>
      </c>
      <c r="B168" s="315"/>
      <c r="C168" s="315"/>
      <c r="D168" s="315"/>
      <c r="E168" s="433"/>
      <c r="F168" s="371"/>
      <c r="G168" s="373"/>
      <c r="H168" s="373"/>
      <c r="I168" s="63" t="str">
        <f t="shared" si="129"/>
        <v/>
      </c>
      <c r="J168" s="317">
        <f t="shared" si="130"/>
        <v>0</v>
      </c>
      <c r="K168" s="317">
        <f t="shared" si="131"/>
        <v>0</v>
      </c>
      <c r="L168" s="317">
        <f t="shared" si="132"/>
        <v>0</v>
      </c>
      <c r="M168" s="317">
        <f t="shared" si="133"/>
        <v>0</v>
      </c>
      <c r="N168" s="317">
        <f t="shared" si="168"/>
        <v>0</v>
      </c>
      <c r="O168" s="317">
        <f t="shared" si="169"/>
        <v>0</v>
      </c>
      <c r="P168" s="317">
        <f t="shared" si="134"/>
        <v>0</v>
      </c>
      <c r="Q168" s="317">
        <f t="shared" si="135"/>
        <v>0</v>
      </c>
      <c r="R168" s="317">
        <f t="shared" si="136"/>
        <v>0</v>
      </c>
      <c r="S168" s="317">
        <f t="shared" si="137"/>
        <v>0</v>
      </c>
      <c r="T168" s="317">
        <f t="shared" si="170"/>
        <v>0</v>
      </c>
      <c r="U168" s="317">
        <f t="shared" si="171"/>
        <v>0</v>
      </c>
      <c r="V168" s="317">
        <f t="shared" si="138"/>
        <v>0</v>
      </c>
      <c r="W168" s="317">
        <f t="shared" si="139"/>
        <v>0</v>
      </c>
      <c r="X168" s="317">
        <f t="shared" si="140"/>
        <v>0</v>
      </c>
      <c r="Y168" s="317">
        <f t="shared" si="141"/>
        <v>0</v>
      </c>
      <c r="Z168" s="317">
        <f t="shared" si="142"/>
        <v>0</v>
      </c>
      <c r="AA168" s="317">
        <f t="shared" si="143"/>
        <v>0</v>
      </c>
      <c r="AB168" s="317">
        <f t="shared" si="144"/>
        <v>0</v>
      </c>
      <c r="AC168" s="317">
        <f t="shared" si="145"/>
        <v>0</v>
      </c>
      <c r="AD168" s="317">
        <f t="shared" si="146"/>
        <v>0</v>
      </c>
      <c r="AE168" s="317">
        <f t="shared" si="147"/>
        <v>0</v>
      </c>
      <c r="AF168" s="317">
        <f t="shared" si="172"/>
        <v>0</v>
      </c>
      <c r="AG168" s="317">
        <f t="shared" si="173"/>
        <v>0</v>
      </c>
      <c r="AH168" s="317">
        <f t="shared" si="148"/>
        <v>0</v>
      </c>
      <c r="AI168" s="317">
        <f t="shared" si="149"/>
        <v>0</v>
      </c>
      <c r="AJ168" s="317">
        <f t="shared" si="150"/>
        <v>0</v>
      </c>
      <c r="AK168" s="317">
        <f t="shared" si="151"/>
        <v>0</v>
      </c>
      <c r="AL168" s="317">
        <f t="shared" si="152"/>
        <v>0</v>
      </c>
      <c r="AM168" s="317">
        <f t="shared" si="153"/>
        <v>0</v>
      </c>
      <c r="AN168" s="317">
        <f t="shared" si="154"/>
        <v>0</v>
      </c>
      <c r="AO168" s="317">
        <f t="shared" si="155"/>
        <v>0</v>
      </c>
      <c r="AP168" s="317">
        <f t="shared" si="156"/>
        <v>0</v>
      </c>
      <c r="AQ168" s="317">
        <f t="shared" si="157"/>
        <v>0</v>
      </c>
      <c r="AR168" s="317">
        <f t="shared" si="158"/>
        <v>0</v>
      </c>
      <c r="AS168" s="317">
        <f t="shared" si="159"/>
        <v>0</v>
      </c>
      <c r="AT168" s="317">
        <f t="shared" si="160"/>
        <v>0</v>
      </c>
      <c r="AU168" s="317">
        <f t="shared" si="161"/>
        <v>0</v>
      </c>
      <c r="AV168" s="317">
        <f t="shared" si="162"/>
        <v>0</v>
      </c>
      <c r="AW168" s="317">
        <f t="shared" si="163"/>
        <v>0</v>
      </c>
      <c r="AX168" s="317">
        <f t="shared" si="164"/>
        <v>0</v>
      </c>
      <c r="AY168" s="317">
        <f t="shared" si="165"/>
        <v>0</v>
      </c>
      <c r="AZ168" s="317">
        <f t="shared" si="166"/>
        <v>0</v>
      </c>
      <c r="BA168" s="317">
        <f t="shared" si="167"/>
        <v>0</v>
      </c>
    </row>
    <row r="169" spans="1:53" s="314" customFormat="1" ht="16.5" customHeight="1">
      <c r="A169" s="63" t="str">
        <f t="array" ref="A169">IF(C169&lt;&gt;0,SUM(($C$11:C169&lt;&gt;0)*1),"")</f>
        <v/>
      </c>
      <c r="B169" s="315"/>
      <c r="C169" s="315"/>
      <c r="D169" s="315"/>
      <c r="E169" s="433"/>
      <c r="F169" s="371"/>
      <c r="G169" s="373"/>
      <c r="H169" s="373"/>
      <c r="I169" s="63" t="str">
        <f t="shared" si="129"/>
        <v/>
      </c>
      <c r="J169" s="317">
        <f t="shared" si="130"/>
        <v>0</v>
      </c>
      <c r="K169" s="317">
        <f t="shared" si="131"/>
        <v>0</v>
      </c>
      <c r="L169" s="317">
        <f t="shared" si="132"/>
        <v>0</v>
      </c>
      <c r="M169" s="317">
        <f t="shared" si="133"/>
        <v>0</v>
      </c>
      <c r="N169" s="317">
        <f t="shared" si="168"/>
        <v>0</v>
      </c>
      <c r="O169" s="317">
        <f t="shared" si="169"/>
        <v>0</v>
      </c>
      <c r="P169" s="317">
        <f t="shared" si="134"/>
        <v>0</v>
      </c>
      <c r="Q169" s="317">
        <f t="shared" si="135"/>
        <v>0</v>
      </c>
      <c r="R169" s="317">
        <f t="shared" si="136"/>
        <v>0</v>
      </c>
      <c r="S169" s="317">
        <f t="shared" si="137"/>
        <v>0</v>
      </c>
      <c r="T169" s="317">
        <f t="shared" si="170"/>
        <v>0</v>
      </c>
      <c r="U169" s="317">
        <f t="shared" si="171"/>
        <v>0</v>
      </c>
      <c r="V169" s="317">
        <f t="shared" si="138"/>
        <v>0</v>
      </c>
      <c r="W169" s="317">
        <f t="shared" si="139"/>
        <v>0</v>
      </c>
      <c r="X169" s="317">
        <f t="shared" si="140"/>
        <v>0</v>
      </c>
      <c r="Y169" s="317">
        <f t="shared" si="141"/>
        <v>0</v>
      </c>
      <c r="Z169" s="317">
        <f t="shared" si="142"/>
        <v>0</v>
      </c>
      <c r="AA169" s="317">
        <f t="shared" si="143"/>
        <v>0</v>
      </c>
      <c r="AB169" s="317">
        <f t="shared" si="144"/>
        <v>0</v>
      </c>
      <c r="AC169" s="317">
        <f t="shared" si="145"/>
        <v>0</v>
      </c>
      <c r="AD169" s="317">
        <f t="shared" si="146"/>
        <v>0</v>
      </c>
      <c r="AE169" s="317">
        <f t="shared" si="147"/>
        <v>0</v>
      </c>
      <c r="AF169" s="317">
        <f t="shared" si="172"/>
        <v>0</v>
      </c>
      <c r="AG169" s="317">
        <f t="shared" si="173"/>
        <v>0</v>
      </c>
      <c r="AH169" s="317">
        <f t="shared" si="148"/>
        <v>0</v>
      </c>
      <c r="AI169" s="317">
        <f t="shared" si="149"/>
        <v>0</v>
      </c>
      <c r="AJ169" s="317">
        <f t="shared" si="150"/>
        <v>0</v>
      </c>
      <c r="AK169" s="317">
        <f t="shared" si="151"/>
        <v>0</v>
      </c>
      <c r="AL169" s="317">
        <f t="shared" si="152"/>
        <v>0</v>
      </c>
      <c r="AM169" s="317">
        <f t="shared" si="153"/>
        <v>0</v>
      </c>
      <c r="AN169" s="317">
        <f t="shared" si="154"/>
        <v>0</v>
      </c>
      <c r="AO169" s="317">
        <f t="shared" si="155"/>
        <v>0</v>
      </c>
      <c r="AP169" s="317">
        <f t="shared" si="156"/>
        <v>0</v>
      </c>
      <c r="AQ169" s="317">
        <f t="shared" si="157"/>
        <v>0</v>
      </c>
      <c r="AR169" s="317">
        <f t="shared" si="158"/>
        <v>0</v>
      </c>
      <c r="AS169" s="317">
        <f t="shared" si="159"/>
        <v>0</v>
      </c>
      <c r="AT169" s="317">
        <f t="shared" si="160"/>
        <v>0</v>
      </c>
      <c r="AU169" s="317">
        <f t="shared" si="161"/>
        <v>0</v>
      </c>
      <c r="AV169" s="317">
        <f t="shared" si="162"/>
        <v>0</v>
      </c>
      <c r="AW169" s="317">
        <f t="shared" si="163"/>
        <v>0</v>
      </c>
      <c r="AX169" s="317">
        <f t="shared" si="164"/>
        <v>0</v>
      </c>
      <c r="AY169" s="317">
        <f t="shared" si="165"/>
        <v>0</v>
      </c>
      <c r="AZ169" s="317">
        <f t="shared" si="166"/>
        <v>0</v>
      </c>
      <c r="BA169" s="317">
        <f t="shared" si="167"/>
        <v>0</v>
      </c>
    </row>
    <row r="170" spans="1:53" s="314" customFormat="1" ht="16.5" customHeight="1">
      <c r="A170" s="63" t="str">
        <f t="array" ref="A170">IF(C170&lt;&gt;0,SUM(($C$11:C170&lt;&gt;0)*1),"")</f>
        <v/>
      </c>
      <c r="B170" s="315"/>
      <c r="C170" s="315"/>
      <c r="D170" s="315"/>
      <c r="E170" s="433"/>
      <c r="F170" s="371"/>
      <c r="G170" s="373"/>
      <c r="H170" s="373"/>
      <c r="I170" s="63" t="str">
        <f t="shared" si="129"/>
        <v/>
      </c>
      <c r="J170" s="317">
        <f t="shared" si="130"/>
        <v>0</v>
      </c>
      <c r="K170" s="317">
        <f t="shared" si="131"/>
        <v>0</v>
      </c>
      <c r="L170" s="317">
        <f t="shared" si="132"/>
        <v>0</v>
      </c>
      <c r="M170" s="317">
        <f t="shared" si="133"/>
        <v>0</v>
      </c>
      <c r="N170" s="317">
        <f t="shared" si="168"/>
        <v>0</v>
      </c>
      <c r="O170" s="317">
        <f t="shared" si="169"/>
        <v>0</v>
      </c>
      <c r="P170" s="317">
        <f t="shared" si="134"/>
        <v>0</v>
      </c>
      <c r="Q170" s="317">
        <f t="shared" si="135"/>
        <v>0</v>
      </c>
      <c r="R170" s="317">
        <f t="shared" si="136"/>
        <v>0</v>
      </c>
      <c r="S170" s="317">
        <f t="shared" si="137"/>
        <v>0</v>
      </c>
      <c r="T170" s="317">
        <f t="shared" si="170"/>
        <v>0</v>
      </c>
      <c r="U170" s="317">
        <f t="shared" si="171"/>
        <v>0</v>
      </c>
      <c r="V170" s="317">
        <f t="shared" si="138"/>
        <v>0</v>
      </c>
      <c r="W170" s="317">
        <f t="shared" si="139"/>
        <v>0</v>
      </c>
      <c r="X170" s="317">
        <f t="shared" si="140"/>
        <v>0</v>
      </c>
      <c r="Y170" s="317">
        <f t="shared" si="141"/>
        <v>0</v>
      </c>
      <c r="Z170" s="317">
        <f t="shared" si="142"/>
        <v>0</v>
      </c>
      <c r="AA170" s="317">
        <f t="shared" si="143"/>
        <v>0</v>
      </c>
      <c r="AB170" s="317">
        <f t="shared" si="144"/>
        <v>0</v>
      </c>
      <c r="AC170" s="317">
        <f t="shared" si="145"/>
        <v>0</v>
      </c>
      <c r="AD170" s="317">
        <f t="shared" si="146"/>
        <v>0</v>
      </c>
      <c r="AE170" s="317">
        <f t="shared" si="147"/>
        <v>0</v>
      </c>
      <c r="AF170" s="317">
        <f t="shared" si="172"/>
        <v>0</v>
      </c>
      <c r="AG170" s="317">
        <f t="shared" si="173"/>
        <v>0</v>
      </c>
      <c r="AH170" s="317">
        <f t="shared" si="148"/>
        <v>0</v>
      </c>
      <c r="AI170" s="317">
        <f t="shared" si="149"/>
        <v>0</v>
      </c>
      <c r="AJ170" s="317">
        <f t="shared" si="150"/>
        <v>0</v>
      </c>
      <c r="AK170" s="317">
        <f t="shared" si="151"/>
        <v>0</v>
      </c>
      <c r="AL170" s="317">
        <f t="shared" si="152"/>
        <v>0</v>
      </c>
      <c r="AM170" s="317">
        <f t="shared" si="153"/>
        <v>0</v>
      </c>
      <c r="AN170" s="317">
        <f t="shared" si="154"/>
        <v>0</v>
      </c>
      <c r="AO170" s="317">
        <f t="shared" si="155"/>
        <v>0</v>
      </c>
      <c r="AP170" s="317">
        <f t="shared" si="156"/>
        <v>0</v>
      </c>
      <c r="AQ170" s="317">
        <f t="shared" si="157"/>
        <v>0</v>
      </c>
      <c r="AR170" s="317">
        <f t="shared" si="158"/>
        <v>0</v>
      </c>
      <c r="AS170" s="317">
        <f t="shared" si="159"/>
        <v>0</v>
      </c>
      <c r="AT170" s="317">
        <f t="shared" si="160"/>
        <v>0</v>
      </c>
      <c r="AU170" s="317">
        <f t="shared" si="161"/>
        <v>0</v>
      </c>
      <c r="AV170" s="317">
        <f t="shared" si="162"/>
        <v>0</v>
      </c>
      <c r="AW170" s="317">
        <f t="shared" si="163"/>
        <v>0</v>
      </c>
      <c r="AX170" s="317">
        <f t="shared" si="164"/>
        <v>0</v>
      </c>
      <c r="AY170" s="317">
        <f t="shared" si="165"/>
        <v>0</v>
      </c>
      <c r="AZ170" s="317">
        <f t="shared" si="166"/>
        <v>0</v>
      </c>
      <c r="BA170" s="317">
        <f t="shared" si="167"/>
        <v>0</v>
      </c>
    </row>
    <row r="171" spans="1:53" s="314" customFormat="1" ht="16.5" customHeight="1">
      <c r="A171" s="63" t="str">
        <f t="array" ref="A171">IF(C171&lt;&gt;0,SUM(($C$11:C171&lt;&gt;0)*1),"")</f>
        <v/>
      </c>
      <c r="B171" s="315"/>
      <c r="C171" s="315"/>
      <c r="D171" s="315"/>
      <c r="E171" s="433"/>
      <c r="F171" s="371"/>
      <c r="G171" s="373"/>
      <c r="H171" s="373"/>
      <c r="I171" s="63" t="str">
        <f t="shared" si="129"/>
        <v/>
      </c>
      <c r="J171" s="317">
        <f t="shared" si="130"/>
        <v>0</v>
      </c>
      <c r="K171" s="317">
        <f t="shared" si="131"/>
        <v>0</v>
      </c>
      <c r="L171" s="317">
        <f t="shared" si="132"/>
        <v>0</v>
      </c>
      <c r="M171" s="317">
        <f t="shared" si="133"/>
        <v>0</v>
      </c>
      <c r="N171" s="317">
        <f t="shared" si="168"/>
        <v>0</v>
      </c>
      <c r="O171" s="317">
        <f t="shared" si="169"/>
        <v>0</v>
      </c>
      <c r="P171" s="317">
        <f t="shared" si="134"/>
        <v>0</v>
      </c>
      <c r="Q171" s="317">
        <f t="shared" si="135"/>
        <v>0</v>
      </c>
      <c r="R171" s="317">
        <f t="shared" si="136"/>
        <v>0</v>
      </c>
      <c r="S171" s="317">
        <f t="shared" si="137"/>
        <v>0</v>
      </c>
      <c r="T171" s="317">
        <f t="shared" si="170"/>
        <v>0</v>
      </c>
      <c r="U171" s="317">
        <f t="shared" si="171"/>
        <v>0</v>
      </c>
      <c r="V171" s="317">
        <f t="shared" si="138"/>
        <v>0</v>
      </c>
      <c r="W171" s="317">
        <f t="shared" si="139"/>
        <v>0</v>
      </c>
      <c r="X171" s="317">
        <f t="shared" si="140"/>
        <v>0</v>
      </c>
      <c r="Y171" s="317">
        <f t="shared" si="141"/>
        <v>0</v>
      </c>
      <c r="Z171" s="317">
        <f t="shared" si="142"/>
        <v>0</v>
      </c>
      <c r="AA171" s="317">
        <f t="shared" si="143"/>
        <v>0</v>
      </c>
      <c r="AB171" s="317">
        <f t="shared" si="144"/>
        <v>0</v>
      </c>
      <c r="AC171" s="317">
        <f t="shared" si="145"/>
        <v>0</v>
      </c>
      <c r="AD171" s="317">
        <f t="shared" si="146"/>
        <v>0</v>
      </c>
      <c r="AE171" s="317">
        <f t="shared" si="147"/>
        <v>0</v>
      </c>
      <c r="AF171" s="317">
        <f t="shared" si="172"/>
        <v>0</v>
      </c>
      <c r="AG171" s="317">
        <f t="shared" si="173"/>
        <v>0</v>
      </c>
      <c r="AH171" s="317">
        <f t="shared" si="148"/>
        <v>0</v>
      </c>
      <c r="AI171" s="317">
        <f t="shared" si="149"/>
        <v>0</v>
      </c>
      <c r="AJ171" s="317">
        <f t="shared" si="150"/>
        <v>0</v>
      </c>
      <c r="AK171" s="317">
        <f t="shared" si="151"/>
        <v>0</v>
      </c>
      <c r="AL171" s="317">
        <f t="shared" si="152"/>
        <v>0</v>
      </c>
      <c r="AM171" s="317">
        <f t="shared" si="153"/>
        <v>0</v>
      </c>
      <c r="AN171" s="317">
        <f t="shared" si="154"/>
        <v>0</v>
      </c>
      <c r="AO171" s="317">
        <f t="shared" si="155"/>
        <v>0</v>
      </c>
      <c r="AP171" s="317">
        <f t="shared" si="156"/>
        <v>0</v>
      </c>
      <c r="AQ171" s="317">
        <f t="shared" si="157"/>
        <v>0</v>
      </c>
      <c r="AR171" s="317">
        <f t="shared" si="158"/>
        <v>0</v>
      </c>
      <c r="AS171" s="317">
        <f t="shared" si="159"/>
        <v>0</v>
      </c>
      <c r="AT171" s="317">
        <f t="shared" si="160"/>
        <v>0</v>
      </c>
      <c r="AU171" s="317">
        <f t="shared" si="161"/>
        <v>0</v>
      </c>
      <c r="AV171" s="317">
        <f t="shared" si="162"/>
        <v>0</v>
      </c>
      <c r="AW171" s="317">
        <f t="shared" si="163"/>
        <v>0</v>
      </c>
      <c r="AX171" s="317">
        <f t="shared" si="164"/>
        <v>0</v>
      </c>
      <c r="AY171" s="317">
        <f t="shared" si="165"/>
        <v>0</v>
      </c>
      <c r="AZ171" s="317">
        <f t="shared" si="166"/>
        <v>0</v>
      </c>
      <c r="BA171" s="317">
        <f t="shared" si="167"/>
        <v>0</v>
      </c>
    </row>
    <row r="172" spans="1:53" s="314" customFormat="1" ht="16.5" customHeight="1">
      <c r="A172" s="63" t="str">
        <f t="array" ref="A172">IF(C172&lt;&gt;0,SUM(($C$11:C172&lt;&gt;0)*1),"")</f>
        <v/>
      </c>
      <c r="B172" s="315"/>
      <c r="C172" s="315"/>
      <c r="D172" s="315"/>
      <c r="E172" s="433"/>
      <c r="F172" s="371"/>
      <c r="G172" s="373"/>
      <c r="H172" s="373"/>
      <c r="I172" s="63" t="str">
        <f t="shared" si="129"/>
        <v/>
      </c>
      <c r="J172" s="317">
        <f t="shared" si="130"/>
        <v>0</v>
      </c>
      <c r="K172" s="317">
        <f t="shared" si="131"/>
        <v>0</v>
      </c>
      <c r="L172" s="317">
        <f t="shared" si="132"/>
        <v>0</v>
      </c>
      <c r="M172" s="317">
        <f t="shared" si="133"/>
        <v>0</v>
      </c>
      <c r="N172" s="317">
        <f t="shared" si="168"/>
        <v>0</v>
      </c>
      <c r="O172" s="317">
        <f t="shared" si="169"/>
        <v>0</v>
      </c>
      <c r="P172" s="317">
        <f t="shared" si="134"/>
        <v>0</v>
      </c>
      <c r="Q172" s="317">
        <f t="shared" si="135"/>
        <v>0</v>
      </c>
      <c r="R172" s="317">
        <f t="shared" si="136"/>
        <v>0</v>
      </c>
      <c r="S172" s="317">
        <f t="shared" si="137"/>
        <v>0</v>
      </c>
      <c r="T172" s="317">
        <f t="shared" si="170"/>
        <v>0</v>
      </c>
      <c r="U172" s="317">
        <f t="shared" si="171"/>
        <v>0</v>
      </c>
      <c r="V172" s="317">
        <f t="shared" si="138"/>
        <v>0</v>
      </c>
      <c r="W172" s="317">
        <f t="shared" si="139"/>
        <v>0</v>
      </c>
      <c r="X172" s="317">
        <f t="shared" si="140"/>
        <v>0</v>
      </c>
      <c r="Y172" s="317">
        <f t="shared" si="141"/>
        <v>0</v>
      </c>
      <c r="Z172" s="317">
        <f t="shared" si="142"/>
        <v>0</v>
      </c>
      <c r="AA172" s="317">
        <f t="shared" si="143"/>
        <v>0</v>
      </c>
      <c r="AB172" s="317">
        <f t="shared" si="144"/>
        <v>0</v>
      </c>
      <c r="AC172" s="317">
        <f t="shared" si="145"/>
        <v>0</v>
      </c>
      <c r="AD172" s="317">
        <f t="shared" si="146"/>
        <v>0</v>
      </c>
      <c r="AE172" s="317">
        <f t="shared" si="147"/>
        <v>0</v>
      </c>
      <c r="AF172" s="317">
        <f t="shared" si="172"/>
        <v>0</v>
      </c>
      <c r="AG172" s="317">
        <f t="shared" si="173"/>
        <v>0</v>
      </c>
      <c r="AH172" s="317">
        <f t="shared" si="148"/>
        <v>0</v>
      </c>
      <c r="AI172" s="317">
        <f t="shared" si="149"/>
        <v>0</v>
      </c>
      <c r="AJ172" s="317">
        <f t="shared" si="150"/>
        <v>0</v>
      </c>
      <c r="AK172" s="317">
        <f t="shared" si="151"/>
        <v>0</v>
      </c>
      <c r="AL172" s="317">
        <f t="shared" si="152"/>
        <v>0</v>
      </c>
      <c r="AM172" s="317">
        <f t="shared" si="153"/>
        <v>0</v>
      </c>
      <c r="AN172" s="317">
        <f t="shared" si="154"/>
        <v>0</v>
      </c>
      <c r="AO172" s="317">
        <f t="shared" si="155"/>
        <v>0</v>
      </c>
      <c r="AP172" s="317">
        <f t="shared" si="156"/>
        <v>0</v>
      </c>
      <c r="AQ172" s="317">
        <f t="shared" si="157"/>
        <v>0</v>
      </c>
      <c r="AR172" s="317">
        <f t="shared" si="158"/>
        <v>0</v>
      </c>
      <c r="AS172" s="317">
        <f t="shared" si="159"/>
        <v>0</v>
      </c>
      <c r="AT172" s="317">
        <f t="shared" si="160"/>
        <v>0</v>
      </c>
      <c r="AU172" s="317">
        <f t="shared" si="161"/>
        <v>0</v>
      </c>
      <c r="AV172" s="317">
        <f t="shared" si="162"/>
        <v>0</v>
      </c>
      <c r="AW172" s="317">
        <f t="shared" si="163"/>
        <v>0</v>
      </c>
      <c r="AX172" s="317">
        <f t="shared" si="164"/>
        <v>0</v>
      </c>
      <c r="AY172" s="317">
        <f t="shared" si="165"/>
        <v>0</v>
      </c>
      <c r="AZ172" s="317">
        <f t="shared" si="166"/>
        <v>0</v>
      </c>
      <c r="BA172" s="317">
        <f t="shared" si="167"/>
        <v>0</v>
      </c>
    </row>
    <row r="173" spans="1:53" s="314" customFormat="1" ht="16.5" customHeight="1">
      <c r="A173" s="63" t="str">
        <f t="array" ref="A173">IF(C173&lt;&gt;0,SUM(($C$11:C173&lt;&gt;0)*1),"")</f>
        <v/>
      </c>
      <c r="B173" s="315"/>
      <c r="C173" s="315"/>
      <c r="D173" s="315"/>
      <c r="E173" s="433"/>
      <c r="F173" s="371"/>
      <c r="G173" s="373"/>
      <c r="H173" s="373"/>
      <c r="I173" s="63" t="str">
        <f t="shared" si="129"/>
        <v/>
      </c>
      <c r="J173" s="317">
        <f t="shared" si="130"/>
        <v>0</v>
      </c>
      <c r="K173" s="317">
        <f t="shared" si="131"/>
        <v>0</v>
      </c>
      <c r="L173" s="317">
        <f t="shared" si="132"/>
        <v>0</v>
      </c>
      <c r="M173" s="317">
        <f t="shared" si="133"/>
        <v>0</v>
      </c>
      <c r="N173" s="317">
        <f t="shared" si="168"/>
        <v>0</v>
      </c>
      <c r="O173" s="317">
        <f t="shared" si="169"/>
        <v>0</v>
      </c>
      <c r="P173" s="317">
        <f t="shared" si="134"/>
        <v>0</v>
      </c>
      <c r="Q173" s="317">
        <f t="shared" si="135"/>
        <v>0</v>
      </c>
      <c r="R173" s="317">
        <f t="shared" si="136"/>
        <v>0</v>
      </c>
      <c r="S173" s="317">
        <f t="shared" si="137"/>
        <v>0</v>
      </c>
      <c r="T173" s="317">
        <f t="shared" si="170"/>
        <v>0</v>
      </c>
      <c r="U173" s="317">
        <f t="shared" si="171"/>
        <v>0</v>
      </c>
      <c r="V173" s="317">
        <f t="shared" si="138"/>
        <v>0</v>
      </c>
      <c r="W173" s="317">
        <f t="shared" si="139"/>
        <v>0</v>
      </c>
      <c r="X173" s="317">
        <f t="shared" si="140"/>
        <v>0</v>
      </c>
      <c r="Y173" s="317">
        <f t="shared" si="141"/>
        <v>0</v>
      </c>
      <c r="Z173" s="317">
        <f t="shared" si="142"/>
        <v>0</v>
      </c>
      <c r="AA173" s="317">
        <f t="shared" si="143"/>
        <v>0</v>
      </c>
      <c r="AB173" s="317">
        <f t="shared" si="144"/>
        <v>0</v>
      </c>
      <c r="AC173" s="317">
        <f t="shared" si="145"/>
        <v>0</v>
      </c>
      <c r="AD173" s="317">
        <f t="shared" si="146"/>
        <v>0</v>
      </c>
      <c r="AE173" s="317">
        <f t="shared" si="147"/>
        <v>0</v>
      </c>
      <c r="AF173" s="317">
        <f t="shared" si="172"/>
        <v>0</v>
      </c>
      <c r="AG173" s="317">
        <f t="shared" si="173"/>
        <v>0</v>
      </c>
      <c r="AH173" s="317">
        <f t="shared" si="148"/>
        <v>0</v>
      </c>
      <c r="AI173" s="317">
        <f t="shared" si="149"/>
        <v>0</v>
      </c>
      <c r="AJ173" s="317">
        <f t="shared" si="150"/>
        <v>0</v>
      </c>
      <c r="AK173" s="317">
        <f t="shared" si="151"/>
        <v>0</v>
      </c>
      <c r="AL173" s="317">
        <f t="shared" si="152"/>
        <v>0</v>
      </c>
      <c r="AM173" s="317">
        <f t="shared" si="153"/>
        <v>0</v>
      </c>
      <c r="AN173" s="317">
        <f t="shared" si="154"/>
        <v>0</v>
      </c>
      <c r="AO173" s="317">
        <f t="shared" si="155"/>
        <v>0</v>
      </c>
      <c r="AP173" s="317">
        <f t="shared" si="156"/>
        <v>0</v>
      </c>
      <c r="AQ173" s="317">
        <f t="shared" si="157"/>
        <v>0</v>
      </c>
      <c r="AR173" s="317">
        <f t="shared" si="158"/>
        <v>0</v>
      </c>
      <c r="AS173" s="317">
        <f t="shared" si="159"/>
        <v>0</v>
      </c>
      <c r="AT173" s="317">
        <f t="shared" si="160"/>
        <v>0</v>
      </c>
      <c r="AU173" s="317">
        <f t="shared" si="161"/>
        <v>0</v>
      </c>
      <c r="AV173" s="317">
        <f t="shared" si="162"/>
        <v>0</v>
      </c>
      <c r="AW173" s="317">
        <f t="shared" si="163"/>
        <v>0</v>
      </c>
      <c r="AX173" s="317">
        <f t="shared" si="164"/>
        <v>0</v>
      </c>
      <c r="AY173" s="317">
        <f t="shared" si="165"/>
        <v>0</v>
      </c>
      <c r="AZ173" s="317">
        <f t="shared" si="166"/>
        <v>0</v>
      </c>
      <c r="BA173" s="317">
        <f t="shared" si="167"/>
        <v>0</v>
      </c>
    </row>
    <row r="174" spans="1:53" s="314" customFormat="1" ht="16.5" customHeight="1">
      <c r="A174" s="63" t="str">
        <f t="array" ref="A174">IF(C174&lt;&gt;0,SUM(($C$11:C174&lt;&gt;0)*1),"")</f>
        <v/>
      </c>
      <c r="B174" s="315"/>
      <c r="C174" s="315"/>
      <c r="D174" s="315"/>
      <c r="E174" s="433"/>
      <c r="F174" s="371"/>
      <c r="G174" s="373"/>
      <c r="H174" s="373"/>
      <c r="I174" s="63" t="str">
        <f t="shared" si="129"/>
        <v/>
      </c>
      <c r="J174" s="317">
        <f t="shared" si="130"/>
        <v>0</v>
      </c>
      <c r="K174" s="317">
        <f t="shared" si="131"/>
        <v>0</v>
      </c>
      <c r="L174" s="317">
        <f t="shared" si="132"/>
        <v>0</v>
      </c>
      <c r="M174" s="317">
        <f t="shared" si="133"/>
        <v>0</v>
      </c>
      <c r="N174" s="317">
        <f t="shared" si="168"/>
        <v>0</v>
      </c>
      <c r="O174" s="317">
        <f t="shared" si="169"/>
        <v>0</v>
      </c>
      <c r="P174" s="317">
        <f t="shared" si="134"/>
        <v>0</v>
      </c>
      <c r="Q174" s="317">
        <f t="shared" si="135"/>
        <v>0</v>
      </c>
      <c r="R174" s="317">
        <f t="shared" si="136"/>
        <v>0</v>
      </c>
      <c r="S174" s="317">
        <f t="shared" si="137"/>
        <v>0</v>
      </c>
      <c r="T174" s="317">
        <f t="shared" si="170"/>
        <v>0</v>
      </c>
      <c r="U174" s="317">
        <f t="shared" si="171"/>
        <v>0</v>
      </c>
      <c r="V174" s="317">
        <f t="shared" si="138"/>
        <v>0</v>
      </c>
      <c r="W174" s="317">
        <f t="shared" si="139"/>
        <v>0</v>
      </c>
      <c r="X174" s="317">
        <f t="shared" si="140"/>
        <v>0</v>
      </c>
      <c r="Y174" s="317">
        <f t="shared" si="141"/>
        <v>0</v>
      </c>
      <c r="Z174" s="317">
        <f t="shared" si="142"/>
        <v>0</v>
      </c>
      <c r="AA174" s="317">
        <f t="shared" si="143"/>
        <v>0</v>
      </c>
      <c r="AB174" s="317">
        <f t="shared" si="144"/>
        <v>0</v>
      </c>
      <c r="AC174" s="317">
        <f t="shared" si="145"/>
        <v>0</v>
      </c>
      <c r="AD174" s="317">
        <f t="shared" si="146"/>
        <v>0</v>
      </c>
      <c r="AE174" s="317">
        <f t="shared" si="147"/>
        <v>0</v>
      </c>
      <c r="AF174" s="317">
        <f t="shared" si="172"/>
        <v>0</v>
      </c>
      <c r="AG174" s="317">
        <f t="shared" si="173"/>
        <v>0</v>
      </c>
      <c r="AH174" s="317">
        <f t="shared" si="148"/>
        <v>0</v>
      </c>
      <c r="AI174" s="317">
        <f t="shared" si="149"/>
        <v>0</v>
      </c>
      <c r="AJ174" s="317">
        <f t="shared" si="150"/>
        <v>0</v>
      </c>
      <c r="AK174" s="317">
        <f t="shared" si="151"/>
        <v>0</v>
      </c>
      <c r="AL174" s="317">
        <f t="shared" si="152"/>
        <v>0</v>
      </c>
      <c r="AM174" s="317">
        <f t="shared" si="153"/>
        <v>0</v>
      </c>
      <c r="AN174" s="317">
        <f t="shared" si="154"/>
        <v>0</v>
      </c>
      <c r="AO174" s="317">
        <f t="shared" si="155"/>
        <v>0</v>
      </c>
      <c r="AP174" s="317">
        <f t="shared" si="156"/>
        <v>0</v>
      </c>
      <c r="AQ174" s="317">
        <f t="shared" si="157"/>
        <v>0</v>
      </c>
      <c r="AR174" s="317">
        <f t="shared" si="158"/>
        <v>0</v>
      </c>
      <c r="AS174" s="317">
        <f t="shared" si="159"/>
        <v>0</v>
      </c>
      <c r="AT174" s="317">
        <f t="shared" si="160"/>
        <v>0</v>
      </c>
      <c r="AU174" s="317">
        <f t="shared" si="161"/>
        <v>0</v>
      </c>
      <c r="AV174" s="317">
        <f t="shared" si="162"/>
        <v>0</v>
      </c>
      <c r="AW174" s="317">
        <f t="shared" si="163"/>
        <v>0</v>
      </c>
      <c r="AX174" s="317">
        <f t="shared" si="164"/>
        <v>0</v>
      </c>
      <c r="AY174" s="317">
        <f t="shared" si="165"/>
        <v>0</v>
      </c>
      <c r="AZ174" s="317">
        <f t="shared" si="166"/>
        <v>0</v>
      </c>
      <c r="BA174" s="317">
        <f t="shared" si="167"/>
        <v>0</v>
      </c>
    </row>
    <row r="175" spans="1:53" s="314" customFormat="1" ht="16.5" customHeight="1">
      <c r="A175" s="63" t="str">
        <f t="array" ref="A175">IF(C175&lt;&gt;0,SUM(($C$11:C175&lt;&gt;0)*1),"")</f>
        <v/>
      </c>
      <c r="B175" s="315"/>
      <c r="C175" s="315"/>
      <c r="D175" s="315"/>
      <c r="E175" s="433"/>
      <c r="F175" s="371"/>
      <c r="G175" s="373"/>
      <c r="H175" s="373"/>
      <c r="I175" s="63" t="str">
        <f t="shared" si="129"/>
        <v/>
      </c>
      <c r="J175" s="317">
        <f t="shared" si="130"/>
        <v>0</v>
      </c>
      <c r="K175" s="317">
        <f t="shared" si="131"/>
        <v>0</v>
      </c>
      <c r="L175" s="317">
        <f t="shared" si="132"/>
        <v>0</v>
      </c>
      <c r="M175" s="317">
        <f t="shared" si="133"/>
        <v>0</v>
      </c>
      <c r="N175" s="317">
        <f t="shared" si="168"/>
        <v>0</v>
      </c>
      <c r="O175" s="317">
        <f t="shared" si="169"/>
        <v>0</v>
      </c>
      <c r="P175" s="317">
        <f t="shared" si="134"/>
        <v>0</v>
      </c>
      <c r="Q175" s="317">
        <f t="shared" si="135"/>
        <v>0</v>
      </c>
      <c r="R175" s="317">
        <f t="shared" si="136"/>
        <v>0</v>
      </c>
      <c r="S175" s="317">
        <f t="shared" si="137"/>
        <v>0</v>
      </c>
      <c r="T175" s="317">
        <f t="shared" si="170"/>
        <v>0</v>
      </c>
      <c r="U175" s="317">
        <f t="shared" si="171"/>
        <v>0</v>
      </c>
      <c r="V175" s="317">
        <f t="shared" si="138"/>
        <v>0</v>
      </c>
      <c r="W175" s="317">
        <f t="shared" si="139"/>
        <v>0</v>
      </c>
      <c r="X175" s="317">
        <f t="shared" si="140"/>
        <v>0</v>
      </c>
      <c r="Y175" s="317">
        <f t="shared" si="141"/>
        <v>0</v>
      </c>
      <c r="Z175" s="317">
        <f t="shared" si="142"/>
        <v>0</v>
      </c>
      <c r="AA175" s="317">
        <f t="shared" si="143"/>
        <v>0</v>
      </c>
      <c r="AB175" s="317">
        <f t="shared" si="144"/>
        <v>0</v>
      </c>
      <c r="AC175" s="317">
        <f t="shared" si="145"/>
        <v>0</v>
      </c>
      <c r="AD175" s="317">
        <f t="shared" si="146"/>
        <v>0</v>
      </c>
      <c r="AE175" s="317">
        <f t="shared" si="147"/>
        <v>0</v>
      </c>
      <c r="AF175" s="317">
        <f t="shared" si="172"/>
        <v>0</v>
      </c>
      <c r="AG175" s="317">
        <f t="shared" si="173"/>
        <v>0</v>
      </c>
      <c r="AH175" s="317">
        <f t="shared" si="148"/>
        <v>0</v>
      </c>
      <c r="AI175" s="317">
        <f t="shared" si="149"/>
        <v>0</v>
      </c>
      <c r="AJ175" s="317">
        <f t="shared" si="150"/>
        <v>0</v>
      </c>
      <c r="AK175" s="317">
        <f t="shared" si="151"/>
        <v>0</v>
      </c>
      <c r="AL175" s="317">
        <f t="shared" si="152"/>
        <v>0</v>
      </c>
      <c r="AM175" s="317">
        <f t="shared" si="153"/>
        <v>0</v>
      </c>
      <c r="AN175" s="317">
        <f t="shared" si="154"/>
        <v>0</v>
      </c>
      <c r="AO175" s="317">
        <f t="shared" si="155"/>
        <v>0</v>
      </c>
      <c r="AP175" s="317">
        <f t="shared" si="156"/>
        <v>0</v>
      </c>
      <c r="AQ175" s="317">
        <f t="shared" si="157"/>
        <v>0</v>
      </c>
      <c r="AR175" s="317">
        <f t="shared" si="158"/>
        <v>0</v>
      </c>
      <c r="AS175" s="317">
        <f t="shared" si="159"/>
        <v>0</v>
      </c>
      <c r="AT175" s="317">
        <f t="shared" si="160"/>
        <v>0</v>
      </c>
      <c r="AU175" s="317">
        <f t="shared" si="161"/>
        <v>0</v>
      </c>
      <c r="AV175" s="317">
        <f t="shared" si="162"/>
        <v>0</v>
      </c>
      <c r="AW175" s="317">
        <f t="shared" si="163"/>
        <v>0</v>
      </c>
      <c r="AX175" s="317">
        <f t="shared" si="164"/>
        <v>0</v>
      </c>
      <c r="AY175" s="317">
        <f t="shared" si="165"/>
        <v>0</v>
      </c>
      <c r="AZ175" s="317">
        <f t="shared" si="166"/>
        <v>0</v>
      </c>
      <c r="BA175" s="317">
        <f t="shared" si="167"/>
        <v>0</v>
      </c>
    </row>
    <row r="176" spans="1:53" s="314" customFormat="1" ht="16.5" customHeight="1">
      <c r="A176" s="63" t="str">
        <f t="array" ref="A176">IF(C176&lt;&gt;0,SUM(($C$11:C176&lt;&gt;0)*1),"")</f>
        <v/>
      </c>
      <c r="B176" s="315"/>
      <c r="C176" s="315"/>
      <c r="D176" s="315"/>
      <c r="E176" s="433"/>
      <c r="F176" s="371"/>
      <c r="G176" s="373"/>
      <c r="H176" s="373"/>
      <c r="I176" s="63" t="str">
        <f t="shared" si="129"/>
        <v/>
      </c>
      <c r="J176" s="317">
        <f t="shared" si="130"/>
        <v>0</v>
      </c>
      <c r="K176" s="317">
        <f t="shared" si="131"/>
        <v>0</v>
      </c>
      <c r="L176" s="317">
        <f t="shared" si="132"/>
        <v>0</v>
      </c>
      <c r="M176" s="317">
        <f t="shared" si="133"/>
        <v>0</v>
      </c>
      <c r="N176" s="317">
        <f t="shared" si="168"/>
        <v>0</v>
      </c>
      <c r="O176" s="317">
        <f t="shared" si="169"/>
        <v>0</v>
      </c>
      <c r="P176" s="317">
        <f t="shared" si="134"/>
        <v>0</v>
      </c>
      <c r="Q176" s="317">
        <f t="shared" si="135"/>
        <v>0</v>
      </c>
      <c r="R176" s="317">
        <f t="shared" si="136"/>
        <v>0</v>
      </c>
      <c r="S176" s="317">
        <f t="shared" si="137"/>
        <v>0</v>
      </c>
      <c r="T176" s="317">
        <f t="shared" si="170"/>
        <v>0</v>
      </c>
      <c r="U176" s="317">
        <f t="shared" si="171"/>
        <v>0</v>
      </c>
      <c r="V176" s="317">
        <f t="shared" si="138"/>
        <v>0</v>
      </c>
      <c r="W176" s="317">
        <f t="shared" si="139"/>
        <v>0</v>
      </c>
      <c r="X176" s="317">
        <f t="shared" si="140"/>
        <v>0</v>
      </c>
      <c r="Y176" s="317">
        <f t="shared" si="141"/>
        <v>0</v>
      </c>
      <c r="Z176" s="317">
        <f t="shared" si="142"/>
        <v>0</v>
      </c>
      <c r="AA176" s="317">
        <f t="shared" si="143"/>
        <v>0</v>
      </c>
      <c r="AB176" s="317">
        <f t="shared" si="144"/>
        <v>0</v>
      </c>
      <c r="AC176" s="317">
        <f t="shared" si="145"/>
        <v>0</v>
      </c>
      <c r="AD176" s="317">
        <f t="shared" si="146"/>
        <v>0</v>
      </c>
      <c r="AE176" s="317">
        <f t="shared" si="147"/>
        <v>0</v>
      </c>
      <c r="AF176" s="317">
        <f t="shared" si="172"/>
        <v>0</v>
      </c>
      <c r="AG176" s="317">
        <f t="shared" si="173"/>
        <v>0</v>
      </c>
      <c r="AH176" s="317">
        <f t="shared" si="148"/>
        <v>0</v>
      </c>
      <c r="AI176" s="317">
        <f t="shared" si="149"/>
        <v>0</v>
      </c>
      <c r="AJ176" s="317">
        <f t="shared" si="150"/>
        <v>0</v>
      </c>
      <c r="AK176" s="317">
        <f t="shared" si="151"/>
        <v>0</v>
      </c>
      <c r="AL176" s="317">
        <f t="shared" si="152"/>
        <v>0</v>
      </c>
      <c r="AM176" s="317">
        <f t="shared" si="153"/>
        <v>0</v>
      </c>
      <c r="AN176" s="317">
        <f t="shared" si="154"/>
        <v>0</v>
      </c>
      <c r="AO176" s="317">
        <f t="shared" si="155"/>
        <v>0</v>
      </c>
      <c r="AP176" s="317">
        <f t="shared" si="156"/>
        <v>0</v>
      </c>
      <c r="AQ176" s="317">
        <f t="shared" si="157"/>
        <v>0</v>
      </c>
      <c r="AR176" s="317">
        <f t="shared" si="158"/>
        <v>0</v>
      </c>
      <c r="AS176" s="317">
        <f t="shared" si="159"/>
        <v>0</v>
      </c>
      <c r="AT176" s="317">
        <f t="shared" si="160"/>
        <v>0</v>
      </c>
      <c r="AU176" s="317">
        <f t="shared" si="161"/>
        <v>0</v>
      </c>
      <c r="AV176" s="317">
        <f t="shared" si="162"/>
        <v>0</v>
      </c>
      <c r="AW176" s="317">
        <f t="shared" si="163"/>
        <v>0</v>
      </c>
      <c r="AX176" s="317">
        <f t="shared" si="164"/>
        <v>0</v>
      </c>
      <c r="AY176" s="317">
        <f t="shared" si="165"/>
        <v>0</v>
      </c>
      <c r="AZ176" s="317">
        <f t="shared" si="166"/>
        <v>0</v>
      </c>
      <c r="BA176" s="317">
        <f t="shared" si="167"/>
        <v>0</v>
      </c>
    </row>
    <row r="177" spans="1:53" s="314" customFormat="1" ht="16.5" customHeight="1">
      <c r="A177" s="63" t="str">
        <f t="array" ref="A177">IF(C177&lt;&gt;0,SUM(($C$11:C177&lt;&gt;0)*1),"")</f>
        <v/>
      </c>
      <c r="B177" s="315"/>
      <c r="C177" s="315"/>
      <c r="D177" s="315"/>
      <c r="E177" s="433"/>
      <c r="F177" s="371"/>
      <c r="G177" s="373"/>
      <c r="H177" s="373"/>
      <c r="I177" s="63" t="str">
        <f t="shared" si="129"/>
        <v/>
      </c>
      <c r="J177" s="317">
        <f t="shared" si="130"/>
        <v>0</v>
      </c>
      <c r="K177" s="317">
        <f t="shared" si="131"/>
        <v>0</v>
      </c>
      <c r="L177" s="317">
        <f t="shared" si="132"/>
        <v>0</v>
      </c>
      <c r="M177" s="317">
        <f t="shared" si="133"/>
        <v>0</v>
      </c>
      <c r="N177" s="317">
        <f t="shared" si="168"/>
        <v>0</v>
      </c>
      <c r="O177" s="317">
        <f t="shared" si="169"/>
        <v>0</v>
      </c>
      <c r="P177" s="317">
        <f t="shared" si="134"/>
        <v>0</v>
      </c>
      <c r="Q177" s="317">
        <f t="shared" si="135"/>
        <v>0</v>
      </c>
      <c r="R177" s="317">
        <f t="shared" si="136"/>
        <v>0</v>
      </c>
      <c r="S177" s="317">
        <f t="shared" si="137"/>
        <v>0</v>
      </c>
      <c r="T177" s="317">
        <f t="shared" si="170"/>
        <v>0</v>
      </c>
      <c r="U177" s="317">
        <f t="shared" si="171"/>
        <v>0</v>
      </c>
      <c r="V177" s="317">
        <f t="shared" si="138"/>
        <v>0</v>
      </c>
      <c r="W177" s="317">
        <f t="shared" si="139"/>
        <v>0</v>
      </c>
      <c r="X177" s="317">
        <f t="shared" si="140"/>
        <v>0</v>
      </c>
      <c r="Y177" s="317">
        <f t="shared" si="141"/>
        <v>0</v>
      </c>
      <c r="Z177" s="317">
        <f t="shared" si="142"/>
        <v>0</v>
      </c>
      <c r="AA177" s="317">
        <f t="shared" si="143"/>
        <v>0</v>
      </c>
      <c r="AB177" s="317">
        <f t="shared" si="144"/>
        <v>0</v>
      </c>
      <c r="AC177" s="317">
        <f t="shared" si="145"/>
        <v>0</v>
      </c>
      <c r="AD177" s="317">
        <f t="shared" si="146"/>
        <v>0</v>
      </c>
      <c r="AE177" s="317">
        <f t="shared" si="147"/>
        <v>0</v>
      </c>
      <c r="AF177" s="317">
        <f t="shared" si="172"/>
        <v>0</v>
      </c>
      <c r="AG177" s="317">
        <f t="shared" si="173"/>
        <v>0</v>
      </c>
      <c r="AH177" s="317">
        <f t="shared" si="148"/>
        <v>0</v>
      </c>
      <c r="AI177" s="317">
        <f t="shared" si="149"/>
        <v>0</v>
      </c>
      <c r="AJ177" s="317">
        <f t="shared" si="150"/>
        <v>0</v>
      </c>
      <c r="AK177" s="317">
        <f t="shared" si="151"/>
        <v>0</v>
      </c>
      <c r="AL177" s="317">
        <f t="shared" si="152"/>
        <v>0</v>
      </c>
      <c r="AM177" s="317">
        <f t="shared" si="153"/>
        <v>0</v>
      </c>
      <c r="AN177" s="317">
        <f t="shared" si="154"/>
        <v>0</v>
      </c>
      <c r="AO177" s="317">
        <f t="shared" si="155"/>
        <v>0</v>
      </c>
      <c r="AP177" s="317">
        <f t="shared" si="156"/>
        <v>0</v>
      </c>
      <c r="AQ177" s="317">
        <f t="shared" si="157"/>
        <v>0</v>
      </c>
      <c r="AR177" s="317">
        <f t="shared" si="158"/>
        <v>0</v>
      </c>
      <c r="AS177" s="317">
        <f t="shared" si="159"/>
        <v>0</v>
      </c>
      <c r="AT177" s="317">
        <f t="shared" si="160"/>
        <v>0</v>
      </c>
      <c r="AU177" s="317">
        <f t="shared" si="161"/>
        <v>0</v>
      </c>
      <c r="AV177" s="317">
        <f t="shared" si="162"/>
        <v>0</v>
      </c>
      <c r="AW177" s="317">
        <f t="shared" si="163"/>
        <v>0</v>
      </c>
      <c r="AX177" s="317">
        <f t="shared" si="164"/>
        <v>0</v>
      </c>
      <c r="AY177" s="317">
        <f t="shared" si="165"/>
        <v>0</v>
      </c>
      <c r="AZ177" s="317">
        <f t="shared" si="166"/>
        <v>0</v>
      </c>
      <c r="BA177" s="317">
        <f t="shared" si="167"/>
        <v>0</v>
      </c>
    </row>
    <row r="178" spans="1:53" s="314" customFormat="1" ht="16.5" customHeight="1">
      <c r="A178" s="63" t="str">
        <f t="array" ref="A178">IF(C178&lt;&gt;0,SUM(($C$11:C178&lt;&gt;0)*1),"")</f>
        <v/>
      </c>
      <c r="B178" s="315"/>
      <c r="C178" s="315"/>
      <c r="D178" s="315"/>
      <c r="E178" s="433"/>
      <c r="F178" s="371"/>
      <c r="G178" s="373"/>
      <c r="H178" s="373"/>
      <c r="I178" s="63" t="str">
        <f t="shared" si="129"/>
        <v/>
      </c>
      <c r="J178" s="317">
        <f t="shared" si="130"/>
        <v>0</v>
      </c>
      <c r="K178" s="317">
        <f t="shared" si="131"/>
        <v>0</v>
      </c>
      <c r="L178" s="317">
        <f t="shared" si="132"/>
        <v>0</v>
      </c>
      <c r="M178" s="317">
        <f t="shared" si="133"/>
        <v>0</v>
      </c>
      <c r="N178" s="317">
        <f t="shared" si="168"/>
        <v>0</v>
      </c>
      <c r="O178" s="317">
        <f t="shared" si="169"/>
        <v>0</v>
      </c>
      <c r="P178" s="317">
        <f t="shared" si="134"/>
        <v>0</v>
      </c>
      <c r="Q178" s="317">
        <f t="shared" si="135"/>
        <v>0</v>
      </c>
      <c r="R178" s="317">
        <f t="shared" si="136"/>
        <v>0</v>
      </c>
      <c r="S178" s="317">
        <f t="shared" si="137"/>
        <v>0</v>
      </c>
      <c r="T178" s="317">
        <f t="shared" si="170"/>
        <v>0</v>
      </c>
      <c r="U178" s="317">
        <f t="shared" si="171"/>
        <v>0</v>
      </c>
      <c r="V178" s="317">
        <f t="shared" si="138"/>
        <v>0</v>
      </c>
      <c r="W178" s="317">
        <f t="shared" si="139"/>
        <v>0</v>
      </c>
      <c r="X178" s="317">
        <f t="shared" si="140"/>
        <v>0</v>
      </c>
      <c r="Y178" s="317">
        <f t="shared" si="141"/>
        <v>0</v>
      </c>
      <c r="Z178" s="317">
        <f t="shared" si="142"/>
        <v>0</v>
      </c>
      <c r="AA178" s="317">
        <f t="shared" si="143"/>
        <v>0</v>
      </c>
      <c r="AB178" s="317">
        <f t="shared" si="144"/>
        <v>0</v>
      </c>
      <c r="AC178" s="317">
        <f t="shared" si="145"/>
        <v>0</v>
      </c>
      <c r="AD178" s="317">
        <f t="shared" si="146"/>
        <v>0</v>
      </c>
      <c r="AE178" s="317">
        <f t="shared" si="147"/>
        <v>0</v>
      </c>
      <c r="AF178" s="317">
        <f t="shared" si="172"/>
        <v>0</v>
      </c>
      <c r="AG178" s="317">
        <f t="shared" si="173"/>
        <v>0</v>
      </c>
      <c r="AH178" s="317">
        <f t="shared" si="148"/>
        <v>0</v>
      </c>
      <c r="AI178" s="317">
        <f t="shared" si="149"/>
        <v>0</v>
      </c>
      <c r="AJ178" s="317">
        <f t="shared" si="150"/>
        <v>0</v>
      </c>
      <c r="AK178" s="317">
        <f t="shared" si="151"/>
        <v>0</v>
      </c>
      <c r="AL178" s="317">
        <f t="shared" si="152"/>
        <v>0</v>
      </c>
      <c r="AM178" s="317">
        <f t="shared" si="153"/>
        <v>0</v>
      </c>
      <c r="AN178" s="317">
        <f t="shared" si="154"/>
        <v>0</v>
      </c>
      <c r="AO178" s="317">
        <f t="shared" si="155"/>
        <v>0</v>
      </c>
      <c r="AP178" s="317">
        <f t="shared" si="156"/>
        <v>0</v>
      </c>
      <c r="AQ178" s="317">
        <f t="shared" si="157"/>
        <v>0</v>
      </c>
      <c r="AR178" s="317">
        <f t="shared" si="158"/>
        <v>0</v>
      </c>
      <c r="AS178" s="317">
        <f t="shared" si="159"/>
        <v>0</v>
      </c>
      <c r="AT178" s="317">
        <f t="shared" si="160"/>
        <v>0</v>
      </c>
      <c r="AU178" s="317">
        <f t="shared" si="161"/>
        <v>0</v>
      </c>
      <c r="AV178" s="317">
        <f t="shared" si="162"/>
        <v>0</v>
      </c>
      <c r="AW178" s="317">
        <f t="shared" si="163"/>
        <v>0</v>
      </c>
      <c r="AX178" s="317">
        <f t="shared" si="164"/>
        <v>0</v>
      </c>
      <c r="AY178" s="317">
        <f t="shared" si="165"/>
        <v>0</v>
      </c>
      <c r="AZ178" s="317">
        <f t="shared" si="166"/>
        <v>0</v>
      </c>
      <c r="BA178" s="317">
        <f t="shared" si="167"/>
        <v>0</v>
      </c>
    </row>
    <row r="179" spans="1:53" s="314" customFormat="1" ht="16.5" customHeight="1">
      <c r="A179" s="63" t="str">
        <f t="array" ref="A179">IF(C179&lt;&gt;0,SUM(($C$11:C179&lt;&gt;0)*1),"")</f>
        <v/>
      </c>
      <c r="B179" s="315"/>
      <c r="C179" s="315"/>
      <c r="D179" s="315"/>
      <c r="E179" s="433"/>
      <c r="F179" s="371"/>
      <c r="G179" s="373"/>
      <c r="H179" s="373"/>
      <c r="I179" s="63" t="str">
        <f t="shared" si="129"/>
        <v/>
      </c>
      <c r="J179" s="317">
        <f t="shared" si="130"/>
        <v>0</v>
      </c>
      <c r="K179" s="317">
        <f t="shared" si="131"/>
        <v>0</v>
      </c>
      <c r="L179" s="317">
        <f t="shared" si="132"/>
        <v>0</v>
      </c>
      <c r="M179" s="317">
        <f t="shared" si="133"/>
        <v>0</v>
      </c>
      <c r="N179" s="317">
        <f t="shared" si="168"/>
        <v>0</v>
      </c>
      <c r="O179" s="317">
        <f t="shared" si="169"/>
        <v>0</v>
      </c>
      <c r="P179" s="317">
        <f t="shared" si="134"/>
        <v>0</v>
      </c>
      <c r="Q179" s="317">
        <f t="shared" si="135"/>
        <v>0</v>
      </c>
      <c r="R179" s="317">
        <f t="shared" si="136"/>
        <v>0</v>
      </c>
      <c r="S179" s="317">
        <f t="shared" si="137"/>
        <v>0</v>
      </c>
      <c r="T179" s="317">
        <f t="shared" si="170"/>
        <v>0</v>
      </c>
      <c r="U179" s="317">
        <f t="shared" si="171"/>
        <v>0</v>
      </c>
      <c r="V179" s="317">
        <f t="shared" si="138"/>
        <v>0</v>
      </c>
      <c r="W179" s="317">
        <f t="shared" si="139"/>
        <v>0</v>
      </c>
      <c r="X179" s="317">
        <f t="shared" si="140"/>
        <v>0</v>
      </c>
      <c r="Y179" s="317">
        <f t="shared" si="141"/>
        <v>0</v>
      </c>
      <c r="Z179" s="317">
        <f t="shared" si="142"/>
        <v>0</v>
      </c>
      <c r="AA179" s="317">
        <f t="shared" si="143"/>
        <v>0</v>
      </c>
      <c r="AB179" s="317">
        <f t="shared" si="144"/>
        <v>0</v>
      </c>
      <c r="AC179" s="317">
        <f t="shared" si="145"/>
        <v>0</v>
      </c>
      <c r="AD179" s="317">
        <f t="shared" si="146"/>
        <v>0</v>
      </c>
      <c r="AE179" s="317">
        <f t="shared" si="147"/>
        <v>0</v>
      </c>
      <c r="AF179" s="317">
        <f t="shared" si="172"/>
        <v>0</v>
      </c>
      <c r="AG179" s="317">
        <f t="shared" si="173"/>
        <v>0</v>
      </c>
      <c r="AH179" s="317">
        <f t="shared" si="148"/>
        <v>0</v>
      </c>
      <c r="AI179" s="317">
        <f t="shared" si="149"/>
        <v>0</v>
      </c>
      <c r="AJ179" s="317">
        <f t="shared" si="150"/>
        <v>0</v>
      </c>
      <c r="AK179" s="317">
        <f t="shared" si="151"/>
        <v>0</v>
      </c>
      <c r="AL179" s="317">
        <f t="shared" si="152"/>
        <v>0</v>
      </c>
      <c r="AM179" s="317">
        <f t="shared" si="153"/>
        <v>0</v>
      </c>
      <c r="AN179" s="317">
        <f t="shared" si="154"/>
        <v>0</v>
      </c>
      <c r="AO179" s="317">
        <f t="shared" si="155"/>
        <v>0</v>
      </c>
      <c r="AP179" s="317">
        <f t="shared" si="156"/>
        <v>0</v>
      </c>
      <c r="AQ179" s="317">
        <f t="shared" si="157"/>
        <v>0</v>
      </c>
      <c r="AR179" s="317">
        <f t="shared" si="158"/>
        <v>0</v>
      </c>
      <c r="AS179" s="317">
        <f t="shared" si="159"/>
        <v>0</v>
      </c>
      <c r="AT179" s="317">
        <f t="shared" si="160"/>
        <v>0</v>
      </c>
      <c r="AU179" s="317">
        <f t="shared" si="161"/>
        <v>0</v>
      </c>
      <c r="AV179" s="317">
        <f t="shared" si="162"/>
        <v>0</v>
      </c>
      <c r="AW179" s="317">
        <f t="shared" si="163"/>
        <v>0</v>
      </c>
      <c r="AX179" s="317">
        <f t="shared" si="164"/>
        <v>0</v>
      </c>
      <c r="AY179" s="317">
        <f t="shared" si="165"/>
        <v>0</v>
      </c>
      <c r="AZ179" s="317">
        <f t="shared" si="166"/>
        <v>0</v>
      </c>
      <c r="BA179" s="317">
        <f t="shared" si="167"/>
        <v>0</v>
      </c>
    </row>
    <row r="180" spans="1:53" s="314" customFormat="1" ht="16.5" customHeight="1">
      <c r="A180" s="63" t="str">
        <f t="array" ref="A180">IF(C180&lt;&gt;0,SUM(($C$11:C180&lt;&gt;0)*1),"")</f>
        <v/>
      </c>
      <c r="B180" s="315"/>
      <c r="C180" s="315"/>
      <c r="D180" s="315"/>
      <c r="E180" s="433"/>
      <c r="F180" s="371"/>
      <c r="G180" s="373"/>
      <c r="H180" s="373"/>
      <c r="I180" s="63" t="str">
        <f t="shared" si="129"/>
        <v/>
      </c>
      <c r="J180" s="317">
        <f t="shared" si="130"/>
        <v>0</v>
      </c>
      <c r="K180" s="317">
        <f t="shared" si="131"/>
        <v>0</v>
      </c>
      <c r="L180" s="317">
        <f t="shared" si="132"/>
        <v>0</v>
      </c>
      <c r="M180" s="317">
        <f t="shared" si="133"/>
        <v>0</v>
      </c>
      <c r="N180" s="317">
        <f t="shared" si="168"/>
        <v>0</v>
      </c>
      <c r="O180" s="317">
        <f t="shared" si="169"/>
        <v>0</v>
      </c>
      <c r="P180" s="317">
        <f t="shared" si="134"/>
        <v>0</v>
      </c>
      <c r="Q180" s="317">
        <f t="shared" si="135"/>
        <v>0</v>
      </c>
      <c r="R180" s="317">
        <f t="shared" si="136"/>
        <v>0</v>
      </c>
      <c r="S180" s="317">
        <f t="shared" si="137"/>
        <v>0</v>
      </c>
      <c r="T180" s="317">
        <f t="shared" si="170"/>
        <v>0</v>
      </c>
      <c r="U180" s="317">
        <f t="shared" si="171"/>
        <v>0</v>
      </c>
      <c r="V180" s="317">
        <f t="shared" si="138"/>
        <v>0</v>
      </c>
      <c r="W180" s="317">
        <f t="shared" si="139"/>
        <v>0</v>
      </c>
      <c r="X180" s="317">
        <f t="shared" si="140"/>
        <v>0</v>
      </c>
      <c r="Y180" s="317">
        <f t="shared" si="141"/>
        <v>0</v>
      </c>
      <c r="Z180" s="317">
        <f t="shared" si="142"/>
        <v>0</v>
      </c>
      <c r="AA180" s="317">
        <f t="shared" si="143"/>
        <v>0</v>
      </c>
      <c r="AB180" s="317">
        <f t="shared" si="144"/>
        <v>0</v>
      </c>
      <c r="AC180" s="317">
        <f t="shared" si="145"/>
        <v>0</v>
      </c>
      <c r="AD180" s="317">
        <f t="shared" si="146"/>
        <v>0</v>
      </c>
      <c r="AE180" s="317">
        <f t="shared" si="147"/>
        <v>0</v>
      </c>
      <c r="AF180" s="317">
        <f t="shared" si="172"/>
        <v>0</v>
      </c>
      <c r="AG180" s="317">
        <f t="shared" si="173"/>
        <v>0</v>
      </c>
      <c r="AH180" s="317">
        <f t="shared" si="148"/>
        <v>0</v>
      </c>
      <c r="AI180" s="317">
        <f t="shared" si="149"/>
        <v>0</v>
      </c>
      <c r="AJ180" s="317">
        <f t="shared" si="150"/>
        <v>0</v>
      </c>
      <c r="AK180" s="317">
        <f t="shared" si="151"/>
        <v>0</v>
      </c>
      <c r="AL180" s="317">
        <f t="shared" si="152"/>
        <v>0</v>
      </c>
      <c r="AM180" s="317">
        <f t="shared" si="153"/>
        <v>0</v>
      </c>
      <c r="AN180" s="317">
        <f t="shared" si="154"/>
        <v>0</v>
      </c>
      <c r="AO180" s="317">
        <f t="shared" si="155"/>
        <v>0</v>
      </c>
      <c r="AP180" s="317">
        <f t="shared" si="156"/>
        <v>0</v>
      </c>
      <c r="AQ180" s="317">
        <f t="shared" si="157"/>
        <v>0</v>
      </c>
      <c r="AR180" s="317">
        <f t="shared" si="158"/>
        <v>0</v>
      </c>
      <c r="AS180" s="317">
        <f t="shared" si="159"/>
        <v>0</v>
      </c>
      <c r="AT180" s="317">
        <f t="shared" si="160"/>
        <v>0</v>
      </c>
      <c r="AU180" s="317">
        <f t="shared" si="161"/>
        <v>0</v>
      </c>
      <c r="AV180" s="317">
        <f t="shared" si="162"/>
        <v>0</v>
      </c>
      <c r="AW180" s="317">
        <f t="shared" si="163"/>
        <v>0</v>
      </c>
      <c r="AX180" s="317">
        <f t="shared" si="164"/>
        <v>0</v>
      </c>
      <c r="AY180" s="317">
        <f t="shared" si="165"/>
        <v>0</v>
      </c>
      <c r="AZ180" s="317">
        <f t="shared" si="166"/>
        <v>0</v>
      </c>
      <c r="BA180" s="317">
        <f t="shared" si="167"/>
        <v>0</v>
      </c>
    </row>
    <row r="181" spans="1:53" s="314" customFormat="1" ht="16.5" customHeight="1">
      <c r="A181" s="63" t="str">
        <f t="array" ref="A181">IF(C181&lt;&gt;0,SUM(($C$11:C181&lt;&gt;0)*1),"")</f>
        <v/>
      </c>
      <c r="B181" s="315"/>
      <c r="C181" s="315"/>
      <c r="D181" s="315"/>
      <c r="E181" s="433"/>
      <c r="F181" s="371"/>
      <c r="G181" s="373"/>
      <c r="H181" s="373"/>
      <c r="I181" s="63" t="str">
        <f t="shared" si="129"/>
        <v/>
      </c>
      <c r="J181" s="317">
        <f t="shared" si="130"/>
        <v>0</v>
      </c>
      <c r="K181" s="317">
        <f t="shared" si="131"/>
        <v>0</v>
      </c>
      <c r="L181" s="317">
        <f t="shared" si="132"/>
        <v>0</v>
      </c>
      <c r="M181" s="317">
        <f t="shared" si="133"/>
        <v>0</v>
      </c>
      <c r="N181" s="317">
        <f t="shared" si="168"/>
        <v>0</v>
      </c>
      <c r="O181" s="317">
        <f t="shared" si="169"/>
        <v>0</v>
      </c>
      <c r="P181" s="317">
        <f t="shared" si="134"/>
        <v>0</v>
      </c>
      <c r="Q181" s="317">
        <f t="shared" si="135"/>
        <v>0</v>
      </c>
      <c r="R181" s="317">
        <f t="shared" si="136"/>
        <v>0</v>
      </c>
      <c r="S181" s="317">
        <f t="shared" si="137"/>
        <v>0</v>
      </c>
      <c r="T181" s="317">
        <f t="shared" si="170"/>
        <v>0</v>
      </c>
      <c r="U181" s="317">
        <f t="shared" si="171"/>
        <v>0</v>
      </c>
      <c r="V181" s="317">
        <f t="shared" si="138"/>
        <v>0</v>
      </c>
      <c r="W181" s="317">
        <f t="shared" si="139"/>
        <v>0</v>
      </c>
      <c r="X181" s="317">
        <f t="shared" si="140"/>
        <v>0</v>
      </c>
      <c r="Y181" s="317">
        <f t="shared" si="141"/>
        <v>0</v>
      </c>
      <c r="Z181" s="317">
        <f t="shared" si="142"/>
        <v>0</v>
      </c>
      <c r="AA181" s="317">
        <f t="shared" si="143"/>
        <v>0</v>
      </c>
      <c r="AB181" s="317">
        <f t="shared" si="144"/>
        <v>0</v>
      </c>
      <c r="AC181" s="317">
        <f t="shared" si="145"/>
        <v>0</v>
      </c>
      <c r="AD181" s="317">
        <f t="shared" si="146"/>
        <v>0</v>
      </c>
      <c r="AE181" s="317">
        <f t="shared" si="147"/>
        <v>0</v>
      </c>
      <c r="AF181" s="317">
        <f t="shared" si="172"/>
        <v>0</v>
      </c>
      <c r="AG181" s="317">
        <f t="shared" si="173"/>
        <v>0</v>
      </c>
      <c r="AH181" s="317">
        <f t="shared" si="148"/>
        <v>0</v>
      </c>
      <c r="AI181" s="317">
        <f t="shared" si="149"/>
        <v>0</v>
      </c>
      <c r="AJ181" s="317">
        <f t="shared" si="150"/>
        <v>0</v>
      </c>
      <c r="AK181" s="317">
        <f t="shared" si="151"/>
        <v>0</v>
      </c>
      <c r="AL181" s="317">
        <f t="shared" si="152"/>
        <v>0</v>
      </c>
      <c r="AM181" s="317">
        <f t="shared" si="153"/>
        <v>0</v>
      </c>
      <c r="AN181" s="317">
        <f t="shared" si="154"/>
        <v>0</v>
      </c>
      <c r="AO181" s="317">
        <f t="shared" si="155"/>
        <v>0</v>
      </c>
      <c r="AP181" s="317">
        <f t="shared" si="156"/>
        <v>0</v>
      </c>
      <c r="AQ181" s="317">
        <f t="shared" si="157"/>
        <v>0</v>
      </c>
      <c r="AR181" s="317">
        <f t="shared" si="158"/>
        <v>0</v>
      </c>
      <c r="AS181" s="317">
        <f t="shared" si="159"/>
        <v>0</v>
      </c>
      <c r="AT181" s="317">
        <f t="shared" si="160"/>
        <v>0</v>
      </c>
      <c r="AU181" s="317">
        <f t="shared" si="161"/>
        <v>0</v>
      </c>
      <c r="AV181" s="317">
        <f t="shared" si="162"/>
        <v>0</v>
      </c>
      <c r="AW181" s="317">
        <f t="shared" si="163"/>
        <v>0</v>
      </c>
      <c r="AX181" s="317">
        <f t="shared" si="164"/>
        <v>0</v>
      </c>
      <c r="AY181" s="317">
        <f t="shared" si="165"/>
        <v>0</v>
      </c>
      <c r="AZ181" s="317">
        <f t="shared" si="166"/>
        <v>0</v>
      </c>
      <c r="BA181" s="317">
        <f t="shared" si="167"/>
        <v>0</v>
      </c>
    </row>
    <row r="182" spans="1:53" s="314" customFormat="1" ht="16.5" customHeight="1">
      <c r="A182" s="63" t="str">
        <f t="array" ref="A182">IF(C182&lt;&gt;0,SUM(($C$11:C182&lt;&gt;0)*1),"")</f>
        <v/>
      </c>
      <c r="B182" s="315"/>
      <c r="C182" s="315"/>
      <c r="D182" s="315"/>
      <c r="E182" s="433"/>
      <c r="F182" s="371"/>
      <c r="G182" s="373"/>
      <c r="H182" s="373"/>
      <c r="I182" s="63" t="str">
        <f t="shared" si="129"/>
        <v/>
      </c>
      <c r="J182" s="317">
        <f t="shared" si="130"/>
        <v>0</v>
      </c>
      <c r="K182" s="317">
        <f t="shared" si="131"/>
        <v>0</v>
      </c>
      <c r="L182" s="317">
        <f t="shared" si="132"/>
        <v>0</v>
      </c>
      <c r="M182" s="317">
        <f t="shared" si="133"/>
        <v>0</v>
      </c>
      <c r="N182" s="317">
        <f t="shared" si="168"/>
        <v>0</v>
      </c>
      <c r="O182" s="317">
        <f t="shared" si="169"/>
        <v>0</v>
      </c>
      <c r="P182" s="317">
        <f t="shared" si="134"/>
        <v>0</v>
      </c>
      <c r="Q182" s="317">
        <f t="shared" si="135"/>
        <v>0</v>
      </c>
      <c r="R182" s="317">
        <f t="shared" si="136"/>
        <v>0</v>
      </c>
      <c r="S182" s="317">
        <f t="shared" si="137"/>
        <v>0</v>
      </c>
      <c r="T182" s="317">
        <f t="shared" si="170"/>
        <v>0</v>
      </c>
      <c r="U182" s="317">
        <f t="shared" si="171"/>
        <v>0</v>
      </c>
      <c r="V182" s="317">
        <f t="shared" si="138"/>
        <v>0</v>
      </c>
      <c r="W182" s="317">
        <f t="shared" si="139"/>
        <v>0</v>
      </c>
      <c r="X182" s="317">
        <f t="shared" si="140"/>
        <v>0</v>
      </c>
      <c r="Y182" s="317">
        <f t="shared" si="141"/>
        <v>0</v>
      </c>
      <c r="Z182" s="317">
        <f t="shared" si="142"/>
        <v>0</v>
      </c>
      <c r="AA182" s="317">
        <f t="shared" si="143"/>
        <v>0</v>
      </c>
      <c r="AB182" s="317">
        <f t="shared" si="144"/>
        <v>0</v>
      </c>
      <c r="AC182" s="317">
        <f t="shared" si="145"/>
        <v>0</v>
      </c>
      <c r="AD182" s="317">
        <f t="shared" si="146"/>
        <v>0</v>
      </c>
      <c r="AE182" s="317">
        <f t="shared" si="147"/>
        <v>0</v>
      </c>
      <c r="AF182" s="317">
        <f t="shared" si="172"/>
        <v>0</v>
      </c>
      <c r="AG182" s="317">
        <f t="shared" si="173"/>
        <v>0</v>
      </c>
      <c r="AH182" s="317">
        <f t="shared" si="148"/>
        <v>0</v>
      </c>
      <c r="AI182" s="317">
        <f t="shared" si="149"/>
        <v>0</v>
      </c>
      <c r="AJ182" s="317">
        <f t="shared" si="150"/>
        <v>0</v>
      </c>
      <c r="AK182" s="317">
        <f t="shared" si="151"/>
        <v>0</v>
      </c>
      <c r="AL182" s="317">
        <f t="shared" si="152"/>
        <v>0</v>
      </c>
      <c r="AM182" s="317">
        <f t="shared" si="153"/>
        <v>0</v>
      </c>
      <c r="AN182" s="317">
        <f t="shared" si="154"/>
        <v>0</v>
      </c>
      <c r="AO182" s="317">
        <f t="shared" si="155"/>
        <v>0</v>
      </c>
      <c r="AP182" s="317">
        <f t="shared" si="156"/>
        <v>0</v>
      </c>
      <c r="AQ182" s="317">
        <f t="shared" si="157"/>
        <v>0</v>
      </c>
      <c r="AR182" s="317">
        <f t="shared" si="158"/>
        <v>0</v>
      </c>
      <c r="AS182" s="317">
        <f t="shared" si="159"/>
        <v>0</v>
      </c>
      <c r="AT182" s="317">
        <f t="shared" si="160"/>
        <v>0</v>
      </c>
      <c r="AU182" s="317">
        <f t="shared" si="161"/>
        <v>0</v>
      </c>
      <c r="AV182" s="317">
        <f t="shared" si="162"/>
        <v>0</v>
      </c>
      <c r="AW182" s="317">
        <f t="shared" si="163"/>
        <v>0</v>
      </c>
      <c r="AX182" s="317">
        <f t="shared" si="164"/>
        <v>0</v>
      </c>
      <c r="AY182" s="317">
        <f t="shared" si="165"/>
        <v>0</v>
      </c>
      <c r="AZ182" s="317">
        <f t="shared" si="166"/>
        <v>0</v>
      </c>
      <c r="BA182" s="317">
        <f t="shared" si="167"/>
        <v>0</v>
      </c>
    </row>
    <row r="183" spans="1:53" s="314" customFormat="1" ht="16.5" customHeight="1">
      <c r="A183" s="63" t="str">
        <f t="array" ref="A183">IF(C183&lt;&gt;0,SUM(($C$11:C183&lt;&gt;0)*1),"")</f>
        <v/>
      </c>
      <c r="B183" s="315"/>
      <c r="C183" s="315"/>
      <c r="D183" s="315"/>
      <c r="E183" s="433"/>
      <c r="F183" s="371"/>
      <c r="G183" s="373"/>
      <c r="H183" s="373"/>
      <c r="I183" s="63" t="str">
        <f t="shared" si="129"/>
        <v/>
      </c>
      <c r="J183" s="317">
        <f t="shared" si="130"/>
        <v>0</v>
      </c>
      <c r="K183" s="317">
        <f t="shared" si="131"/>
        <v>0</v>
      </c>
      <c r="L183" s="317">
        <f t="shared" si="132"/>
        <v>0</v>
      </c>
      <c r="M183" s="317">
        <f t="shared" si="133"/>
        <v>0</v>
      </c>
      <c r="N183" s="317">
        <f t="shared" si="168"/>
        <v>0</v>
      </c>
      <c r="O183" s="317">
        <f t="shared" si="169"/>
        <v>0</v>
      </c>
      <c r="P183" s="317">
        <f t="shared" si="134"/>
        <v>0</v>
      </c>
      <c r="Q183" s="317">
        <f t="shared" si="135"/>
        <v>0</v>
      </c>
      <c r="R183" s="317">
        <f t="shared" si="136"/>
        <v>0</v>
      </c>
      <c r="S183" s="317">
        <f t="shared" si="137"/>
        <v>0</v>
      </c>
      <c r="T183" s="317">
        <f t="shared" si="170"/>
        <v>0</v>
      </c>
      <c r="U183" s="317">
        <f t="shared" si="171"/>
        <v>0</v>
      </c>
      <c r="V183" s="317">
        <f t="shared" si="138"/>
        <v>0</v>
      </c>
      <c r="W183" s="317">
        <f t="shared" si="139"/>
        <v>0</v>
      </c>
      <c r="X183" s="317">
        <f t="shared" si="140"/>
        <v>0</v>
      </c>
      <c r="Y183" s="317">
        <f t="shared" si="141"/>
        <v>0</v>
      </c>
      <c r="Z183" s="317">
        <f t="shared" si="142"/>
        <v>0</v>
      </c>
      <c r="AA183" s="317">
        <f t="shared" si="143"/>
        <v>0</v>
      </c>
      <c r="AB183" s="317">
        <f t="shared" si="144"/>
        <v>0</v>
      </c>
      <c r="AC183" s="317">
        <f t="shared" si="145"/>
        <v>0</v>
      </c>
      <c r="AD183" s="317">
        <f t="shared" si="146"/>
        <v>0</v>
      </c>
      <c r="AE183" s="317">
        <f t="shared" si="147"/>
        <v>0</v>
      </c>
      <c r="AF183" s="317">
        <f t="shared" si="172"/>
        <v>0</v>
      </c>
      <c r="AG183" s="317">
        <f t="shared" si="173"/>
        <v>0</v>
      </c>
      <c r="AH183" s="317">
        <f t="shared" si="148"/>
        <v>0</v>
      </c>
      <c r="AI183" s="317">
        <f t="shared" si="149"/>
        <v>0</v>
      </c>
      <c r="AJ183" s="317">
        <f t="shared" si="150"/>
        <v>0</v>
      </c>
      <c r="AK183" s="317">
        <f t="shared" si="151"/>
        <v>0</v>
      </c>
      <c r="AL183" s="317">
        <f t="shared" si="152"/>
        <v>0</v>
      </c>
      <c r="AM183" s="317">
        <f t="shared" si="153"/>
        <v>0</v>
      </c>
      <c r="AN183" s="317">
        <f t="shared" si="154"/>
        <v>0</v>
      </c>
      <c r="AO183" s="317">
        <f t="shared" si="155"/>
        <v>0</v>
      </c>
      <c r="AP183" s="317">
        <f t="shared" si="156"/>
        <v>0</v>
      </c>
      <c r="AQ183" s="317">
        <f t="shared" si="157"/>
        <v>0</v>
      </c>
      <c r="AR183" s="317">
        <f t="shared" si="158"/>
        <v>0</v>
      </c>
      <c r="AS183" s="317">
        <f t="shared" si="159"/>
        <v>0</v>
      </c>
      <c r="AT183" s="317">
        <f t="shared" si="160"/>
        <v>0</v>
      </c>
      <c r="AU183" s="317">
        <f t="shared" si="161"/>
        <v>0</v>
      </c>
      <c r="AV183" s="317">
        <f t="shared" si="162"/>
        <v>0</v>
      </c>
      <c r="AW183" s="317">
        <f t="shared" si="163"/>
        <v>0</v>
      </c>
      <c r="AX183" s="317">
        <f t="shared" si="164"/>
        <v>0</v>
      </c>
      <c r="AY183" s="317">
        <f t="shared" si="165"/>
        <v>0</v>
      </c>
      <c r="AZ183" s="317">
        <f t="shared" si="166"/>
        <v>0</v>
      </c>
      <c r="BA183" s="317">
        <f t="shared" si="167"/>
        <v>0</v>
      </c>
    </row>
    <row r="184" spans="1:53" s="314" customFormat="1" ht="16.5" customHeight="1">
      <c r="A184" s="63" t="str">
        <f t="array" ref="A184">IF(C184&lt;&gt;0,SUM(($C$11:C184&lt;&gt;0)*1),"")</f>
        <v/>
      </c>
      <c r="B184" s="315"/>
      <c r="C184" s="315"/>
      <c r="D184" s="315"/>
      <c r="E184" s="433"/>
      <c r="F184" s="371"/>
      <c r="G184" s="373"/>
      <c r="H184" s="373"/>
      <c r="I184" s="63" t="str">
        <f t="shared" si="129"/>
        <v/>
      </c>
      <c r="J184" s="317">
        <f t="shared" si="130"/>
        <v>0</v>
      </c>
      <c r="K184" s="317">
        <f t="shared" si="131"/>
        <v>0</v>
      </c>
      <c r="L184" s="317">
        <f t="shared" si="132"/>
        <v>0</v>
      </c>
      <c r="M184" s="317">
        <f t="shared" si="133"/>
        <v>0</v>
      </c>
      <c r="N184" s="317">
        <f t="shared" si="168"/>
        <v>0</v>
      </c>
      <c r="O184" s="317">
        <f t="shared" si="169"/>
        <v>0</v>
      </c>
      <c r="P184" s="317">
        <f t="shared" si="134"/>
        <v>0</v>
      </c>
      <c r="Q184" s="317">
        <f t="shared" si="135"/>
        <v>0</v>
      </c>
      <c r="R184" s="317">
        <f t="shared" si="136"/>
        <v>0</v>
      </c>
      <c r="S184" s="317">
        <f t="shared" si="137"/>
        <v>0</v>
      </c>
      <c r="T184" s="317">
        <f t="shared" si="170"/>
        <v>0</v>
      </c>
      <c r="U184" s="317">
        <f t="shared" si="171"/>
        <v>0</v>
      </c>
      <c r="V184" s="317">
        <f t="shared" si="138"/>
        <v>0</v>
      </c>
      <c r="W184" s="317">
        <f t="shared" si="139"/>
        <v>0</v>
      </c>
      <c r="X184" s="317">
        <f t="shared" si="140"/>
        <v>0</v>
      </c>
      <c r="Y184" s="317">
        <f t="shared" si="141"/>
        <v>0</v>
      </c>
      <c r="Z184" s="317">
        <f t="shared" si="142"/>
        <v>0</v>
      </c>
      <c r="AA184" s="317">
        <f t="shared" si="143"/>
        <v>0</v>
      </c>
      <c r="AB184" s="317">
        <f t="shared" si="144"/>
        <v>0</v>
      </c>
      <c r="AC184" s="317">
        <f t="shared" si="145"/>
        <v>0</v>
      </c>
      <c r="AD184" s="317">
        <f t="shared" si="146"/>
        <v>0</v>
      </c>
      <c r="AE184" s="317">
        <f t="shared" si="147"/>
        <v>0</v>
      </c>
      <c r="AF184" s="317">
        <f t="shared" si="172"/>
        <v>0</v>
      </c>
      <c r="AG184" s="317">
        <f t="shared" si="173"/>
        <v>0</v>
      </c>
      <c r="AH184" s="317">
        <f t="shared" si="148"/>
        <v>0</v>
      </c>
      <c r="AI184" s="317">
        <f t="shared" si="149"/>
        <v>0</v>
      </c>
      <c r="AJ184" s="317">
        <f t="shared" si="150"/>
        <v>0</v>
      </c>
      <c r="AK184" s="317">
        <f t="shared" si="151"/>
        <v>0</v>
      </c>
      <c r="AL184" s="317">
        <f t="shared" si="152"/>
        <v>0</v>
      </c>
      <c r="AM184" s="317">
        <f t="shared" si="153"/>
        <v>0</v>
      </c>
      <c r="AN184" s="317">
        <f t="shared" si="154"/>
        <v>0</v>
      </c>
      <c r="AO184" s="317">
        <f t="shared" si="155"/>
        <v>0</v>
      </c>
      <c r="AP184" s="317">
        <f t="shared" si="156"/>
        <v>0</v>
      </c>
      <c r="AQ184" s="317">
        <f t="shared" si="157"/>
        <v>0</v>
      </c>
      <c r="AR184" s="317">
        <f t="shared" si="158"/>
        <v>0</v>
      </c>
      <c r="AS184" s="317">
        <f t="shared" si="159"/>
        <v>0</v>
      </c>
      <c r="AT184" s="317">
        <f t="shared" si="160"/>
        <v>0</v>
      </c>
      <c r="AU184" s="317">
        <f t="shared" si="161"/>
        <v>0</v>
      </c>
      <c r="AV184" s="317">
        <f t="shared" si="162"/>
        <v>0</v>
      </c>
      <c r="AW184" s="317">
        <f t="shared" si="163"/>
        <v>0</v>
      </c>
      <c r="AX184" s="317">
        <f t="shared" si="164"/>
        <v>0</v>
      </c>
      <c r="AY184" s="317">
        <f t="shared" si="165"/>
        <v>0</v>
      </c>
      <c r="AZ184" s="317">
        <f t="shared" si="166"/>
        <v>0</v>
      </c>
      <c r="BA184" s="317">
        <f t="shared" si="167"/>
        <v>0</v>
      </c>
    </row>
    <row r="185" spans="1:53" s="314" customFormat="1" ht="16.5" customHeight="1">
      <c r="A185" s="63" t="str">
        <f t="array" ref="A185">IF(C185&lt;&gt;0,SUM(($C$11:C185&lt;&gt;0)*1),"")</f>
        <v/>
      </c>
      <c r="B185" s="315"/>
      <c r="C185" s="315"/>
      <c r="D185" s="315"/>
      <c r="E185" s="433"/>
      <c r="F185" s="371"/>
      <c r="G185" s="373"/>
      <c r="H185" s="373"/>
      <c r="I185" s="63" t="str">
        <f t="shared" si="129"/>
        <v/>
      </c>
      <c r="J185" s="317">
        <f t="shared" si="130"/>
        <v>0</v>
      </c>
      <c r="K185" s="317">
        <f t="shared" si="131"/>
        <v>0</v>
      </c>
      <c r="L185" s="317">
        <f t="shared" si="132"/>
        <v>0</v>
      </c>
      <c r="M185" s="317">
        <f t="shared" si="133"/>
        <v>0</v>
      </c>
      <c r="N185" s="317">
        <f t="shared" si="168"/>
        <v>0</v>
      </c>
      <c r="O185" s="317">
        <f t="shared" si="169"/>
        <v>0</v>
      </c>
      <c r="P185" s="317">
        <f t="shared" si="134"/>
        <v>0</v>
      </c>
      <c r="Q185" s="317">
        <f t="shared" si="135"/>
        <v>0</v>
      </c>
      <c r="R185" s="317">
        <f t="shared" si="136"/>
        <v>0</v>
      </c>
      <c r="S185" s="317">
        <f t="shared" si="137"/>
        <v>0</v>
      </c>
      <c r="T185" s="317">
        <f t="shared" si="170"/>
        <v>0</v>
      </c>
      <c r="U185" s="317">
        <f t="shared" si="171"/>
        <v>0</v>
      </c>
      <c r="V185" s="317">
        <f t="shared" si="138"/>
        <v>0</v>
      </c>
      <c r="W185" s="317">
        <f t="shared" si="139"/>
        <v>0</v>
      </c>
      <c r="X185" s="317">
        <f t="shared" si="140"/>
        <v>0</v>
      </c>
      <c r="Y185" s="317">
        <f t="shared" si="141"/>
        <v>0</v>
      </c>
      <c r="Z185" s="317">
        <f t="shared" si="142"/>
        <v>0</v>
      </c>
      <c r="AA185" s="317">
        <f t="shared" si="143"/>
        <v>0</v>
      </c>
      <c r="AB185" s="317">
        <f t="shared" si="144"/>
        <v>0</v>
      </c>
      <c r="AC185" s="317">
        <f t="shared" si="145"/>
        <v>0</v>
      </c>
      <c r="AD185" s="317">
        <f t="shared" si="146"/>
        <v>0</v>
      </c>
      <c r="AE185" s="317">
        <f t="shared" si="147"/>
        <v>0</v>
      </c>
      <c r="AF185" s="317">
        <f t="shared" si="172"/>
        <v>0</v>
      </c>
      <c r="AG185" s="317">
        <f t="shared" si="173"/>
        <v>0</v>
      </c>
      <c r="AH185" s="317">
        <f t="shared" si="148"/>
        <v>0</v>
      </c>
      <c r="AI185" s="317">
        <f t="shared" si="149"/>
        <v>0</v>
      </c>
      <c r="AJ185" s="317">
        <f t="shared" si="150"/>
        <v>0</v>
      </c>
      <c r="AK185" s="317">
        <f t="shared" si="151"/>
        <v>0</v>
      </c>
      <c r="AL185" s="317">
        <f t="shared" si="152"/>
        <v>0</v>
      </c>
      <c r="AM185" s="317">
        <f t="shared" si="153"/>
        <v>0</v>
      </c>
      <c r="AN185" s="317">
        <f t="shared" si="154"/>
        <v>0</v>
      </c>
      <c r="AO185" s="317">
        <f t="shared" si="155"/>
        <v>0</v>
      </c>
      <c r="AP185" s="317">
        <f t="shared" si="156"/>
        <v>0</v>
      </c>
      <c r="AQ185" s="317">
        <f t="shared" si="157"/>
        <v>0</v>
      </c>
      <c r="AR185" s="317">
        <f t="shared" si="158"/>
        <v>0</v>
      </c>
      <c r="AS185" s="317">
        <f t="shared" si="159"/>
        <v>0</v>
      </c>
      <c r="AT185" s="317">
        <f t="shared" si="160"/>
        <v>0</v>
      </c>
      <c r="AU185" s="317">
        <f t="shared" si="161"/>
        <v>0</v>
      </c>
      <c r="AV185" s="317">
        <f t="shared" si="162"/>
        <v>0</v>
      </c>
      <c r="AW185" s="317">
        <f t="shared" si="163"/>
        <v>0</v>
      </c>
      <c r="AX185" s="317">
        <f t="shared" si="164"/>
        <v>0</v>
      </c>
      <c r="AY185" s="317">
        <f t="shared" si="165"/>
        <v>0</v>
      </c>
      <c r="AZ185" s="317">
        <f t="shared" si="166"/>
        <v>0</v>
      </c>
      <c r="BA185" s="317">
        <f t="shared" si="167"/>
        <v>0</v>
      </c>
    </row>
    <row r="186" spans="1:53" s="314" customFormat="1" ht="16.5" customHeight="1">
      <c r="A186" s="63" t="str">
        <f t="array" ref="A186">IF(C186&lt;&gt;0,SUM(($C$11:C186&lt;&gt;0)*1),"")</f>
        <v/>
      </c>
      <c r="B186" s="315"/>
      <c r="C186" s="315"/>
      <c r="D186" s="315"/>
      <c r="E186" s="433"/>
      <c r="F186" s="371"/>
      <c r="G186" s="373"/>
      <c r="H186" s="373"/>
      <c r="I186" s="63" t="str">
        <f t="shared" si="129"/>
        <v/>
      </c>
      <c r="J186" s="317">
        <f t="shared" si="130"/>
        <v>0</v>
      </c>
      <c r="K186" s="317">
        <f t="shared" si="131"/>
        <v>0</v>
      </c>
      <c r="L186" s="317">
        <f t="shared" si="132"/>
        <v>0</v>
      </c>
      <c r="M186" s="317">
        <f t="shared" si="133"/>
        <v>0</v>
      </c>
      <c r="N186" s="317">
        <f t="shared" si="168"/>
        <v>0</v>
      </c>
      <c r="O186" s="317">
        <f t="shared" si="169"/>
        <v>0</v>
      </c>
      <c r="P186" s="317">
        <f t="shared" si="134"/>
        <v>0</v>
      </c>
      <c r="Q186" s="317">
        <f t="shared" si="135"/>
        <v>0</v>
      </c>
      <c r="R186" s="317">
        <f t="shared" si="136"/>
        <v>0</v>
      </c>
      <c r="S186" s="317">
        <f t="shared" si="137"/>
        <v>0</v>
      </c>
      <c r="T186" s="317">
        <f t="shared" si="170"/>
        <v>0</v>
      </c>
      <c r="U186" s="317">
        <f t="shared" si="171"/>
        <v>0</v>
      </c>
      <c r="V186" s="317">
        <f t="shared" si="138"/>
        <v>0</v>
      </c>
      <c r="W186" s="317">
        <f t="shared" si="139"/>
        <v>0</v>
      </c>
      <c r="X186" s="317">
        <f t="shared" si="140"/>
        <v>0</v>
      </c>
      <c r="Y186" s="317">
        <f t="shared" si="141"/>
        <v>0</v>
      </c>
      <c r="Z186" s="317">
        <f t="shared" si="142"/>
        <v>0</v>
      </c>
      <c r="AA186" s="317">
        <f t="shared" si="143"/>
        <v>0</v>
      </c>
      <c r="AB186" s="317">
        <f t="shared" si="144"/>
        <v>0</v>
      </c>
      <c r="AC186" s="317">
        <f t="shared" si="145"/>
        <v>0</v>
      </c>
      <c r="AD186" s="317">
        <f t="shared" si="146"/>
        <v>0</v>
      </c>
      <c r="AE186" s="317">
        <f t="shared" si="147"/>
        <v>0</v>
      </c>
      <c r="AF186" s="317">
        <f t="shared" si="172"/>
        <v>0</v>
      </c>
      <c r="AG186" s="317">
        <f t="shared" si="173"/>
        <v>0</v>
      </c>
      <c r="AH186" s="317">
        <f t="shared" si="148"/>
        <v>0</v>
      </c>
      <c r="AI186" s="317">
        <f t="shared" si="149"/>
        <v>0</v>
      </c>
      <c r="AJ186" s="317">
        <f t="shared" si="150"/>
        <v>0</v>
      </c>
      <c r="AK186" s="317">
        <f t="shared" si="151"/>
        <v>0</v>
      </c>
      <c r="AL186" s="317">
        <f t="shared" si="152"/>
        <v>0</v>
      </c>
      <c r="AM186" s="317">
        <f t="shared" si="153"/>
        <v>0</v>
      </c>
      <c r="AN186" s="317">
        <f t="shared" si="154"/>
        <v>0</v>
      </c>
      <c r="AO186" s="317">
        <f t="shared" si="155"/>
        <v>0</v>
      </c>
      <c r="AP186" s="317">
        <f t="shared" si="156"/>
        <v>0</v>
      </c>
      <c r="AQ186" s="317">
        <f t="shared" si="157"/>
        <v>0</v>
      </c>
      <c r="AR186" s="317">
        <f t="shared" si="158"/>
        <v>0</v>
      </c>
      <c r="AS186" s="317">
        <f t="shared" si="159"/>
        <v>0</v>
      </c>
      <c r="AT186" s="317">
        <f t="shared" si="160"/>
        <v>0</v>
      </c>
      <c r="AU186" s="317">
        <f t="shared" si="161"/>
        <v>0</v>
      </c>
      <c r="AV186" s="317">
        <f t="shared" si="162"/>
        <v>0</v>
      </c>
      <c r="AW186" s="317">
        <f t="shared" si="163"/>
        <v>0</v>
      </c>
      <c r="AX186" s="317">
        <f t="shared" si="164"/>
        <v>0</v>
      </c>
      <c r="AY186" s="317">
        <f t="shared" si="165"/>
        <v>0</v>
      </c>
      <c r="AZ186" s="317">
        <f t="shared" si="166"/>
        <v>0</v>
      </c>
      <c r="BA186" s="317">
        <f t="shared" si="167"/>
        <v>0</v>
      </c>
    </row>
    <row r="187" spans="1:53" s="314" customFormat="1" ht="16.5" customHeight="1">
      <c r="A187" s="63" t="str">
        <f t="array" ref="A187">IF(C187&lt;&gt;0,SUM(($C$11:C187&lt;&gt;0)*1),"")</f>
        <v/>
      </c>
      <c r="B187" s="315"/>
      <c r="C187" s="315"/>
      <c r="D187" s="315"/>
      <c r="E187" s="433"/>
      <c r="F187" s="371"/>
      <c r="G187" s="373"/>
      <c r="H187" s="373"/>
      <c r="I187" s="63" t="str">
        <f t="shared" si="129"/>
        <v/>
      </c>
      <c r="J187" s="317">
        <f t="shared" si="130"/>
        <v>0</v>
      </c>
      <c r="K187" s="317">
        <f t="shared" si="131"/>
        <v>0</v>
      </c>
      <c r="L187" s="317">
        <f t="shared" si="132"/>
        <v>0</v>
      </c>
      <c r="M187" s="317">
        <f t="shared" si="133"/>
        <v>0</v>
      </c>
      <c r="N187" s="317">
        <f t="shared" si="168"/>
        <v>0</v>
      </c>
      <c r="O187" s="317">
        <f t="shared" si="169"/>
        <v>0</v>
      </c>
      <c r="P187" s="317">
        <f t="shared" si="134"/>
        <v>0</v>
      </c>
      <c r="Q187" s="317">
        <f t="shared" si="135"/>
        <v>0</v>
      </c>
      <c r="R187" s="317">
        <f t="shared" si="136"/>
        <v>0</v>
      </c>
      <c r="S187" s="317">
        <f t="shared" si="137"/>
        <v>0</v>
      </c>
      <c r="T187" s="317">
        <f t="shared" si="170"/>
        <v>0</v>
      </c>
      <c r="U187" s="317">
        <f t="shared" si="171"/>
        <v>0</v>
      </c>
      <c r="V187" s="317">
        <f t="shared" si="138"/>
        <v>0</v>
      </c>
      <c r="W187" s="317">
        <f t="shared" si="139"/>
        <v>0</v>
      </c>
      <c r="X187" s="317">
        <f t="shared" si="140"/>
        <v>0</v>
      </c>
      <c r="Y187" s="317">
        <f t="shared" si="141"/>
        <v>0</v>
      </c>
      <c r="Z187" s="317">
        <f t="shared" si="142"/>
        <v>0</v>
      </c>
      <c r="AA187" s="317">
        <f t="shared" si="143"/>
        <v>0</v>
      </c>
      <c r="AB187" s="317">
        <f t="shared" si="144"/>
        <v>0</v>
      </c>
      <c r="AC187" s="317">
        <f t="shared" si="145"/>
        <v>0</v>
      </c>
      <c r="AD187" s="317">
        <f t="shared" si="146"/>
        <v>0</v>
      </c>
      <c r="AE187" s="317">
        <f t="shared" si="147"/>
        <v>0</v>
      </c>
      <c r="AF187" s="317">
        <f t="shared" si="172"/>
        <v>0</v>
      </c>
      <c r="AG187" s="317">
        <f t="shared" si="173"/>
        <v>0</v>
      </c>
      <c r="AH187" s="317">
        <f t="shared" si="148"/>
        <v>0</v>
      </c>
      <c r="AI187" s="317">
        <f t="shared" si="149"/>
        <v>0</v>
      </c>
      <c r="AJ187" s="317">
        <f t="shared" si="150"/>
        <v>0</v>
      </c>
      <c r="AK187" s="317">
        <f t="shared" si="151"/>
        <v>0</v>
      </c>
      <c r="AL187" s="317">
        <f t="shared" si="152"/>
        <v>0</v>
      </c>
      <c r="AM187" s="317">
        <f t="shared" si="153"/>
        <v>0</v>
      </c>
      <c r="AN187" s="317">
        <f t="shared" si="154"/>
        <v>0</v>
      </c>
      <c r="AO187" s="317">
        <f t="shared" si="155"/>
        <v>0</v>
      </c>
      <c r="AP187" s="317">
        <f t="shared" si="156"/>
        <v>0</v>
      </c>
      <c r="AQ187" s="317">
        <f t="shared" si="157"/>
        <v>0</v>
      </c>
      <c r="AR187" s="317">
        <f t="shared" si="158"/>
        <v>0</v>
      </c>
      <c r="AS187" s="317">
        <f t="shared" si="159"/>
        <v>0</v>
      </c>
      <c r="AT187" s="317">
        <f t="shared" si="160"/>
        <v>0</v>
      </c>
      <c r="AU187" s="317">
        <f t="shared" si="161"/>
        <v>0</v>
      </c>
      <c r="AV187" s="317">
        <f t="shared" si="162"/>
        <v>0</v>
      </c>
      <c r="AW187" s="317">
        <f t="shared" si="163"/>
        <v>0</v>
      </c>
      <c r="AX187" s="317">
        <f t="shared" si="164"/>
        <v>0</v>
      </c>
      <c r="AY187" s="317">
        <f t="shared" si="165"/>
        <v>0</v>
      </c>
      <c r="AZ187" s="317">
        <f t="shared" si="166"/>
        <v>0</v>
      </c>
      <c r="BA187" s="317">
        <f t="shared" si="167"/>
        <v>0</v>
      </c>
    </row>
    <row r="188" spans="1:53" s="314" customFormat="1" ht="16.5" customHeight="1">
      <c r="A188" s="63" t="str">
        <f t="array" ref="A188">IF(C188&lt;&gt;0,SUM(($C$11:C188&lt;&gt;0)*1),"")</f>
        <v/>
      </c>
      <c r="B188" s="315"/>
      <c r="C188" s="315"/>
      <c r="D188" s="315"/>
      <c r="E188" s="433"/>
      <c r="F188" s="371"/>
      <c r="G188" s="373"/>
      <c r="H188" s="373"/>
      <c r="I188" s="63" t="str">
        <f t="shared" si="129"/>
        <v/>
      </c>
      <c r="J188" s="317">
        <f t="shared" si="130"/>
        <v>0</v>
      </c>
      <c r="K188" s="317">
        <f t="shared" si="131"/>
        <v>0</v>
      </c>
      <c r="L188" s="317">
        <f t="shared" si="132"/>
        <v>0</v>
      </c>
      <c r="M188" s="317">
        <f t="shared" si="133"/>
        <v>0</v>
      </c>
      <c r="N188" s="317">
        <f t="shared" si="168"/>
        <v>0</v>
      </c>
      <c r="O188" s="317">
        <f t="shared" si="169"/>
        <v>0</v>
      </c>
      <c r="P188" s="317">
        <f t="shared" si="134"/>
        <v>0</v>
      </c>
      <c r="Q188" s="317">
        <f t="shared" si="135"/>
        <v>0</v>
      </c>
      <c r="R188" s="317">
        <f t="shared" si="136"/>
        <v>0</v>
      </c>
      <c r="S188" s="317">
        <f t="shared" si="137"/>
        <v>0</v>
      </c>
      <c r="T188" s="317">
        <f t="shared" si="170"/>
        <v>0</v>
      </c>
      <c r="U188" s="317">
        <f t="shared" si="171"/>
        <v>0</v>
      </c>
      <c r="V188" s="317">
        <f t="shared" si="138"/>
        <v>0</v>
      </c>
      <c r="W188" s="317">
        <f t="shared" si="139"/>
        <v>0</v>
      </c>
      <c r="X188" s="317">
        <f t="shared" si="140"/>
        <v>0</v>
      </c>
      <c r="Y188" s="317">
        <f t="shared" si="141"/>
        <v>0</v>
      </c>
      <c r="Z188" s="317">
        <f t="shared" si="142"/>
        <v>0</v>
      </c>
      <c r="AA188" s="317">
        <f t="shared" si="143"/>
        <v>0</v>
      </c>
      <c r="AB188" s="317">
        <f t="shared" si="144"/>
        <v>0</v>
      </c>
      <c r="AC188" s="317">
        <f t="shared" si="145"/>
        <v>0</v>
      </c>
      <c r="AD188" s="317">
        <f t="shared" si="146"/>
        <v>0</v>
      </c>
      <c r="AE188" s="317">
        <f t="shared" si="147"/>
        <v>0</v>
      </c>
      <c r="AF188" s="317">
        <f t="shared" si="172"/>
        <v>0</v>
      </c>
      <c r="AG188" s="317">
        <f t="shared" si="173"/>
        <v>0</v>
      </c>
      <c r="AH188" s="317">
        <f t="shared" si="148"/>
        <v>0</v>
      </c>
      <c r="AI188" s="317">
        <f t="shared" si="149"/>
        <v>0</v>
      </c>
      <c r="AJ188" s="317">
        <f t="shared" si="150"/>
        <v>0</v>
      </c>
      <c r="AK188" s="317">
        <f t="shared" si="151"/>
        <v>0</v>
      </c>
      <c r="AL188" s="317">
        <f t="shared" si="152"/>
        <v>0</v>
      </c>
      <c r="AM188" s="317">
        <f t="shared" si="153"/>
        <v>0</v>
      </c>
      <c r="AN188" s="317">
        <f t="shared" si="154"/>
        <v>0</v>
      </c>
      <c r="AO188" s="317">
        <f t="shared" si="155"/>
        <v>0</v>
      </c>
      <c r="AP188" s="317">
        <f t="shared" si="156"/>
        <v>0</v>
      </c>
      <c r="AQ188" s="317">
        <f t="shared" si="157"/>
        <v>0</v>
      </c>
      <c r="AR188" s="317">
        <f t="shared" si="158"/>
        <v>0</v>
      </c>
      <c r="AS188" s="317">
        <f t="shared" si="159"/>
        <v>0</v>
      </c>
      <c r="AT188" s="317">
        <f t="shared" si="160"/>
        <v>0</v>
      </c>
      <c r="AU188" s="317">
        <f t="shared" si="161"/>
        <v>0</v>
      </c>
      <c r="AV188" s="317">
        <f t="shared" si="162"/>
        <v>0</v>
      </c>
      <c r="AW188" s="317">
        <f t="shared" si="163"/>
        <v>0</v>
      </c>
      <c r="AX188" s="317">
        <f t="shared" si="164"/>
        <v>0</v>
      </c>
      <c r="AY188" s="317">
        <f t="shared" si="165"/>
        <v>0</v>
      </c>
      <c r="AZ188" s="317">
        <f t="shared" si="166"/>
        <v>0</v>
      </c>
      <c r="BA188" s="317">
        <f t="shared" si="167"/>
        <v>0</v>
      </c>
    </row>
    <row r="189" spans="1:53" s="314" customFormat="1" ht="16.5" customHeight="1">
      <c r="A189" s="63" t="str">
        <f t="array" ref="A189">IF(C189&lt;&gt;0,SUM(($C$11:C189&lt;&gt;0)*1),"")</f>
        <v/>
      </c>
      <c r="B189" s="315"/>
      <c r="C189" s="315"/>
      <c r="D189" s="315"/>
      <c r="E189" s="433"/>
      <c r="F189" s="371"/>
      <c r="G189" s="373"/>
      <c r="H189" s="373"/>
      <c r="I189" s="63" t="str">
        <f t="shared" si="129"/>
        <v/>
      </c>
      <c r="J189" s="317">
        <f t="shared" si="130"/>
        <v>0</v>
      </c>
      <c r="K189" s="317">
        <f t="shared" si="131"/>
        <v>0</v>
      </c>
      <c r="L189" s="317">
        <f t="shared" si="132"/>
        <v>0</v>
      </c>
      <c r="M189" s="317">
        <f t="shared" si="133"/>
        <v>0</v>
      </c>
      <c r="N189" s="317">
        <f t="shared" si="168"/>
        <v>0</v>
      </c>
      <c r="O189" s="317">
        <f t="shared" si="169"/>
        <v>0</v>
      </c>
      <c r="P189" s="317">
        <f t="shared" si="134"/>
        <v>0</v>
      </c>
      <c r="Q189" s="317">
        <f t="shared" si="135"/>
        <v>0</v>
      </c>
      <c r="R189" s="317">
        <f t="shared" si="136"/>
        <v>0</v>
      </c>
      <c r="S189" s="317">
        <f t="shared" si="137"/>
        <v>0</v>
      </c>
      <c r="T189" s="317">
        <f t="shared" si="170"/>
        <v>0</v>
      </c>
      <c r="U189" s="317">
        <f t="shared" si="171"/>
        <v>0</v>
      </c>
      <c r="V189" s="317">
        <f t="shared" si="138"/>
        <v>0</v>
      </c>
      <c r="W189" s="317">
        <f t="shared" si="139"/>
        <v>0</v>
      </c>
      <c r="X189" s="317">
        <f t="shared" si="140"/>
        <v>0</v>
      </c>
      <c r="Y189" s="317">
        <f t="shared" si="141"/>
        <v>0</v>
      </c>
      <c r="Z189" s="317">
        <f t="shared" si="142"/>
        <v>0</v>
      </c>
      <c r="AA189" s="317">
        <f t="shared" si="143"/>
        <v>0</v>
      </c>
      <c r="AB189" s="317">
        <f t="shared" si="144"/>
        <v>0</v>
      </c>
      <c r="AC189" s="317">
        <f t="shared" si="145"/>
        <v>0</v>
      </c>
      <c r="AD189" s="317">
        <f t="shared" si="146"/>
        <v>0</v>
      </c>
      <c r="AE189" s="317">
        <f t="shared" si="147"/>
        <v>0</v>
      </c>
      <c r="AF189" s="317">
        <f t="shared" si="172"/>
        <v>0</v>
      </c>
      <c r="AG189" s="317">
        <f t="shared" si="173"/>
        <v>0</v>
      </c>
      <c r="AH189" s="317">
        <f t="shared" si="148"/>
        <v>0</v>
      </c>
      <c r="AI189" s="317">
        <f t="shared" si="149"/>
        <v>0</v>
      </c>
      <c r="AJ189" s="317">
        <f t="shared" si="150"/>
        <v>0</v>
      </c>
      <c r="AK189" s="317">
        <f t="shared" si="151"/>
        <v>0</v>
      </c>
      <c r="AL189" s="317">
        <f t="shared" si="152"/>
        <v>0</v>
      </c>
      <c r="AM189" s="317">
        <f t="shared" si="153"/>
        <v>0</v>
      </c>
      <c r="AN189" s="317">
        <f t="shared" si="154"/>
        <v>0</v>
      </c>
      <c r="AO189" s="317">
        <f t="shared" si="155"/>
        <v>0</v>
      </c>
      <c r="AP189" s="317">
        <f t="shared" si="156"/>
        <v>0</v>
      </c>
      <c r="AQ189" s="317">
        <f t="shared" si="157"/>
        <v>0</v>
      </c>
      <c r="AR189" s="317">
        <f t="shared" si="158"/>
        <v>0</v>
      </c>
      <c r="AS189" s="317">
        <f t="shared" si="159"/>
        <v>0</v>
      </c>
      <c r="AT189" s="317">
        <f t="shared" si="160"/>
        <v>0</v>
      </c>
      <c r="AU189" s="317">
        <f t="shared" si="161"/>
        <v>0</v>
      </c>
      <c r="AV189" s="317">
        <f t="shared" si="162"/>
        <v>0</v>
      </c>
      <c r="AW189" s="317">
        <f t="shared" si="163"/>
        <v>0</v>
      </c>
      <c r="AX189" s="317">
        <f t="shared" si="164"/>
        <v>0</v>
      </c>
      <c r="AY189" s="317">
        <f t="shared" si="165"/>
        <v>0</v>
      </c>
      <c r="AZ189" s="317">
        <f t="shared" si="166"/>
        <v>0</v>
      </c>
      <c r="BA189" s="317">
        <f t="shared" si="167"/>
        <v>0</v>
      </c>
    </row>
    <row r="190" spans="1:53" s="314" customFormat="1" ht="16.5" customHeight="1">
      <c r="A190" s="63" t="str">
        <f t="array" ref="A190">IF(C190&lt;&gt;0,SUM(($C$11:C190&lt;&gt;0)*1),"")</f>
        <v/>
      </c>
      <c r="B190" s="315"/>
      <c r="C190" s="315"/>
      <c r="D190" s="315"/>
      <c r="E190" s="433"/>
      <c r="F190" s="371"/>
      <c r="G190" s="373"/>
      <c r="H190" s="373"/>
      <c r="I190" s="63" t="str">
        <f t="shared" si="129"/>
        <v/>
      </c>
      <c r="J190" s="317">
        <f t="shared" si="130"/>
        <v>0</v>
      </c>
      <c r="K190" s="317">
        <f t="shared" si="131"/>
        <v>0</v>
      </c>
      <c r="L190" s="317">
        <f t="shared" si="132"/>
        <v>0</v>
      </c>
      <c r="M190" s="317">
        <f t="shared" si="133"/>
        <v>0</v>
      </c>
      <c r="N190" s="317">
        <f t="shared" si="168"/>
        <v>0</v>
      </c>
      <c r="O190" s="317">
        <f t="shared" si="169"/>
        <v>0</v>
      </c>
      <c r="P190" s="317">
        <f t="shared" si="134"/>
        <v>0</v>
      </c>
      <c r="Q190" s="317">
        <f t="shared" si="135"/>
        <v>0</v>
      </c>
      <c r="R190" s="317">
        <f t="shared" si="136"/>
        <v>0</v>
      </c>
      <c r="S190" s="317">
        <f t="shared" si="137"/>
        <v>0</v>
      </c>
      <c r="T190" s="317">
        <f t="shared" si="170"/>
        <v>0</v>
      </c>
      <c r="U190" s="317">
        <f t="shared" si="171"/>
        <v>0</v>
      </c>
      <c r="V190" s="317">
        <f t="shared" si="138"/>
        <v>0</v>
      </c>
      <c r="W190" s="317">
        <f t="shared" si="139"/>
        <v>0</v>
      </c>
      <c r="X190" s="317">
        <f t="shared" si="140"/>
        <v>0</v>
      </c>
      <c r="Y190" s="317">
        <f t="shared" si="141"/>
        <v>0</v>
      </c>
      <c r="Z190" s="317">
        <f t="shared" si="142"/>
        <v>0</v>
      </c>
      <c r="AA190" s="317">
        <f t="shared" si="143"/>
        <v>0</v>
      </c>
      <c r="AB190" s="317">
        <f t="shared" si="144"/>
        <v>0</v>
      </c>
      <c r="AC190" s="317">
        <f t="shared" si="145"/>
        <v>0</v>
      </c>
      <c r="AD190" s="317">
        <f t="shared" si="146"/>
        <v>0</v>
      </c>
      <c r="AE190" s="317">
        <f t="shared" si="147"/>
        <v>0</v>
      </c>
      <c r="AF190" s="317">
        <f t="shared" si="172"/>
        <v>0</v>
      </c>
      <c r="AG190" s="317">
        <f t="shared" si="173"/>
        <v>0</v>
      </c>
      <c r="AH190" s="317">
        <f t="shared" si="148"/>
        <v>0</v>
      </c>
      <c r="AI190" s="317">
        <f t="shared" si="149"/>
        <v>0</v>
      </c>
      <c r="AJ190" s="317">
        <f t="shared" si="150"/>
        <v>0</v>
      </c>
      <c r="AK190" s="317">
        <f t="shared" si="151"/>
        <v>0</v>
      </c>
      <c r="AL190" s="317">
        <f t="shared" si="152"/>
        <v>0</v>
      </c>
      <c r="AM190" s="317">
        <f t="shared" si="153"/>
        <v>0</v>
      </c>
      <c r="AN190" s="317">
        <f t="shared" si="154"/>
        <v>0</v>
      </c>
      <c r="AO190" s="317">
        <f t="shared" si="155"/>
        <v>0</v>
      </c>
      <c r="AP190" s="317">
        <f t="shared" si="156"/>
        <v>0</v>
      </c>
      <c r="AQ190" s="317">
        <f t="shared" si="157"/>
        <v>0</v>
      </c>
      <c r="AR190" s="317">
        <f t="shared" si="158"/>
        <v>0</v>
      </c>
      <c r="AS190" s="317">
        <f t="shared" si="159"/>
        <v>0</v>
      </c>
      <c r="AT190" s="317">
        <f t="shared" si="160"/>
        <v>0</v>
      </c>
      <c r="AU190" s="317">
        <f t="shared" si="161"/>
        <v>0</v>
      </c>
      <c r="AV190" s="317">
        <f t="shared" si="162"/>
        <v>0</v>
      </c>
      <c r="AW190" s="317">
        <f t="shared" si="163"/>
        <v>0</v>
      </c>
      <c r="AX190" s="317">
        <f t="shared" si="164"/>
        <v>0</v>
      </c>
      <c r="AY190" s="317">
        <f t="shared" si="165"/>
        <v>0</v>
      </c>
      <c r="AZ190" s="317">
        <f t="shared" si="166"/>
        <v>0</v>
      </c>
      <c r="BA190" s="317">
        <f t="shared" si="167"/>
        <v>0</v>
      </c>
    </row>
    <row r="191" spans="1:53" s="314" customFormat="1" ht="16.5" customHeight="1">
      <c r="A191" s="63" t="str">
        <f t="array" ref="A191">IF(C191&lt;&gt;0,SUM(($C$11:C191&lt;&gt;0)*1),"")</f>
        <v/>
      </c>
      <c r="B191" s="315"/>
      <c r="C191" s="315"/>
      <c r="D191" s="315"/>
      <c r="E191" s="433"/>
      <c r="F191" s="371"/>
      <c r="G191" s="373"/>
      <c r="H191" s="373"/>
      <c r="I191" s="63" t="str">
        <f t="shared" si="129"/>
        <v/>
      </c>
      <c r="J191" s="317">
        <f t="shared" si="130"/>
        <v>0</v>
      </c>
      <c r="K191" s="317">
        <f t="shared" si="131"/>
        <v>0</v>
      </c>
      <c r="L191" s="317">
        <f t="shared" si="132"/>
        <v>0</v>
      </c>
      <c r="M191" s="317">
        <f t="shared" si="133"/>
        <v>0</v>
      </c>
      <c r="N191" s="317">
        <f t="shared" si="168"/>
        <v>0</v>
      </c>
      <c r="O191" s="317">
        <f t="shared" si="169"/>
        <v>0</v>
      </c>
      <c r="P191" s="317">
        <f t="shared" si="134"/>
        <v>0</v>
      </c>
      <c r="Q191" s="317">
        <f t="shared" si="135"/>
        <v>0</v>
      </c>
      <c r="R191" s="317">
        <f t="shared" si="136"/>
        <v>0</v>
      </c>
      <c r="S191" s="317">
        <f t="shared" si="137"/>
        <v>0</v>
      </c>
      <c r="T191" s="317">
        <f t="shared" si="170"/>
        <v>0</v>
      </c>
      <c r="U191" s="317">
        <f t="shared" si="171"/>
        <v>0</v>
      </c>
      <c r="V191" s="317">
        <f t="shared" si="138"/>
        <v>0</v>
      </c>
      <c r="W191" s="317">
        <f t="shared" si="139"/>
        <v>0</v>
      </c>
      <c r="X191" s="317">
        <f t="shared" si="140"/>
        <v>0</v>
      </c>
      <c r="Y191" s="317">
        <f t="shared" si="141"/>
        <v>0</v>
      </c>
      <c r="Z191" s="317">
        <f t="shared" si="142"/>
        <v>0</v>
      </c>
      <c r="AA191" s="317">
        <f t="shared" si="143"/>
        <v>0</v>
      </c>
      <c r="AB191" s="317">
        <f t="shared" si="144"/>
        <v>0</v>
      </c>
      <c r="AC191" s="317">
        <f t="shared" si="145"/>
        <v>0</v>
      </c>
      <c r="AD191" s="317">
        <f t="shared" si="146"/>
        <v>0</v>
      </c>
      <c r="AE191" s="317">
        <f t="shared" si="147"/>
        <v>0</v>
      </c>
      <c r="AF191" s="317">
        <f t="shared" si="172"/>
        <v>0</v>
      </c>
      <c r="AG191" s="317">
        <f t="shared" si="173"/>
        <v>0</v>
      </c>
      <c r="AH191" s="317">
        <f t="shared" si="148"/>
        <v>0</v>
      </c>
      <c r="AI191" s="317">
        <f t="shared" si="149"/>
        <v>0</v>
      </c>
      <c r="AJ191" s="317">
        <f t="shared" si="150"/>
        <v>0</v>
      </c>
      <c r="AK191" s="317">
        <f t="shared" si="151"/>
        <v>0</v>
      </c>
      <c r="AL191" s="317">
        <f t="shared" si="152"/>
        <v>0</v>
      </c>
      <c r="AM191" s="317">
        <f t="shared" si="153"/>
        <v>0</v>
      </c>
      <c r="AN191" s="317">
        <f t="shared" si="154"/>
        <v>0</v>
      </c>
      <c r="AO191" s="317">
        <f t="shared" si="155"/>
        <v>0</v>
      </c>
      <c r="AP191" s="317">
        <f t="shared" si="156"/>
        <v>0</v>
      </c>
      <c r="AQ191" s="317">
        <f t="shared" si="157"/>
        <v>0</v>
      </c>
      <c r="AR191" s="317">
        <f t="shared" si="158"/>
        <v>0</v>
      </c>
      <c r="AS191" s="317">
        <f t="shared" si="159"/>
        <v>0</v>
      </c>
      <c r="AT191" s="317">
        <f t="shared" si="160"/>
        <v>0</v>
      </c>
      <c r="AU191" s="317">
        <f t="shared" si="161"/>
        <v>0</v>
      </c>
      <c r="AV191" s="317">
        <f t="shared" si="162"/>
        <v>0</v>
      </c>
      <c r="AW191" s="317">
        <f t="shared" si="163"/>
        <v>0</v>
      </c>
      <c r="AX191" s="317">
        <f t="shared" si="164"/>
        <v>0</v>
      </c>
      <c r="AY191" s="317">
        <f t="shared" si="165"/>
        <v>0</v>
      </c>
      <c r="AZ191" s="317">
        <f t="shared" si="166"/>
        <v>0</v>
      </c>
      <c r="BA191" s="317">
        <f t="shared" si="167"/>
        <v>0</v>
      </c>
    </row>
    <row r="192" spans="1:53" s="314" customFormat="1" ht="16.5" customHeight="1">
      <c r="A192" s="63" t="str">
        <f t="array" ref="A192">IF(C192&lt;&gt;0,SUM(($C$11:C192&lt;&gt;0)*1),"")</f>
        <v/>
      </c>
      <c r="B192" s="315"/>
      <c r="C192" s="315"/>
      <c r="D192" s="315"/>
      <c r="E192" s="433"/>
      <c r="F192" s="371"/>
      <c r="G192" s="373"/>
      <c r="H192" s="373"/>
      <c r="I192" s="63" t="str">
        <f t="shared" si="129"/>
        <v/>
      </c>
      <c r="J192" s="317">
        <f t="shared" si="130"/>
        <v>0</v>
      </c>
      <c r="K192" s="317">
        <f t="shared" si="131"/>
        <v>0</v>
      </c>
      <c r="L192" s="317">
        <f t="shared" si="132"/>
        <v>0</v>
      </c>
      <c r="M192" s="317">
        <f t="shared" si="133"/>
        <v>0</v>
      </c>
      <c r="N192" s="317">
        <f t="shared" si="168"/>
        <v>0</v>
      </c>
      <c r="O192" s="317">
        <f t="shared" si="169"/>
        <v>0</v>
      </c>
      <c r="P192" s="317">
        <f t="shared" si="134"/>
        <v>0</v>
      </c>
      <c r="Q192" s="317">
        <f t="shared" si="135"/>
        <v>0</v>
      </c>
      <c r="R192" s="317">
        <f t="shared" si="136"/>
        <v>0</v>
      </c>
      <c r="S192" s="317">
        <f t="shared" si="137"/>
        <v>0</v>
      </c>
      <c r="T192" s="317">
        <f t="shared" si="170"/>
        <v>0</v>
      </c>
      <c r="U192" s="317">
        <f t="shared" si="171"/>
        <v>0</v>
      </c>
      <c r="V192" s="317">
        <f t="shared" si="138"/>
        <v>0</v>
      </c>
      <c r="W192" s="317">
        <f t="shared" si="139"/>
        <v>0</v>
      </c>
      <c r="X192" s="317">
        <f t="shared" si="140"/>
        <v>0</v>
      </c>
      <c r="Y192" s="317">
        <f t="shared" si="141"/>
        <v>0</v>
      </c>
      <c r="Z192" s="317">
        <f t="shared" si="142"/>
        <v>0</v>
      </c>
      <c r="AA192" s="317">
        <f t="shared" si="143"/>
        <v>0</v>
      </c>
      <c r="AB192" s="317">
        <f t="shared" si="144"/>
        <v>0</v>
      </c>
      <c r="AC192" s="317">
        <f t="shared" si="145"/>
        <v>0</v>
      </c>
      <c r="AD192" s="317">
        <f t="shared" si="146"/>
        <v>0</v>
      </c>
      <c r="AE192" s="317">
        <f t="shared" si="147"/>
        <v>0</v>
      </c>
      <c r="AF192" s="317">
        <f t="shared" si="172"/>
        <v>0</v>
      </c>
      <c r="AG192" s="317">
        <f t="shared" si="173"/>
        <v>0</v>
      </c>
      <c r="AH192" s="317">
        <f t="shared" si="148"/>
        <v>0</v>
      </c>
      <c r="AI192" s="317">
        <f t="shared" si="149"/>
        <v>0</v>
      </c>
      <c r="AJ192" s="317">
        <f t="shared" si="150"/>
        <v>0</v>
      </c>
      <c r="AK192" s="317">
        <f t="shared" si="151"/>
        <v>0</v>
      </c>
      <c r="AL192" s="317">
        <f t="shared" si="152"/>
        <v>0</v>
      </c>
      <c r="AM192" s="317">
        <f t="shared" si="153"/>
        <v>0</v>
      </c>
      <c r="AN192" s="317">
        <f t="shared" si="154"/>
        <v>0</v>
      </c>
      <c r="AO192" s="317">
        <f t="shared" si="155"/>
        <v>0</v>
      </c>
      <c r="AP192" s="317">
        <f t="shared" si="156"/>
        <v>0</v>
      </c>
      <c r="AQ192" s="317">
        <f t="shared" si="157"/>
        <v>0</v>
      </c>
      <c r="AR192" s="317">
        <f t="shared" si="158"/>
        <v>0</v>
      </c>
      <c r="AS192" s="317">
        <f t="shared" si="159"/>
        <v>0</v>
      </c>
      <c r="AT192" s="317">
        <f t="shared" si="160"/>
        <v>0</v>
      </c>
      <c r="AU192" s="317">
        <f t="shared" si="161"/>
        <v>0</v>
      </c>
      <c r="AV192" s="317">
        <f t="shared" si="162"/>
        <v>0</v>
      </c>
      <c r="AW192" s="317">
        <f t="shared" si="163"/>
        <v>0</v>
      </c>
      <c r="AX192" s="317">
        <f t="shared" si="164"/>
        <v>0</v>
      </c>
      <c r="AY192" s="317">
        <f t="shared" si="165"/>
        <v>0</v>
      </c>
      <c r="AZ192" s="317">
        <f t="shared" si="166"/>
        <v>0</v>
      </c>
      <c r="BA192" s="317">
        <f t="shared" si="167"/>
        <v>0</v>
      </c>
    </row>
    <row r="193" spans="1:53" s="314" customFormat="1" ht="16.5" customHeight="1">
      <c r="A193" s="63" t="str">
        <f t="array" ref="A193">IF(C193&lt;&gt;0,SUM(($C$11:C193&lt;&gt;0)*1),"")</f>
        <v/>
      </c>
      <c r="B193" s="315"/>
      <c r="C193" s="315"/>
      <c r="D193" s="315"/>
      <c r="E193" s="433"/>
      <c r="F193" s="371"/>
      <c r="G193" s="373"/>
      <c r="H193" s="373"/>
      <c r="I193" s="63" t="str">
        <f t="shared" si="129"/>
        <v/>
      </c>
      <c r="J193" s="317">
        <f t="shared" si="130"/>
        <v>0</v>
      </c>
      <c r="K193" s="317">
        <f t="shared" si="131"/>
        <v>0</v>
      </c>
      <c r="L193" s="317">
        <f t="shared" si="132"/>
        <v>0</v>
      </c>
      <c r="M193" s="317">
        <f t="shared" si="133"/>
        <v>0</v>
      </c>
      <c r="N193" s="317">
        <f t="shared" si="168"/>
        <v>0</v>
      </c>
      <c r="O193" s="317">
        <f t="shared" si="169"/>
        <v>0</v>
      </c>
      <c r="P193" s="317">
        <f t="shared" si="134"/>
        <v>0</v>
      </c>
      <c r="Q193" s="317">
        <f t="shared" si="135"/>
        <v>0</v>
      </c>
      <c r="R193" s="317">
        <f t="shared" si="136"/>
        <v>0</v>
      </c>
      <c r="S193" s="317">
        <f t="shared" si="137"/>
        <v>0</v>
      </c>
      <c r="T193" s="317">
        <f t="shared" si="170"/>
        <v>0</v>
      </c>
      <c r="U193" s="317">
        <f t="shared" si="171"/>
        <v>0</v>
      </c>
      <c r="V193" s="317">
        <f t="shared" si="138"/>
        <v>0</v>
      </c>
      <c r="W193" s="317">
        <f t="shared" si="139"/>
        <v>0</v>
      </c>
      <c r="X193" s="317">
        <f t="shared" si="140"/>
        <v>0</v>
      </c>
      <c r="Y193" s="317">
        <f t="shared" si="141"/>
        <v>0</v>
      </c>
      <c r="Z193" s="317">
        <f t="shared" si="142"/>
        <v>0</v>
      </c>
      <c r="AA193" s="317">
        <f t="shared" si="143"/>
        <v>0</v>
      </c>
      <c r="AB193" s="317">
        <f t="shared" si="144"/>
        <v>0</v>
      </c>
      <c r="AC193" s="317">
        <f t="shared" si="145"/>
        <v>0</v>
      </c>
      <c r="AD193" s="317">
        <f t="shared" si="146"/>
        <v>0</v>
      </c>
      <c r="AE193" s="317">
        <f t="shared" si="147"/>
        <v>0</v>
      </c>
      <c r="AF193" s="317">
        <f t="shared" si="172"/>
        <v>0</v>
      </c>
      <c r="AG193" s="317">
        <f t="shared" si="173"/>
        <v>0</v>
      </c>
      <c r="AH193" s="317">
        <f t="shared" si="148"/>
        <v>0</v>
      </c>
      <c r="AI193" s="317">
        <f t="shared" si="149"/>
        <v>0</v>
      </c>
      <c r="AJ193" s="317">
        <f t="shared" si="150"/>
        <v>0</v>
      </c>
      <c r="AK193" s="317">
        <f t="shared" si="151"/>
        <v>0</v>
      </c>
      <c r="AL193" s="317">
        <f t="shared" si="152"/>
        <v>0</v>
      </c>
      <c r="AM193" s="317">
        <f t="shared" si="153"/>
        <v>0</v>
      </c>
      <c r="AN193" s="317">
        <f t="shared" si="154"/>
        <v>0</v>
      </c>
      <c r="AO193" s="317">
        <f t="shared" si="155"/>
        <v>0</v>
      </c>
      <c r="AP193" s="317">
        <f t="shared" si="156"/>
        <v>0</v>
      </c>
      <c r="AQ193" s="317">
        <f t="shared" si="157"/>
        <v>0</v>
      </c>
      <c r="AR193" s="317">
        <f t="shared" si="158"/>
        <v>0</v>
      </c>
      <c r="AS193" s="317">
        <f t="shared" si="159"/>
        <v>0</v>
      </c>
      <c r="AT193" s="317">
        <f t="shared" si="160"/>
        <v>0</v>
      </c>
      <c r="AU193" s="317">
        <f t="shared" si="161"/>
        <v>0</v>
      </c>
      <c r="AV193" s="317">
        <f t="shared" si="162"/>
        <v>0</v>
      </c>
      <c r="AW193" s="317">
        <f t="shared" si="163"/>
        <v>0</v>
      </c>
      <c r="AX193" s="317">
        <f t="shared" si="164"/>
        <v>0</v>
      </c>
      <c r="AY193" s="317">
        <f t="shared" si="165"/>
        <v>0</v>
      </c>
      <c r="AZ193" s="317">
        <f t="shared" si="166"/>
        <v>0</v>
      </c>
      <c r="BA193" s="317">
        <f t="shared" si="167"/>
        <v>0</v>
      </c>
    </row>
    <row r="194" spans="1:53" s="314" customFormat="1" ht="16.5" customHeight="1">
      <c r="A194" s="63" t="str">
        <f t="array" ref="A194">IF(C194&lt;&gt;0,SUM(($C$11:C194&lt;&gt;0)*1),"")</f>
        <v/>
      </c>
      <c r="B194" s="315"/>
      <c r="C194" s="315"/>
      <c r="D194" s="315"/>
      <c r="E194" s="433"/>
      <c r="F194" s="371"/>
      <c r="G194" s="373"/>
      <c r="H194" s="373"/>
      <c r="I194" s="63" t="str">
        <f t="shared" si="129"/>
        <v/>
      </c>
      <c r="J194" s="317">
        <f t="shared" si="130"/>
        <v>0</v>
      </c>
      <c r="K194" s="317">
        <f t="shared" si="131"/>
        <v>0</v>
      </c>
      <c r="L194" s="317">
        <f t="shared" si="132"/>
        <v>0</v>
      </c>
      <c r="M194" s="317">
        <f t="shared" si="133"/>
        <v>0</v>
      </c>
      <c r="N194" s="317">
        <f t="shared" si="168"/>
        <v>0</v>
      </c>
      <c r="O194" s="317">
        <f t="shared" si="169"/>
        <v>0</v>
      </c>
      <c r="P194" s="317">
        <f t="shared" si="134"/>
        <v>0</v>
      </c>
      <c r="Q194" s="317">
        <f t="shared" si="135"/>
        <v>0</v>
      </c>
      <c r="R194" s="317">
        <f t="shared" si="136"/>
        <v>0</v>
      </c>
      <c r="S194" s="317">
        <f t="shared" si="137"/>
        <v>0</v>
      </c>
      <c r="T194" s="317">
        <f t="shared" si="170"/>
        <v>0</v>
      </c>
      <c r="U194" s="317">
        <f t="shared" si="171"/>
        <v>0</v>
      </c>
      <c r="V194" s="317">
        <f t="shared" si="138"/>
        <v>0</v>
      </c>
      <c r="W194" s="317">
        <f t="shared" si="139"/>
        <v>0</v>
      </c>
      <c r="X194" s="317">
        <f t="shared" si="140"/>
        <v>0</v>
      </c>
      <c r="Y194" s="317">
        <f t="shared" si="141"/>
        <v>0</v>
      </c>
      <c r="Z194" s="317">
        <f t="shared" si="142"/>
        <v>0</v>
      </c>
      <c r="AA194" s="317">
        <f t="shared" si="143"/>
        <v>0</v>
      </c>
      <c r="AB194" s="317">
        <f t="shared" si="144"/>
        <v>0</v>
      </c>
      <c r="AC194" s="317">
        <f t="shared" si="145"/>
        <v>0</v>
      </c>
      <c r="AD194" s="317">
        <f t="shared" si="146"/>
        <v>0</v>
      </c>
      <c r="AE194" s="317">
        <f t="shared" si="147"/>
        <v>0</v>
      </c>
      <c r="AF194" s="317">
        <f t="shared" si="172"/>
        <v>0</v>
      </c>
      <c r="AG194" s="317">
        <f t="shared" si="173"/>
        <v>0</v>
      </c>
      <c r="AH194" s="317">
        <f t="shared" si="148"/>
        <v>0</v>
      </c>
      <c r="AI194" s="317">
        <f t="shared" si="149"/>
        <v>0</v>
      </c>
      <c r="AJ194" s="317">
        <f t="shared" si="150"/>
        <v>0</v>
      </c>
      <c r="AK194" s="317">
        <f t="shared" si="151"/>
        <v>0</v>
      </c>
      <c r="AL194" s="317">
        <f t="shared" si="152"/>
        <v>0</v>
      </c>
      <c r="AM194" s="317">
        <f t="shared" si="153"/>
        <v>0</v>
      </c>
      <c r="AN194" s="317">
        <f t="shared" si="154"/>
        <v>0</v>
      </c>
      <c r="AO194" s="317">
        <f t="shared" si="155"/>
        <v>0</v>
      </c>
      <c r="AP194" s="317">
        <f t="shared" si="156"/>
        <v>0</v>
      </c>
      <c r="AQ194" s="317">
        <f t="shared" si="157"/>
        <v>0</v>
      </c>
      <c r="AR194" s="317">
        <f t="shared" si="158"/>
        <v>0</v>
      </c>
      <c r="AS194" s="317">
        <f t="shared" si="159"/>
        <v>0</v>
      </c>
      <c r="AT194" s="317">
        <f t="shared" si="160"/>
        <v>0</v>
      </c>
      <c r="AU194" s="317">
        <f t="shared" si="161"/>
        <v>0</v>
      </c>
      <c r="AV194" s="317">
        <f t="shared" si="162"/>
        <v>0</v>
      </c>
      <c r="AW194" s="317">
        <f t="shared" si="163"/>
        <v>0</v>
      </c>
      <c r="AX194" s="317">
        <f t="shared" si="164"/>
        <v>0</v>
      </c>
      <c r="AY194" s="317">
        <f t="shared" si="165"/>
        <v>0</v>
      </c>
      <c r="AZ194" s="317">
        <f t="shared" si="166"/>
        <v>0</v>
      </c>
      <c r="BA194" s="317">
        <f t="shared" si="167"/>
        <v>0</v>
      </c>
    </row>
    <row r="195" spans="1:53" s="314" customFormat="1" ht="16.5" customHeight="1">
      <c r="A195" s="63" t="str">
        <f t="array" ref="A195">IF(C195&lt;&gt;0,SUM(($C$11:C195&lt;&gt;0)*1),"")</f>
        <v/>
      </c>
      <c r="B195" s="315"/>
      <c r="C195" s="315"/>
      <c r="D195" s="315"/>
      <c r="E195" s="433"/>
      <c r="F195" s="371"/>
      <c r="G195" s="373"/>
      <c r="H195" s="373"/>
      <c r="I195" s="63" t="str">
        <f t="shared" si="129"/>
        <v/>
      </c>
      <c r="J195" s="317">
        <f t="shared" si="130"/>
        <v>0</v>
      </c>
      <c r="K195" s="317">
        <f t="shared" si="131"/>
        <v>0</v>
      </c>
      <c r="L195" s="317">
        <f t="shared" si="132"/>
        <v>0</v>
      </c>
      <c r="M195" s="317">
        <f t="shared" si="133"/>
        <v>0</v>
      </c>
      <c r="N195" s="317">
        <f t="shared" si="168"/>
        <v>0</v>
      </c>
      <c r="O195" s="317">
        <f t="shared" si="169"/>
        <v>0</v>
      </c>
      <c r="P195" s="317">
        <f t="shared" si="134"/>
        <v>0</v>
      </c>
      <c r="Q195" s="317">
        <f t="shared" si="135"/>
        <v>0</v>
      </c>
      <c r="R195" s="317">
        <f t="shared" si="136"/>
        <v>0</v>
      </c>
      <c r="S195" s="317">
        <f t="shared" si="137"/>
        <v>0</v>
      </c>
      <c r="T195" s="317">
        <f t="shared" si="170"/>
        <v>0</v>
      </c>
      <c r="U195" s="317">
        <f t="shared" si="171"/>
        <v>0</v>
      </c>
      <c r="V195" s="317">
        <f t="shared" si="138"/>
        <v>0</v>
      </c>
      <c r="W195" s="317">
        <f t="shared" si="139"/>
        <v>0</v>
      </c>
      <c r="X195" s="317">
        <f t="shared" si="140"/>
        <v>0</v>
      </c>
      <c r="Y195" s="317">
        <f t="shared" si="141"/>
        <v>0</v>
      </c>
      <c r="Z195" s="317">
        <f t="shared" si="142"/>
        <v>0</v>
      </c>
      <c r="AA195" s="317">
        <f t="shared" si="143"/>
        <v>0</v>
      </c>
      <c r="AB195" s="317">
        <f t="shared" si="144"/>
        <v>0</v>
      </c>
      <c r="AC195" s="317">
        <f t="shared" si="145"/>
        <v>0</v>
      </c>
      <c r="AD195" s="317">
        <f t="shared" si="146"/>
        <v>0</v>
      </c>
      <c r="AE195" s="317">
        <f t="shared" si="147"/>
        <v>0</v>
      </c>
      <c r="AF195" s="317">
        <f t="shared" si="172"/>
        <v>0</v>
      </c>
      <c r="AG195" s="317">
        <f t="shared" si="173"/>
        <v>0</v>
      </c>
      <c r="AH195" s="317">
        <f t="shared" si="148"/>
        <v>0</v>
      </c>
      <c r="AI195" s="317">
        <f t="shared" si="149"/>
        <v>0</v>
      </c>
      <c r="AJ195" s="317">
        <f t="shared" si="150"/>
        <v>0</v>
      </c>
      <c r="AK195" s="317">
        <f t="shared" si="151"/>
        <v>0</v>
      </c>
      <c r="AL195" s="317">
        <f t="shared" si="152"/>
        <v>0</v>
      </c>
      <c r="AM195" s="317">
        <f t="shared" si="153"/>
        <v>0</v>
      </c>
      <c r="AN195" s="317">
        <f t="shared" si="154"/>
        <v>0</v>
      </c>
      <c r="AO195" s="317">
        <f t="shared" si="155"/>
        <v>0</v>
      </c>
      <c r="AP195" s="317">
        <f t="shared" si="156"/>
        <v>0</v>
      </c>
      <c r="AQ195" s="317">
        <f t="shared" si="157"/>
        <v>0</v>
      </c>
      <c r="AR195" s="317">
        <f t="shared" si="158"/>
        <v>0</v>
      </c>
      <c r="AS195" s="317">
        <f t="shared" si="159"/>
        <v>0</v>
      </c>
      <c r="AT195" s="317">
        <f t="shared" si="160"/>
        <v>0</v>
      </c>
      <c r="AU195" s="317">
        <f t="shared" si="161"/>
        <v>0</v>
      </c>
      <c r="AV195" s="317">
        <f t="shared" si="162"/>
        <v>0</v>
      </c>
      <c r="AW195" s="317">
        <f t="shared" si="163"/>
        <v>0</v>
      </c>
      <c r="AX195" s="317">
        <f t="shared" si="164"/>
        <v>0</v>
      </c>
      <c r="AY195" s="317">
        <f t="shared" si="165"/>
        <v>0</v>
      </c>
      <c r="AZ195" s="317">
        <f t="shared" si="166"/>
        <v>0</v>
      </c>
      <c r="BA195" s="317">
        <f t="shared" si="167"/>
        <v>0</v>
      </c>
    </row>
    <row r="196" spans="1:53" s="314" customFormat="1" ht="16.5" customHeight="1">
      <c r="A196" s="63" t="str">
        <f t="array" ref="A196">IF(C196&lt;&gt;0,SUM(($C$11:C196&lt;&gt;0)*1),"")</f>
        <v/>
      </c>
      <c r="B196" s="315"/>
      <c r="C196" s="315"/>
      <c r="D196" s="315"/>
      <c r="E196" s="433"/>
      <c r="F196" s="371"/>
      <c r="G196" s="373"/>
      <c r="H196" s="373"/>
      <c r="I196" s="63" t="str">
        <f t="shared" si="129"/>
        <v/>
      </c>
      <c r="J196" s="317">
        <f t="shared" si="130"/>
        <v>0</v>
      </c>
      <c r="K196" s="317">
        <f t="shared" si="131"/>
        <v>0</v>
      </c>
      <c r="L196" s="317">
        <f t="shared" si="132"/>
        <v>0</v>
      </c>
      <c r="M196" s="317">
        <f t="shared" si="133"/>
        <v>0</v>
      </c>
      <c r="N196" s="317">
        <f t="shared" si="168"/>
        <v>0</v>
      </c>
      <c r="O196" s="317">
        <f t="shared" si="169"/>
        <v>0</v>
      </c>
      <c r="P196" s="317">
        <f t="shared" si="134"/>
        <v>0</v>
      </c>
      <c r="Q196" s="317">
        <f t="shared" si="135"/>
        <v>0</v>
      </c>
      <c r="R196" s="317">
        <f t="shared" si="136"/>
        <v>0</v>
      </c>
      <c r="S196" s="317">
        <f t="shared" si="137"/>
        <v>0</v>
      </c>
      <c r="T196" s="317">
        <f t="shared" si="170"/>
        <v>0</v>
      </c>
      <c r="U196" s="317">
        <f t="shared" si="171"/>
        <v>0</v>
      </c>
      <c r="V196" s="317">
        <f t="shared" si="138"/>
        <v>0</v>
      </c>
      <c r="W196" s="317">
        <f t="shared" si="139"/>
        <v>0</v>
      </c>
      <c r="X196" s="317">
        <f t="shared" si="140"/>
        <v>0</v>
      </c>
      <c r="Y196" s="317">
        <f t="shared" si="141"/>
        <v>0</v>
      </c>
      <c r="Z196" s="317">
        <f t="shared" si="142"/>
        <v>0</v>
      </c>
      <c r="AA196" s="317">
        <f t="shared" si="143"/>
        <v>0</v>
      </c>
      <c r="AB196" s="317">
        <f t="shared" si="144"/>
        <v>0</v>
      </c>
      <c r="AC196" s="317">
        <f t="shared" si="145"/>
        <v>0</v>
      </c>
      <c r="AD196" s="317">
        <f t="shared" si="146"/>
        <v>0</v>
      </c>
      <c r="AE196" s="317">
        <f t="shared" si="147"/>
        <v>0</v>
      </c>
      <c r="AF196" s="317">
        <f t="shared" si="172"/>
        <v>0</v>
      </c>
      <c r="AG196" s="317">
        <f t="shared" si="173"/>
        <v>0</v>
      </c>
      <c r="AH196" s="317">
        <f t="shared" si="148"/>
        <v>0</v>
      </c>
      <c r="AI196" s="317">
        <f t="shared" si="149"/>
        <v>0</v>
      </c>
      <c r="AJ196" s="317">
        <f t="shared" si="150"/>
        <v>0</v>
      </c>
      <c r="AK196" s="317">
        <f t="shared" si="151"/>
        <v>0</v>
      </c>
      <c r="AL196" s="317">
        <f t="shared" si="152"/>
        <v>0</v>
      </c>
      <c r="AM196" s="317">
        <f t="shared" si="153"/>
        <v>0</v>
      </c>
      <c r="AN196" s="317">
        <f t="shared" si="154"/>
        <v>0</v>
      </c>
      <c r="AO196" s="317">
        <f t="shared" si="155"/>
        <v>0</v>
      </c>
      <c r="AP196" s="317">
        <f t="shared" si="156"/>
        <v>0</v>
      </c>
      <c r="AQ196" s="317">
        <f t="shared" si="157"/>
        <v>0</v>
      </c>
      <c r="AR196" s="317">
        <f t="shared" si="158"/>
        <v>0</v>
      </c>
      <c r="AS196" s="317">
        <f t="shared" si="159"/>
        <v>0</v>
      </c>
      <c r="AT196" s="317">
        <f t="shared" si="160"/>
        <v>0</v>
      </c>
      <c r="AU196" s="317">
        <f t="shared" si="161"/>
        <v>0</v>
      </c>
      <c r="AV196" s="317">
        <f t="shared" si="162"/>
        <v>0</v>
      </c>
      <c r="AW196" s="317">
        <f t="shared" si="163"/>
        <v>0</v>
      </c>
      <c r="AX196" s="317">
        <f t="shared" si="164"/>
        <v>0</v>
      </c>
      <c r="AY196" s="317">
        <f t="shared" si="165"/>
        <v>0</v>
      </c>
      <c r="AZ196" s="317">
        <f t="shared" si="166"/>
        <v>0</v>
      </c>
      <c r="BA196" s="317">
        <f t="shared" si="167"/>
        <v>0</v>
      </c>
    </row>
    <row r="197" spans="1:53" s="314" customFormat="1" ht="16.5" customHeight="1">
      <c r="A197" s="63" t="str">
        <f t="array" ref="A197">IF(C197&lt;&gt;0,SUM(($C$11:C197&lt;&gt;0)*1),"")</f>
        <v/>
      </c>
      <c r="B197" s="315"/>
      <c r="C197" s="315"/>
      <c r="D197" s="315"/>
      <c r="E197" s="433"/>
      <c r="F197" s="371"/>
      <c r="G197" s="373"/>
      <c r="H197" s="373"/>
      <c r="I197" s="63" t="str">
        <f t="shared" si="129"/>
        <v/>
      </c>
      <c r="J197" s="317">
        <f t="shared" si="130"/>
        <v>0</v>
      </c>
      <c r="K197" s="317">
        <f t="shared" si="131"/>
        <v>0</v>
      </c>
      <c r="L197" s="317">
        <f t="shared" si="132"/>
        <v>0</v>
      </c>
      <c r="M197" s="317">
        <f t="shared" si="133"/>
        <v>0</v>
      </c>
      <c r="N197" s="317">
        <f t="shared" si="168"/>
        <v>0</v>
      </c>
      <c r="O197" s="317">
        <f t="shared" si="169"/>
        <v>0</v>
      </c>
      <c r="P197" s="317">
        <f t="shared" si="134"/>
        <v>0</v>
      </c>
      <c r="Q197" s="317">
        <f t="shared" si="135"/>
        <v>0</v>
      </c>
      <c r="R197" s="317">
        <f t="shared" si="136"/>
        <v>0</v>
      </c>
      <c r="S197" s="317">
        <f t="shared" si="137"/>
        <v>0</v>
      </c>
      <c r="T197" s="317">
        <f t="shared" si="170"/>
        <v>0</v>
      </c>
      <c r="U197" s="317">
        <f t="shared" si="171"/>
        <v>0</v>
      </c>
      <c r="V197" s="317">
        <f t="shared" si="138"/>
        <v>0</v>
      </c>
      <c r="W197" s="317">
        <f t="shared" si="139"/>
        <v>0</v>
      </c>
      <c r="X197" s="317">
        <f t="shared" si="140"/>
        <v>0</v>
      </c>
      <c r="Y197" s="317">
        <f t="shared" si="141"/>
        <v>0</v>
      </c>
      <c r="Z197" s="317">
        <f t="shared" si="142"/>
        <v>0</v>
      </c>
      <c r="AA197" s="317">
        <f t="shared" si="143"/>
        <v>0</v>
      </c>
      <c r="AB197" s="317">
        <f t="shared" si="144"/>
        <v>0</v>
      </c>
      <c r="AC197" s="317">
        <f t="shared" si="145"/>
        <v>0</v>
      </c>
      <c r="AD197" s="317">
        <f t="shared" si="146"/>
        <v>0</v>
      </c>
      <c r="AE197" s="317">
        <f t="shared" si="147"/>
        <v>0</v>
      </c>
      <c r="AF197" s="317">
        <f t="shared" si="172"/>
        <v>0</v>
      </c>
      <c r="AG197" s="317">
        <f t="shared" si="173"/>
        <v>0</v>
      </c>
      <c r="AH197" s="317">
        <f t="shared" si="148"/>
        <v>0</v>
      </c>
      <c r="AI197" s="317">
        <f t="shared" si="149"/>
        <v>0</v>
      </c>
      <c r="AJ197" s="317">
        <f t="shared" si="150"/>
        <v>0</v>
      </c>
      <c r="AK197" s="317">
        <f t="shared" si="151"/>
        <v>0</v>
      </c>
      <c r="AL197" s="317">
        <f t="shared" si="152"/>
        <v>0</v>
      </c>
      <c r="AM197" s="317">
        <f t="shared" si="153"/>
        <v>0</v>
      </c>
      <c r="AN197" s="317">
        <f t="shared" si="154"/>
        <v>0</v>
      </c>
      <c r="AO197" s="317">
        <f t="shared" si="155"/>
        <v>0</v>
      </c>
      <c r="AP197" s="317">
        <f t="shared" si="156"/>
        <v>0</v>
      </c>
      <c r="AQ197" s="317">
        <f t="shared" si="157"/>
        <v>0</v>
      </c>
      <c r="AR197" s="317">
        <f t="shared" si="158"/>
        <v>0</v>
      </c>
      <c r="AS197" s="317">
        <f t="shared" si="159"/>
        <v>0</v>
      </c>
      <c r="AT197" s="317">
        <f t="shared" si="160"/>
        <v>0</v>
      </c>
      <c r="AU197" s="317">
        <f t="shared" si="161"/>
        <v>0</v>
      </c>
      <c r="AV197" s="317">
        <f t="shared" si="162"/>
        <v>0</v>
      </c>
      <c r="AW197" s="317">
        <f t="shared" si="163"/>
        <v>0</v>
      </c>
      <c r="AX197" s="317">
        <f t="shared" si="164"/>
        <v>0</v>
      </c>
      <c r="AY197" s="317">
        <f t="shared" si="165"/>
        <v>0</v>
      </c>
      <c r="AZ197" s="317">
        <f t="shared" si="166"/>
        <v>0</v>
      </c>
      <c r="BA197" s="317">
        <f t="shared" si="167"/>
        <v>0</v>
      </c>
    </row>
    <row r="198" spans="1:53" s="314" customFormat="1" ht="16.5" customHeight="1">
      <c r="A198" s="63" t="str">
        <f t="array" ref="A198">IF(C198&lt;&gt;0,SUM(($C$11:C198&lt;&gt;0)*1),"")</f>
        <v/>
      </c>
      <c r="B198" s="315"/>
      <c r="C198" s="315"/>
      <c r="D198" s="315"/>
      <c r="E198" s="433"/>
      <c r="F198" s="371"/>
      <c r="G198" s="373"/>
      <c r="H198" s="373"/>
      <c r="I198" s="63" t="str">
        <f t="shared" si="129"/>
        <v/>
      </c>
      <c r="J198" s="317">
        <f t="shared" si="130"/>
        <v>0</v>
      </c>
      <c r="K198" s="317">
        <f t="shared" si="131"/>
        <v>0</v>
      </c>
      <c r="L198" s="317">
        <f t="shared" si="132"/>
        <v>0</v>
      </c>
      <c r="M198" s="317">
        <f t="shared" si="133"/>
        <v>0</v>
      </c>
      <c r="N198" s="317">
        <f t="shared" si="168"/>
        <v>0</v>
      </c>
      <c r="O198" s="317">
        <f t="shared" si="169"/>
        <v>0</v>
      </c>
      <c r="P198" s="317">
        <f t="shared" si="134"/>
        <v>0</v>
      </c>
      <c r="Q198" s="317">
        <f t="shared" si="135"/>
        <v>0</v>
      </c>
      <c r="R198" s="317">
        <f t="shared" si="136"/>
        <v>0</v>
      </c>
      <c r="S198" s="317">
        <f t="shared" si="137"/>
        <v>0</v>
      </c>
      <c r="T198" s="317">
        <f t="shared" si="170"/>
        <v>0</v>
      </c>
      <c r="U198" s="317">
        <f t="shared" si="171"/>
        <v>0</v>
      </c>
      <c r="V198" s="317">
        <f t="shared" si="138"/>
        <v>0</v>
      </c>
      <c r="W198" s="317">
        <f t="shared" si="139"/>
        <v>0</v>
      </c>
      <c r="X198" s="317">
        <f t="shared" si="140"/>
        <v>0</v>
      </c>
      <c r="Y198" s="317">
        <f t="shared" si="141"/>
        <v>0</v>
      </c>
      <c r="Z198" s="317">
        <f t="shared" si="142"/>
        <v>0</v>
      </c>
      <c r="AA198" s="317">
        <f t="shared" si="143"/>
        <v>0</v>
      </c>
      <c r="AB198" s="317">
        <f t="shared" si="144"/>
        <v>0</v>
      </c>
      <c r="AC198" s="317">
        <f t="shared" si="145"/>
        <v>0</v>
      </c>
      <c r="AD198" s="317">
        <f t="shared" si="146"/>
        <v>0</v>
      </c>
      <c r="AE198" s="317">
        <f t="shared" si="147"/>
        <v>0</v>
      </c>
      <c r="AF198" s="317">
        <f t="shared" si="172"/>
        <v>0</v>
      </c>
      <c r="AG198" s="317">
        <f t="shared" si="173"/>
        <v>0</v>
      </c>
      <c r="AH198" s="317">
        <f t="shared" si="148"/>
        <v>0</v>
      </c>
      <c r="AI198" s="317">
        <f t="shared" si="149"/>
        <v>0</v>
      </c>
      <c r="AJ198" s="317">
        <f t="shared" si="150"/>
        <v>0</v>
      </c>
      <c r="AK198" s="317">
        <f t="shared" si="151"/>
        <v>0</v>
      </c>
      <c r="AL198" s="317">
        <f t="shared" si="152"/>
        <v>0</v>
      </c>
      <c r="AM198" s="317">
        <f t="shared" si="153"/>
        <v>0</v>
      </c>
      <c r="AN198" s="317">
        <f t="shared" si="154"/>
        <v>0</v>
      </c>
      <c r="AO198" s="317">
        <f t="shared" si="155"/>
        <v>0</v>
      </c>
      <c r="AP198" s="317">
        <f t="shared" si="156"/>
        <v>0</v>
      </c>
      <c r="AQ198" s="317">
        <f t="shared" si="157"/>
        <v>0</v>
      </c>
      <c r="AR198" s="317">
        <f t="shared" si="158"/>
        <v>0</v>
      </c>
      <c r="AS198" s="317">
        <f t="shared" si="159"/>
        <v>0</v>
      </c>
      <c r="AT198" s="317">
        <f t="shared" si="160"/>
        <v>0</v>
      </c>
      <c r="AU198" s="317">
        <f t="shared" si="161"/>
        <v>0</v>
      </c>
      <c r="AV198" s="317">
        <f t="shared" si="162"/>
        <v>0</v>
      </c>
      <c r="AW198" s="317">
        <f t="shared" si="163"/>
        <v>0</v>
      </c>
      <c r="AX198" s="317">
        <f t="shared" si="164"/>
        <v>0</v>
      </c>
      <c r="AY198" s="317">
        <f t="shared" si="165"/>
        <v>0</v>
      </c>
      <c r="AZ198" s="317">
        <f t="shared" si="166"/>
        <v>0</v>
      </c>
      <c r="BA198" s="317">
        <f t="shared" si="167"/>
        <v>0</v>
      </c>
    </row>
    <row r="199" spans="1:53" s="314" customFormat="1" ht="16.5" customHeight="1">
      <c r="A199" s="63" t="str">
        <f t="array" ref="A199">IF(C199&lt;&gt;0,SUM(($C$11:C199&lt;&gt;0)*1),"")</f>
        <v/>
      </c>
      <c r="B199" s="315"/>
      <c r="C199" s="315"/>
      <c r="D199" s="315"/>
      <c r="E199" s="433"/>
      <c r="F199" s="371"/>
      <c r="G199" s="373"/>
      <c r="H199" s="373"/>
      <c r="I199" s="63" t="str">
        <f t="shared" si="129"/>
        <v/>
      </c>
      <c r="J199" s="317">
        <f t="shared" si="130"/>
        <v>0</v>
      </c>
      <c r="K199" s="317">
        <f t="shared" si="131"/>
        <v>0</v>
      </c>
      <c r="L199" s="317">
        <f t="shared" si="132"/>
        <v>0</v>
      </c>
      <c r="M199" s="317">
        <f t="shared" si="133"/>
        <v>0</v>
      </c>
      <c r="N199" s="317">
        <f t="shared" si="168"/>
        <v>0</v>
      </c>
      <c r="O199" s="317">
        <f t="shared" si="169"/>
        <v>0</v>
      </c>
      <c r="P199" s="317">
        <f t="shared" si="134"/>
        <v>0</v>
      </c>
      <c r="Q199" s="317">
        <f t="shared" si="135"/>
        <v>0</v>
      </c>
      <c r="R199" s="317">
        <f t="shared" si="136"/>
        <v>0</v>
      </c>
      <c r="S199" s="317">
        <f t="shared" si="137"/>
        <v>0</v>
      </c>
      <c r="T199" s="317">
        <f t="shared" si="170"/>
        <v>0</v>
      </c>
      <c r="U199" s="317">
        <f t="shared" si="171"/>
        <v>0</v>
      </c>
      <c r="V199" s="317">
        <f t="shared" si="138"/>
        <v>0</v>
      </c>
      <c r="W199" s="317">
        <f t="shared" si="139"/>
        <v>0</v>
      </c>
      <c r="X199" s="317">
        <f t="shared" si="140"/>
        <v>0</v>
      </c>
      <c r="Y199" s="317">
        <f t="shared" si="141"/>
        <v>0</v>
      </c>
      <c r="Z199" s="317">
        <f t="shared" si="142"/>
        <v>0</v>
      </c>
      <c r="AA199" s="317">
        <f t="shared" si="143"/>
        <v>0</v>
      </c>
      <c r="AB199" s="317">
        <f t="shared" si="144"/>
        <v>0</v>
      </c>
      <c r="AC199" s="317">
        <f t="shared" si="145"/>
        <v>0</v>
      </c>
      <c r="AD199" s="317">
        <f t="shared" si="146"/>
        <v>0</v>
      </c>
      <c r="AE199" s="317">
        <f t="shared" si="147"/>
        <v>0</v>
      </c>
      <c r="AF199" s="317">
        <f t="shared" si="172"/>
        <v>0</v>
      </c>
      <c r="AG199" s="317">
        <f t="shared" si="173"/>
        <v>0</v>
      </c>
      <c r="AH199" s="317">
        <f t="shared" si="148"/>
        <v>0</v>
      </c>
      <c r="AI199" s="317">
        <f t="shared" si="149"/>
        <v>0</v>
      </c>
      <c r="AJ199" s="317">
        <f t="shared" si="150"/>
        <v>0</v>
      </c>
      <c r="AK199" s="317">
        <f t="shared" si="151"/>
        <v>0</v>
      </c>
      <c r="AL199" s="317">
        <f t="shared" si="152"/>
        <v>0</v>
      </c>
      <c r="AM199" s="317">
        <f t="shared" si="153"/>
        <v>0</v>
      </c>
      <c r="AN199" s="317">
        <f t="shared" si="154"/>
        <v>0</v>
      </c>
      <c r="AO199" s="317">
        <f t="shared" si="155"/>
        <v>0</v>
      </c>
      <c r="AP199" s="317">
        <f t="shared" si="156"/>
        <v>0</v>
      </c>
      <c r="AQ199" s="317">
        <f t="shared" si="157"/>
        <v>0</v>
      </c>
      <c r="AR199" s="317">
        <f t="shared" si="158"/>
        <v>0</v>
      </c>
      <c r="AS199" s="317">
        <f t="shared" si="159"/>
        <v>0</v>
      </c>
      <c r="AT199" s="317">
        <f t="shared" si="160"/>
        <v>0</v>
      </c>
      <c r="AU199" s="317">
        <f t="shared" si="161"/>
        <v>0</v>
      </c>
      <c r="AV199" s="317">
        <f t="shared" si="162"/>
        <v>0</v>
      </c>
      <c r="AW199" s="317">
        <f t="shared" si="163"/>
        <v>0</v>
      </c>
      <c r="AX199" s="317">
        <f t="shared" si="164"/>
        <v>0</v>
      </c>
      <c r="AY199" s="317">
        <f t="shared" si="165"/>
        <v>0</v>
      </c>
      <c r="AZ199" s="317">
        <f t="shared" si="166"/>
        <v>0</v>
      </c>
      <c r="BA199" s="317">
        <f t="shared" si="167"/>
        <v>0</v>
      </c>
    </row>
    <row r="200" spans="1:53" s="314" customFormat="1" ht="16.5" customHeight="1">
      <c r="A200" s="63" t="str">
        <f t="array" ref="A200">IF(C200&lt;&gt;0,SUM(($C$11:C200&lt;&gt;0)*1),"")</f>
        <v/>
      </c>
      <c r="B200" s="315"/>
      <c r="C200" s="315"/>
      <c r="D200" s="315"/>
      <c r="E200" s="433"/>
      <c r="F200" s="371"/>
      <c r="G200" s="373"/>
      <c r="H200" s="373"/>
      <c r="I200" s="63" t="str">
        <f t="shared" si="129"/>
        <v/>
      </c>
      <c r="J200" s="317">
        <f t="shared" si="130"/>
        <v>0</v>
      </c>
      <c r="K200" s="317">
        <f t="shared" si="131"/>
        <v>0</v>
      </c>
      <c r="L200" s="317">
        <f t="shared" si="132"/>
        <v>0</v>
      </c>
      <c r="M200" s="317">
        <f t="shared" si="133"/>
        <v>0</v>
      </c>
      <c r="N200" s="317">
        <f t="shared" si="168"/>
        <v>0</v>
      </c>
      <c r="O200" s="317">
        <f t="shared" si="169"/>
        <v>0</v>
      </c>
      <c r="P200" s="317">
        <f t="shared" si="134"/>
        <v>0</v>
      </c>
      <c r="Q200" s="317">
        <f t="shared" si="135"/>
        <v>0</v>
      </c>
      <c r="R200" s="317">
        <f t="shared" si="136"/>
        <v>0</v>
      </c>
      <c r="S200" s="317">
        <f t="shared" si="137"/>
        <v>0</v>
      </c>
      <c r="T200" s="317">
        <f t="shared" si="170"/>
        <v>0</v>
      </c>
      <c r="U200" s="317">
        <f t="shared" si="171"/>
        <v>0</v>
      </c>
      <c r="V200" s="317">
        <f t="shared" si="138"/>
        <v>0</v>
      </c>
      <c r="W200" s="317">
        <f t="shared" si="139"/>
        <v>0</v>
      </c>
      <c r="X200" s="317">
        <f t="shared" si="140"/>
        <v>0</v>
      </c>
      <c r="Y200" s="317">
        <f t="shared" si="141"/>
        <v>0</v>
      </c>
      <c r="Z200" s="317">
        <f t="shared" si="142"/>
        <v>0</v>
      </c>
      <c r="AA200" s="317">
        <f t="shared" si="143"/>
        <v>0</v>
      </c>
      <c r="AB200" s="317">
        <f t="shared" si="144"/>
        <v>0</v>
      </c>
      <c r="AC200" s="317">
        <f t="shared" si="145"/>
        <v>0</v>
      </c>
      <c r="AD200" s="317">
        <f t="shared" si="146"/>
        <v>0</v>
      </c>
      <c r="AE200" s="317">
        <f t="shared" si="147"/>
        <v>0</v>
      </c>
      <c r="AF200" s="317">
        <f t="shared" si="172"/>
        <v>0</v>
      </c>
      <c r="AG200" s="317">
        <f t="shared" si="173"/>
        <v>0</v>
      </c>
      <c r="AH200" s="317">
        <f t="shared" si="148"/>
        <v>0</v>
      </c>
      <c r="AI200" s="317">
        <f t="shared" si="149"/>
        <v>0</v>
      </c>
      <c r="AJ200" s="317">
        <f t="shared" si="150"/>
        <v>0</v>
      </c>
      <c r="AK200" s="317">
        <f t="shared" si="151"/>
        <v>0</v>
      </c>
      <c r="AL200" s="317">
        <f t="shared" si="152"/>
        <v>0</v>
      </c>
      <c r="AM200" s="317">
        <f t="shared" si="153"/>
        <v>0</v>
      </c>
      <c r="AN200" s="317">
        <f t="shared" si="154"/>
        <v>0</v>
      </c>
      <c r="AO200" s="317">
        <f t="shared" si="155"/>
        <v>0</v>
      </c>
      <c r="AP200" s="317">
        <f t="shared" si="156"/>
        <v>0</v>
      </c>
      <c r="AQ200" s="317">
        <f t="shared" si="157"/>
        <v>0</v>
      </c>
      <c r="AR200" s="317">
        <f t="shared" si="158"/>
        <v>0</v>
      </c>
      <c r="AS200" s="317">
        <f t="shared" si="159"/>
        <v>0</v>
      </c>
      <c r="AT200" s="317">
        <f t="shared" si="160"/>
        <v>0</v>
      </c>
      <c r="AU200" s="317">
        <f t="shared" si="161"/>
        <v>0</v>
      </c>
      <c r="AV200" s="317">
        <f t="shared" si="162"/>
        <v>0</v>
      </c>
      <c r="AW200" s="317">
        <f t="shared" si="163"/>
        <v>0</v>
      </c>
      <c r="AX200" s="317">
        <f t="shared" si="164"/>
        <v>0</v>
      </c>
      <c r="AY200" s="317">
        <f t="shared" si="165"/>
        <v>0</v>
      </c>
      <c r="AZ200" s="317">
        <f t="shared" si="166"/>
        <v>0</v>
      </c>
      <c r="BA200" s="317">
        <f t="shared" si="167"/>
        <v>0</v>
      </c>
    </row>
    <row r="201" spans="1:53" s="314" customFormat="1" ht="16.5" customHeight="1">
      <c r="A201" s="63" t="str">
        <f t="array" ref="A201">IF(C201&lt;&gt;0,SUM(($C$11:C201&lt;&gt;0)*1),"")</f>
        <v/>
      </c>
      <c r="B201" s="315"/>
      <c r="C201" s="315"/>
      <c r="D201" s="315"/>
      <c r="E201" s="433"/>
      <c r="F201" s="371"/>
      <c r="G201" s="373"/>
      <c r="H201" s="373"/>
      <c r="I201" s="63" t="str">
        <f t="shared" si="129"/>
        <v/>
      </c>
      <c r="J201" s="317">
        <f t="shared" si="130"/>
        <v>0</v>
      </c>
      <c r="K201" s="317">
        <f t="shared" si="131"/>
        <v>0</v>
      </c>
      <c r="L201" s="317">
        <f t="shared" si="132"/>
        <v>0</v>
      </c>
      <c r="M201" s="317">
        <f t="shared" si="133"/>
        <v>0</v>
      </c>
      <c r="N201" s="317">
        <f t="shared" si="168"/>
        <v>0</v>
      </c>
      <c r="O201" s="317">
        <f t="shared" si="169"/>
        <v>0</v>
      </c>
      <c r="P201" s="317">
        <f t="shared" si="134"/>
        <v>0</v>
      </c>
      <c r="Q201" s="317">
        <f t="shared" si="135"/>
        <v>0</v>
      </c>
      <c r="R201" s="317">
        <f t="shared" si="136"/>
        <v>0</v>
      </c>
      <c r="S201" s="317">
        <f t="shared" si="137"/>
        <v>0</v>
      </c>
      <c r="T201" s="317">
        <f t="shared" si="170"/>
        <v>0</v>
      </c>
      <c r="U201" s="317">
        <f t="shared" si="171"/>
        <v>0</v>
      </c>
      <c r="V201" s="317">
        <f t="shared" si="138"/>
        <v>0</v>
      </c>
      <c r="W201" s="317">
        <f t="shared" si="139"/>
        <v>0</v>
      </c>
      <c r="X201" s="317">
        <f t="shared" si="140"/>
        <v>0</v>
      </c>
      <c r="Y201" s="317">
        <f t="shared" si="141"/>
        <v>0</v>
      </c>
      <c r="Z201" s="317">
        <f t="shared" si="142"/>
        <v>0</v>
      </c>
      <c r="AA201" s="317">
        <f t="shared" si="143"/>
        <v>0</v>
      </c>
      <c r="AB201" s="317">
        <f t="shared" si="144"/>
        <v>0</v>
      </c>
      <c r="AC201" s="317">
        <f t="shared" si="145"/>
        <v>0</v>
      </c>
      <c r="AD201" s="317">
        <f t="shared" si="146"/>
        <v>0</v>
      </c>
      <c r="AE201" s="317">
        <f t="shared" si="147"/>
        <v>0</v>
      </c>
      <c r="AF201" s="317">
        <f t="shared" si="172"/>
        <v>0</v>
      </c>
      <c r="AG201" s="317">
        <f t="shared" si="173"/>
        <v>0</v>
      </c>
      <c r="AH201" s="317">
        <f t="shared" si="148"/>
        <v>0</v>
      </c>
      <c r="AI201" s="317">
        <f t="shared" si="149"/>
        <v>0</v>
      </c>
      <c r="AJ201" s="317">
        <f t="shared" si="150"/>
        <v>0</v>
      </c>
      <c r="AK201" s="317">
        <f t="shared" si="151"/>
        <v>0</v>
      </c>
      <c r="AL201" s="317">
        <f t="shared" si="152"/>
        <v>0</v>
      </c>
      <c r="AM201" s="317">
        <f t="shared" si="153"/>
        <v>0</v>
      </c>
      <c r="AN201" s="317">
        <f t="shared" si="154"/>
        <v>0</v>
      </c>
      <c r="AO201" s="317">
        <f t="shared" si="155"/>
        <v>0</v>
      </c>
      <c r="AP201" s="317">
        <f t="shared" si="156"/>
        <v>0</v>
      </c>
      <c r="AQ201" s="317">
        <f t="shared" si="157"/>
        <v>0</v>
      </c>
      <c r="AR201" s="317">
        <f t="shared" si="158"/>
        <v>0</v>
      </c>
      <c r="AS201" s="317">
        <f t="shared" si="159"/>
        <v>0</v>
      </c>
      <c r="AT201" s="317">
        <f t="shared" si="160"/>
        <v>0</v>
      </c>
      <c r="AU201" s="317">
        <f t="shared" si="161"/>
        <v>0</v>
      </c>
      <c r="AV201" s="317">
        <f t="shared" si="162"/>
        <v>0</v>
      </c>
      <c r="AW201" s="317">
        <f t="shared" si="163"/>
        <v>0</v>
      </c>
      <c r="AX201" s="317">
        <f t="shared" si="164"/>
        <v>0</v>
      </c>
      <c r="AY201" s="317">
        <f t="shared" si="165"/>
        <v>0</v>
      </c>
      <c r="AZ201" s="317">
        <f t="shared" si="166"/>
        <v>0</v>
      </c>
      <c r="BA201" s="317">
        <f t="shared" si="167"/>
        <v>0</v>
      </c>
    </row>
    <row r="202" spans="1:53" s="314" customFormat="1" ht="16.5" customHeight="1">
      <c r="A202" s="63" t="str">
        <f t="array" ref="A202">IF(C202&lt;&gt;0,SUM(($C$11:C202&lt;&gt;0)*1),"")</f>
        <v/>
      </c>
      <c r="B202" s="315"/>
      <c r="C202" s="315"/>
      <c r="D202" s="315"/>
      <c r="E202" s="433"/>
      <c r="F202" s="371"/>
      <c r="G202" s="373"/>
      <c r="H202" s="373"/>
      <c r="I202" s="63" t="str">
        <f t="shared" si="129"/>
        <v/>
      </c>
      <c r="J202" s="317">
        <f t="shared" si="130"/>
        <v>0</v>
      </c>
      <c r="K202" s="317">
        <f t="shared" si="131"/>
        <v>0</v>
      </c>
      <c r="L202" s="317">
        <f t="shared" si="132"/>
        <v>0</v>
      </c>
      <c r="M202" s="317">
        <f t="shared" si="133"/>
        <v>0</v>
      </c>
      <c r="N202" s="317">
        <f t="shared" si="168"/>
        <v>0</v>
      </c>
      <c r="O202" s="317">
        <f t="shared" si="169"/>
        <v>0</v>
      </c>
      <c r="P202" s="317">
        <f t="shared" si="134"/>
        <v>0</v>
      </c>
      <c r="Q202" s="317">
        <f t="shared" si="135"/>
        <v>0</v>
      </c>
      <c r="R202" s="317">
        <f t="shared" si="136"/>
        <v>0</v>
      </c>
      <c r="S202" s="317">
        <f t="shared" si="137"/>
        <v>0</v>
      </c>
      <c r="T202" s="317">
        <f t="shared" si="170"/>
        <v>0</v>
      </c>
      <c r="U202" s="317">
        <f t="shared" si="171"/>
        <v>0</v>
      </c>
      <c r="V202" s="317">
        <f t="shared" si="138"/>
        <v>0</v>
      </c>
      <c r="W202" s="317">
        <f t="shared" si="139"/>
        <v>0</v>
      </c>
      <c r="X202" s="317">
        <f t="shared" si="140"/>
        <v>0</v>
      </c>
      <c r="Y202" s="317">
        <f t="shared" si="141"/>
        <v>0</v>
      </c>
      <c r="Z202" s="317">
        <f t="shared" si="142"/>
        <v>0</v>
      </c>
      <c r="AA202" s="317">
        <f t="shared" si="143"/>
        <v>0</v>
      </c>
      <c r="AB202" s="317">
        <f t="shared" si="144"/>
        <v>0</v>
      </c>
      <c r="AC202" s="317">
        <f t="shared" si="145"/>
        <v>0</v>
      </c>
      <c r="AD202" s="317">
        <f t="shared" si="146"/>
        <v>0</v>
      </c>
      <c r="AE202" s="317">
        <f t="shared" si="147"/>
        <v>0</v>
      </c>
      <c r="AF202" s="317">
        <f t="shared" si="172"/>
        <v>0</v>
      </c>
      <c r="AG202" s="317">
        <f t="shared" si="173"/>
        <v>0</v>
      </c>
      <c r="AH202" s="317">
        <f t="shared" si="148"/>
        <v>0</v>
      </c>
      <c r="AI202" s="317">
        <f t="shared" si="149"/>
        <v>0</v>
      </c>
      <c r="AJ202" s="317">
        <f t="shared" si="150"/>
        <v>0</v>
      </c>
      <c r="AK202" s="317">
        <f t="shared" si="151"/>
        <v>0</v>
      </c>
      <c r="AL202" s="317">
        <f t="shared" si="152"/>
        <v>0</v>
      </c>
      <c r="AM202" s="317">
        <f t="shared" si="153"/>
        <v>0</v>
      </c>
      <c r="AN202" s="317">
        <f t="shared" si="154"/>
        <v>0</v>
      </c>
      <c r="AO202" s="317">
        <f t="shared" si="155"/>
        <v>0</v>
      </c>
      <c r="AP202" s="317">
        <f t="shared" si="156"/>
        <v>0</v>
      </c>
      <c r="AQ202" s="317">
        <f t="shared" si="157"/>
        <v>0</v>
      </c>
      <c r="AR202" s="317">
        <f t="shared" si="158"/>
        <v>0</v>
      </c>
      <c r="AS202" s="317">
        <f t="shared" si="159"/>
        <v>0</v>
      </c>
      <c r="AT202" s="317">
        <f t="shared" si="160"/>
        <v>0</v>
      </c>
      <c r="AU202" s="317">
        <f t="shared" si="161"/>
        <v>0</v>
      </c>
      <c r="AV202" s="317">
        <f t="shared" si="162"/>
        <v>0</v>
      </c>
      <c r="AW202" s="317">
        <f t="shared" si="163"/>
        <v>0</v>
      </c>
      <c r="AX202" s="317">
        <f t="shared" si="164"/>
        <v>0</v>
      </c>
      <c r="AY202" s="317">
        <f t="shared" si="165"/>
        <v>0</v>
      </c>
      <c r="AZ202" s="317">
        <f t="shared" si="166"/>
        <v>0</v>
      </c>
      <c r="BA202" s="317">
        <f t="shared" si="167"/>
        <v>0</v>
      </c>
    </row>
    <row r="203" spans="1:53" s="314" customFormat="1" ht="16.5" customHeight="1">
      <c r="A203" s="63" t="str">
        <f t="array" ref="A203">IF(C203&lt;&gt;0,SUM(($C$11:C203&lt;&gt;0)*1),"")</f>
        <v/>
      </c>
      <c r="B203" s="315"/>
      <c r="C203" s="315"/>
      <c r="D203" s="315"/>
      <c r="E203" s="433"/>
      <c r="F203" s="371"/>
      <c r="G203" s="373"/>
      <c r="H203" s="373"/>
      <c r="I203" s="63" t="str">
        <f t="shared" si="129"/>
        <v/>
      </c>
      <c r="J203" s="317">
        <f t="shared" si="130"/>
        <v>0</v>
      </c>
      <c r="K203" s="317">
        <f t="shared" si="131"/>
        <v>0</v>
      </c>
      <c r="L203" s="317">
        <f t="shared" si="132"/>
        <v>0</v>
      </c>
      <c r="M203" s="317">
        <f t="shared" si="133"/>
        <v>0</v>
      </c>
      <c r="N203" s="317">
        <f t="shared" si="168"/>
        <v>0</v>
      </c>
      <c r="O203" s="317">
        <f t="shared" si="169"/>
        <v>0</v>
      </c>
      <c r="P203" s="317">
        <f t="shared" si="134"/>
        <v>0</v>
      </c>
      <c r="Q203" s="317">
        <f t="shared" si="135"/>
        <v>0</v>
      </c>
      <c r="R203" s="317">
        <f t="shared" si="136"/>
        <v>0</v>
      </c>
      <c r="S203" s="317">
        <f t="shared" si="137"/>
        <v>0</v>
      </c>
      <c r="T203" s="317">
        <f t="shared" si="170"/>
        <v>0</v>
      </c>
      <c r="U203" s="317">
        <f t="shared" si="171"/>
        <v>0</v>
      </c>
      <c r="V203" s="317">
        <f t="shared" si="138"/>
        <v>0</v>
      </c>
      <c r="W203" s="317">
        <f t="shared" si="139"/>
        <v>0</v>
      </c>
      <c r="X203" s="317">
        <f t="shared" si="140"/>
        <v>0</v>
      </c>
      <c r="Y203" s="317">
        <f t="shared" si="141"/>
        <v>0</v>
      </c>
      <c r="Z203" s="317">
        <f t="shared" si="142"/>
        <v>0</v>
      </c>
      <c r="AA203" s="317">
        <f t="shared" si="143"/>
        <v>0</v>
      </c>
      <c r="AB203" s="317">
        <f t="shared" si="144"/>
        <v>0</v>
      </c>
      <c r="AC203" s="317">
        <f t="shared" si="145"/>
        <v>0</v>
      </c>
      <c r="AD203" s="317">
        <f t="shared" si="146"/>
        <v>0</v>
      </c>
      <c r="AE203" s="317">
        <f t="shared" si="147"/>
        <v>0</v>
      </c>
      <c r="AF203" s="317">
        <f t="shared" si="172"/>
        <v>0</v>
      </c>
      <c r="AG203" s="317">
        <f t="shared" si="173"/>
        <v>0</v>
      </c>
      <c r="AH203" s="317">
        <f t="shared" si="148"/>
        <v>0</v>
      </c>
      <c r="AI203" s="317">
        <f t="shared" si="149"/>
        <v>0</v>
      </c>
      <c r="AJ203" s="317">
        <f t="shared" si="150"/>
        <v>0</v>
      </c>
      <c r="AK203" s="317">
        <f t="shared" si="151"/>
        <v>0</v>
      </c>
      <c r="AL203" s="317">
        <f t="shared" si="152"/>
        <v>0</v>
      </c>
      <c r="AM203" s="317">
        <f t="shared" si="153"/>
        <v>0</v>
      </c>
      <c r="AN203" s="317">
        <f t="shared" si="154"/>
        <v>0</v>
      </c>
      <c r="AO203" s="317">
        <f t="shared" si="155"/>
        <v>0</v>
      </c>
      <c r="AP203" s="317">
        <f t="shared" si="156"/>
        <v>0</v>
      </c>
      <c r="AQ203" s="317">
        <f t="shared" si="157"/>
        <v>0</v>
      </c>
      <c r="AR203" s="317">
        <f t="shared" si="158"/>
        <v>0</v>
      </c>
      <c r="AS203" s="317">
        <f t="shared" si="159"/>
        <v>0</v>
      </c>
      <c r="AT203" s="317">
        <f t="shared" si="160"/>
        <v>0</v>
      </c>
      <c r="AU203" s="317">
        <f t="shared" si="161"/>
        <v>0</v>
      </c>
      <c r="AV203" s="317">
        <f t="shared" si="162"/>
        <v>0</v>
      </c>
      <c r="AW203" s="317">
        <f t="shared" si="163"/>
        <v>0</v>
      </c>
      <c r="AX203" s="317">
        <f t="shared" si="164"/>
        <v>0</v>
      </c>
      <c r="AY203" s="317">
        <f t="shared" si="165"/>
        <v>0</v>
      </c>
      <c r="AZ203" s="317">
        <f t="shared" si="166"/>
        <v>0</v>
      </c>
      <c r="BA203" s="317">
        <f t="shared" si="167"/>
        <v>0</v>
      </c>
    </row>
    <row r="204" spans="1:53" s="314" customFormat="1" ht="16.5" customHeight="1">
      <c r="A204" s="63" t="str">
        <f t="array" ref="A204">IF(C204&lt;&gt;0,SUM(($C$11:C204&lt;&gt;0)*1),"")</f>
        <v/>
      </c>
      <c r="B204" s="315"/>
      <c r="C204" s="315"/>
      <c r="D204" s="315"/>
      <c r="E204" s="433"/>
      <c r="F204" s="371"/>
      <c r="G204" s="373"/>
      <c r="H204" s="373"/>
      <c r="I204" s="63" t="str">
        <f t="shared" si="129"/>
        <v/>
      </c>
      <c r="J204" s="317">
        <f t="shared" si="130"/>
        <v>0</v>
      </c>
      <c r="K204" s="317">
        <f t="shared" si="131"/>
        <v>0</v>
      </c>
      <c r="L204" s="317">
        <f t="shared" si="132"/>
        <v>0</v>
      </c>
      <c r="M204" s="317">
        <f t="shared" si="133"/>
        <v>0</v>
      </c>
      <c r="N204" s="317">
        <f t="shared" ref="N204:N267" si="174">IF($G204="1122",$F204,0)</f>
        <v>0</v>
      </c>
      <c r="O204" s="317">
        <f t="shared" ref="O204:O267" si="175">IF($H204="1122",$F204,0)</f>
        <v>0</v>
      </c>
      <c r="P204" s="317">
        <f t="shared" si="134"/>
        <v>0</v>
      </c>
      <c r="Q204" s="317">
        <f t="shared" si="135"/>
        <v>0</v>
      </c>
      <c r="R204" s="317">
        <f t="shared" si="136"/>
        <v>0</v>
      </c>
      <c r="S204" s="317">
        <f t="shared" si="137"/>
        <v>0</v>
      </c>
      <c r="T204" s="317">
        <f t="shared" ref="T204:T267" si="176">IF($G204="2412",$F204,0)</f>
        <v>0</v>
      </c>
      <c r="U204" s="317">
        <f t="shared" ref="U204:U267" si="177">IF($H204="2412",$F204,0)</f>
        <v>0</v>
      </c>
      <c r="V204" s="317">
        <f t="shared" si="138"/>
        <v>0</v>
      </c>
      <c r="W204" s="317">
        <f t="shared" si="139"/>
        <v>0</v>
      </c>
      <c r="X204" s="317">
        <f t="shared" si="140"/>
        <v>0</v>
      </c>
      <c r="Y204" s="317">
        <f t="shared" si="141"/>
        <v>0</v>
      </c>
      <c r="Z204" s="317">
        <f t="shared" si="142"/>
        <v>0</v>
      </c>
      <c r="AA204" s="317">
        <f t="shared" si="143"/>
        <v>0</v>
      </c>
      <c r="AB204" s="317">
        <f t="shared" si="144"/>
        <v>0</v>
      </c>
      <c r="AC204" s="317">
        <f t="shared" si="145"/>
        <v>0</v>
      </c>
      <c r="AD204" s="317">
        <f t="shared" si="146"/>
        <v>0</v>
      </c>
      <c r="AE204" s="317">
        <f t="shared" si="147"/>
        <v>0</v>
      </c>
      <c r="AF204" s="317">
        <f t="shared" ref="AF204:AF267" si="178">IF($G204="3412",$F204,0)</f>
        <v>0</v>
      </c>
      <c r="AG204" s="317">
        <f t="shared" ref="AG204:AG267" si="179">IF($H204="3412",$F204,0)</f>
        <v>0</v>
      </c>
      <c r="AH204" s="317">
        <f t="shared" si="148"/>
        <v>0</v>
      </c>
      <c r="AI204" s="317">
        <f t="shared" si="149"/>
        <v>0</v>
      </c>
      <c r="AJ204" s="317">
        <f t="shared" si="150"/>
        <v>0</v>
      </c>
      <c r="AK204" s="317">
        <f t="shared" si="151"/>
        <v>0</v>
      </c>
      <c r="AL204" s="317">
        <f t="shared" si="152"/>
        <v>0</v>
      </c>
      <c r="AM204" s="317">
        <f t="shared" si="153"/>
        <v>0</v>
      </c>
      <c r="AN204" s="317">
        <f t="shared" si="154"/>
        <v>0</v>
      </c>
      <c r="AO204" s="317">
        <f t="shared" si="155"/>
        <v>0</v>
      </c>
      <c r="AP204" s="317">
        <f t="shared" si="156"/>
        <v>0</v>
      </c>
      <c r="AQ204" s="317">
        <f t="shared" si="157"/>
        <v>0</v>
      </c>
      <c r="AR204" s="317">
        <f t="shared" si="158"/>
        <v>0</v>
      </c>
      <c r="AS204" s="317">
        <f t="shared" si="159"/>
        <v>0</v>
      </c>
      <c r="AT204" s="317">
        <f t="shared" si="160"/>
        <v>0</v>
      </c>
      <c r="AU204" s="317">
        <f t="shared" si="161"/>
        <v>0</v>
      </c>
      <c r="AV204" s="317">
        <f t="shared" si="162"/>
        <v>0</v>
      </c>
      <c r="AW204" s="317">
        <f t="shared" si="163"/>
        <v>0</v>
      </c>
      <c r="AX204" s="317">
        <f t="shared" si="164"/>
        <v>0</v>
      </c>
      <c r="AY204" s="317">
        <f t="shared" si="165"/>
        <v>0</v>
      </c>
      <c r="AZ204" s="317">
        <f t="shared" si="166"/>
        <v>0</v>
      </c>
      <c r="BA204" s="317">
        <f t="shared" si="167"/>
        <v>0</v>
      </c>
    </row>
    <row r="205" spans="1:53" s="314" customFormat="1" ht="16.5" customHeight="1">
      <c r="A205" s="63" t="str">
        <f t="array" ref="A205">IF(C205&lt;&gt;0,SUM(($C$11:C205&lt;&gt;0)*1),"")</f>
        <v/>
      </c>
      <c r="B205" s="315"/>
      <c r="C205" s="315"/>
      <c r="D205" s="315"/>
      <c r="E205" s="433"/>
      <c r="F205" s="371"/>
      <c r="G205" s="373"/>
      <c r="H205" s="373"/>
      <c r="I205" s="63" t="str">
        <f t="shared" si="129"/>
        <v/>
      </c>
      <c r="J205" s="317">
        <f t="shared" si="130"/>
        <v>0</v>
      </c>
      <c r="K205" s="317">
        <f t="shared" si="131"/>
        <v>0</v>
      </c>
      <c r="L205" s="317">
        <f t="shared" si="132"/>
        <v>0</v>
      </c>
      <c r="M205" s="317">
        <f t="shared" si="133"/>
        <v>0</v>
      </c>
      <c r="N205" s="317">
        <f t="shared" si="174"/>
        <v>0</v>
      </c>
      <c r="O205" s="317">
        <f t="shared" si="175"/>
        <v>0</v>
      </c>
      <c r="P205" s="317">
        <f t="shared" si="134"/>
        <v>0</v>
      </c>
      <c r="Q205" s="317">
        <f t="shared" si="135"/>
        <v>0</v>
      </c>
      <c r="R205" s="317">
        <f t="shared" si="136"/>
        <v>0</v>
      </c>
      <c r="S205" s="317">
        <f t="shared" si="137"/>
        <v>0</v>
      </c>
      <c r="T205" s="317">
        <f t="shared" si="176"/>
        <v>0</v>
      </c>
      <c r="U205" s="317">
        <f t="shared" si="177"/>
        <v>0</v>
      </c>
      <c r="V205" s="317">
        <f t="shared" si="138"/>
        <v>0</v>
      </c>
      <c r="W205" s="317">
        <f t="shared" si="139"/>
        <v>0</v>
      </c>
      <c r="X205" s="317">
        <f t="shared" si="140"/>
        <v>0</v>
      </c>
      <c r="Y205" s="317">
        <f t="shared" si="141"/>
        <v>0</v>
      </c>
      <c r="Z205" s="317">
        <f t="shared" si="142"/>
        <v>0</v>
      </c>
      <c r="AA205" s="317">
        <f t="shared" si="143"/>
        <v>0</v>
      </c>
      <c r="AB205" s="317">
        <f t="shared" si="144"/>
        <v>0</v>
      </c>
      <c r="AC205" s="317">
        <f t="shared" si="145"/>
        <v>0</v>
      </c>
      <c r="AD205" s="317">
        <f t="shared" si="146"/>
        <v>0</v>
      </c>
      <c r="AE205" s="317">
        <f t="shared" si="147"/>
        <v>0</v>
      </c>
      <c r="AF205" s="317">
        <f t="shared" si="178"/>
        <v>0</v>
      </c>
      <c r="AG205" s="317">
        <f t="shared" si="179"/>
        <v>0</v>
      </c>
      <c r="AH205" s="317">
        <f t="shared" si="148"/>
        <v>0</v>
      </c>
      <c r="AI205" s="317">
        <f t="shared" si="149"/>
        <v>0</v>
      </c>
      <c r="AJ205" s="317">
        <f t="shared" si="150"/>
        <v>0</v>
      </c>
      <c r="AK205" s="317">
        <f t="shared" si="151"/>
        <v>0</v>
      </c>
      <c r="AL205" s="317">
        <f t="shared" si="152"/>
        <v>0</v>
      </c>
      <c r="AM205" s="317">
        <f t="shared" si="153"/>
        <v>0</v>
      </c>
      <c r="AN205" s="317">
        <f t="shared" si="154"/>
        <v>0</v>
      </c>
      <c r="AO205" s="317">
        <f t="shared" si="155"/>
        <v>0</v>
      </c>
      <c r="AP205" s="317">
        <f t="shared" si="156"/>
        <v>0</v>
      </c>
      <c r="AQ205" s="317">
        <f t="shared" si="157"/>
        <v>0</v>
      </c>
      <c r="AR205" s="317">
        <f t="shared" si="158"/>
        <v>0</v>
      </c>
      <c r="AS205" s="317">
        <f t="shared" si="159"/>
        <v>0</v>
      </c>
      <c r="AT205" s="317">
        <f t="shared" si="160"/>
        <v>0</v>
      </c>
      <c r="AU205" s="317">
        <f t="shared" si="161"/>
        <v>0</v>
      </c>
      <c r="AV205" s="317">
        <f t="shared" si="162"/>
        <v>0</v>
      </c>
      <c r="AW205" s="317">
        <f t="shared" si="163"/>
        <v>0</v>
      </c>
      <c r="AX205" s="317">
        <f t="shared" si="164"/>
        <v>0</v>
      </c>
      <c r="AY205" s="317">
        <f t="shared" si="165"/>
        <v>0</v>
      </c>
      <c r="AZ205" s="317">
        <f t="shared" si="166"/>
        <v>0</v>
      </c>
      <c r="BA205" s="317">
        <f t="shared" si="167"/>
        <v>0</v>
      </c>
    </row>
    <row r="206" spans="1:53" s="314" customFormat="1" ht="16.5" customHeight="1">
      <c r="A206" s="63" t="str">
        <f t="array" ref="A206">IF(C206&lt;&gt;0,SUM(($C$11:C206&lt;&gt;0)*1),"")</f>
        <v/>
      </c>
      <c r="B206" s="315"/>
      <c r="C206" s="315"/>
      <c r="D206" s="315"/>
      <c r="E206" s="433"/>
      <c r="F206" s="371"/>
      <c r="G206" s="373"/>
      <c r="H206" s="373"/>
      <c r="I206" s="63" t="str">
        <f t="shared" si="129"/>
        <v/>
      </c>
      <c r="J206" s="317">
        <f t="shared" si="130"/>
        <v>0</v>
      </c>
      <c r="K206" s="317">
        <f t="shared" si="131"/>
        <v>0</v>
      </c>
      <c r="L206" s="317">
        <f t="shared" si="132"/>
        <v>0</v>
      </c>
      <c r="M206" s="317">
        <f t="shared" si="133"/>
        <v>0</v>
      </c>
      <c r="N206" s="317">
        <f t="shared" si="174"/>
        <v>0</v>
      </c>
      <c r="O206" s="317">
        <f t="shared" si="175"/>
        <v>0</v>
      </c>
      <c r="P206" s="317">
        <f t="shared" si="134"/>
        <v>0</v>
      </c>
      <c r="Q206" s="317">
        <f t="shared" si="135"/>
        <v>0</v>
      </c>
      <c r="R206" s="317">
        <f t="shared" si="136"/>
        <v>0</v>
      </c>
      <c r="S206" s="317">
        <f t="shared" si="137"/>
        <v>0</v>
      </c>
      <c r="T206" s="317">
        <f t="shared" si="176"/>
        <v>0</v>
      </c>
      <c r="U206" s="317">
        <f t="shared" si="177"/>
        <v>0</v>
      </c>
      <c r="V206" s="317">
        <f t="shared" si="138"/>
        <v>0</v>
      </c>
      <c r="W206" s="317">
        <f t="shared" si="139"/>
        <v>0</v>
      </c>
      <c r="X206" s="317">
        <f t="shared" si="140"/>
        <v>0</v>
      </c>
      <c r="Y206" s="317">
        <f t="shared" si="141"/>
        <v>0</v>
      </c>
      <c r="Z206" s="317">
        <f t="shared" si="142"/>
        <v>0</v>
      </c>
      <c r="AA206" s="317">
        <f t="shared" si="143"/>
        <v>0</v>
      </c>
      <c r="AB206" s="317">
        <f t="shared" si="144"/>
        <v>0</v>
      </c>
      <c r="AC206" s="317">
        <f t="shared" si="145"/>
        <v>0</v>
      </c>
      <c r="AD206" s="317">
        <f t="shared" si="146"/>
        <v>0</v>
      </c>
      <c r="AE206" s="317">
        <f t="shared" si="147"/>
        <v>0</v>
      </c>
      <c r="AF206" s="317">
        <f t="shared" si="178"/>
        <v>0</v>
      </c>
      <c r="AG206" s="317">
        <f t="shared" si="179"/>
        <v>0</v>
      </c>
      <c r="AH206" s="317">
        <f t="shared" si="148"/>
        <v>0</v>
      </c>
      <c r="AI206" s="317">
        <f t="shared" si="149"/>
        <v>0</v>
      </c>
      <c r="AJ206" s="317">
        <f t="shared" si="150"/>
        <v>0</v>
      </c>
      <c r="AK206" s="317">
        <f t="shared" si="151"/>
        <v>0</v>
      </c>
      <c r="AL206" s="317">
        <f t="shared" si="152"/>
        <v>0</v>
      </c>
      <c r="AM206" s="317">
        <f t="shared" si="153"/>
        <v>0</v>
      </c>
      <c r="AN206" s="317">
        <f t="shared" si="154"/>
        <v>0</v>
      </c>
      <c r="AO206" s="317">
        <f t="shared" si="155"/>
        <v>0</v>
      </c>
      <c r="AP206" s="317">
        <f t="shared" si="156"/>
        <v>0</v>
      </c>
      <c r="AQ206" s="317">
        <f t="shared" si="157"/>
        <v>0</v>
      </c>
      <c r="AR206" s="317">
        <f t="shared" si="158"/>
        <v>0</v>
      </c>
      <c r="AS206" s="317">
        <f t="shared" si="159"/>
        <v>0</v>
      </c>
      <c r="AT206" s="317">
        <f t="shared" si="160"/>
        <v>0</v>
      </c>
      <c r="AU206" s="317">
        <f t="shared" si="161"/>
        <v>0</v>
      </c>
      <c r="AV206" s="317">
        <f t="shared" si="162"/>
        <v>0</v>
      </c>
      <c r="AW206" s="317">
        <f t="shared" si="163"/>
        <v>0</v>
      </c>
      <c r="AX206" s="317">
        <f t="shared" si="164"/>
        <v>0</v>
      </c>
      <c r="AY206" s="317">
        <f t="shared" si="165"/>
        <v>0</v>
      </c>
      <c r="AZ206" s="317">
        <f t="shared" si="166"/>
        <v>0</v>
      </c>
      <c r="BA206" s="317">
        <f t="shared" si="167"/>
        <v>0</v>
      </c>
    </row>
    <row r="207" spans="1:53" s="314" customFormat="1" ht="16.5" customHeight="1">
      <c r="A207" s="63" t="str">
        <f t="array" ref="A207">IF(C207&lt;&gt;0,SUM(($C$11:C207&lt;&gt;0)*1),"")</f>
        <v/>
      </c>
      <c r="B207" s="315"/>
      <c r="C207" s="315"/>
      <c r="D207" s="315"/>
      <c r="E207" s="433"/>
      <c r="F207" s="371"/>
      <c r="G207" s="373"/>
      <c r="H207" s="373"/>
      <c r="I207" s="63" t="str">
        <f t="shared" ref="I207:I240" si="180">A207</f>
        <v/>
      </c>
      <c r="J207" s="317">
        <f t="shared" ref="J207:J270" si="181">IF($G207="1111",$F207,0)</f>
        <v>0</v>
      </c>
      <c r="K207" s="317">
        <f t="shared" ref="K207:K270" si="182">IF($H207="1111",$F207,0)</f>
        <v>0</v>
      </c>
      <c r="L207" s="317">
        <f t="shared" si="132"/>
        <v>0</v>
      </c>
      <c r="M207" s="317">
        <f t="shared" si="133"/>
        <v>0</v>
      </c>
      <c r="N207" s="317">
        <f t="shared" si="174"/>
        <v>0</v>
      </c>
      <c r="O207" s="317">
        <f t="shared" si="175"/>
        <v>0</v>
      </c>
      <c r="P207" s="317">
        <f t="shared" si="134"/>
        <v>0</v>
      </c>
      <c r="Q207" s="317">
        <f t="shared" si="135"/>
        <v>0</v>
      </c>
      <c r="R207" s="317">
        <f t="shared" si="136"/>
        <v>0</v>
      </c>
      <c r="S207" s="317">
        <f t="shared" si="137"/>
        <v>0</v>
      </c>
      <c r="T207" s="317">
        <f t="shared" si="176"/>
        <v>0</v>
      </c>
      <c r="U207" s="317">
        <f t="shared" si="177"/>
        <v>0</v>
      </c>
      <c r="V207" s="317">
        <f t="shared" si="138"/>
        <v>0</v>
      </c>
      <c r="W207" s="317">
        <f t="shared" si="139"/>
        <v>0</v>
      </c>
      <c r="X207" s="317">
        <f t="shared" si="140"/>
        <v>0</v>
      </c>
      <c r="Y207" s="317">
        <f t="shared" si="141"/>
        <v>0</v>
      </c>
      <c r="Z207" s="317">
        <f t="shared" ref="Z207:Z270" si="183">IF($G207="33382",$F207,0)</f>
        <v>0</v>
      </c>
      <c r="AA207" s="317">
        <f t="shared" ref="AA207:AA270" si="184">IF($H207="33382",$F207,0)</f>
        <v>0</v>
      </c>
      <c r="AB207" s="317">
        <f t="shared" si="144"/>
        <v>0</v>
      </c>
      <c r="AC207" s="317">
        <f t="shared" si="145"/>
        <v>0</v>
      </c>
      <c r="AD207" s="317">
        <f t="shared" ref="AD207:AD270" si="185">IF($G207="3411",$F207,0)</f>
        <v>0</v>
      </c>
      <c r="AE207" s="317">
        <f t="shared" ref="AE207:AE270" si="186">IF($H207="3411",$F207,0)</f>
        <v>0</v>
      </c>
      <c r="AF207" s="317">
        <f t="shared" si="178"/>
        <v>0</v>
      </c>
      <c r="AG207" s="317">
        <f t="shared" si="179"/>
        <v>0</v>
      </c>
      <c r="AH207" s="317">
        <f t="shared" si="148"/>
        <v>0</v>
      </c>
      <c r="AI207" s="317">
        <f t="shared" si="149"/>
        <v>0</v>
      </c>
      <c r="AJ207" s="317">
        <f t="shared" si="150"/>
        <v>0</v>
      </c>
      <c r="AK207" s="317">
        <f t="shared" si="151"/>
        <v>0</v>
      </c>
      <c r="AL207" s="317">
        <f t="shared" si="152"/>
        <v>0</v>
      </c>
      <c r="AM207" s="317">
        <f t="shared" si="153"/>
        <v>0</v>
      </c>
      <c r="AN207" s="317">
        <f t="shared" si="154"/>
        <v>0</v>
      </c>
      <c r="AO207" s="317">
        <f t="shared" si="155"/>
        <v>0</v>
      </c>
      <c r="AP207" s="317">
        <f t="shared" si="156"/>
        <v>0</v>
      </c>
      <c r="AQ207" s="317">
        <f t="shared" si="157"/>
        <v>0</v>
      </c>
      <c r="AR207" s="317">
        <f t="shared" ref="AR207:AR270" si="187">IF($G207="642",$F207,0)</f>
        <v>0</v>
      </c>
      <c r="AS207" s="317">
        <f t="shared" ref="AS207:AS270" si="188">IF($H207="642",$F207,0)</f>
        <v>0</v>
      </c>
      <c r="AT207" s="317">
        <f t="shared" si="160"/>
        <v>0</v>
      </c>
      <c r="AU207" s="317">
        <f t="shared" si="161"/>
        <v>0</v>
      </c>
      <c r="AV207" s="317">
        <f t="shared" si="162"/>
        <v>0</v>
      </c>
      <c r="AW207" s="317">
        <f t="shared" si="163"/>
        <v>0</v>
      </c>
      <c r="AX207" s="317">
        <f t="shared" ref="AX207:AX270" si="189">IF($G207="821",$F207,0)</f>
        <v>0</v>
      </c>
      <c r="AY207" s="317">
        <f t="shared" ref="AY207:AY270" si="190">IF($H207="821",$F207,0)</f>
        <v>0</v>
      </c>
      <c r="AZ207" s="317">
        <f t="shared" ref="AZ207:AZ270" si="191">IF($G207="911",$F207,0)</f>
        <v>0</v>
      </c>
      <c r="BA207" s="317">
        <f t="shared" ref="BA207:BA270" si="192">IF($H207="911",$F207,0)</f>
        <v>0</v>
      </c>
    </row>
    <row r="208" spans="1:53" s="314" customFormat="1" ht="16.5" customHeight="1">
      <c r="A208" s="63" t="str">
        <f t="array" ref="A208">IF(C208&lt;&gt;0,SUM(($C$11:C208&lt;&gt;0)*1),"")</f>
        <v/>
      </c>
      <c r="B208" s="315"/>
      <c r="C208" s="315"/>
      <c r="D208" s="315"/>
      <c r="E208" s="433"/>
      <c r="F208" s="371"/>
      <c r="G208" s="373"/>
      <c r="H208" s="373"/>
      <c r="I208" s="63" t="str">
        <f t="shared" si="180"/>
        <v/>
      </c>
      <c r="J208" s="317">
        <f t="shared" si="181"/>
        <v>0</v>
      </c>
      <c r="K208" s="317">
        <f t="shared" si="182"/>
        <v>0</v>
      </c>
      <c r="L208" s="317">
        <f t="shared" ref="L208:L271" si="193">IF($G208="1121",$F208,0)</f>
        <v>0</v>
      </c>
      <c r="M208" s="317">
        <f t="shared" ref="M208:M271" si="194">IF($H208="1121",$F208,0)</f>
        <v>0</v>
      </c>
      <c r="N208" s="317">
        <f t="shared" si="174"/>
        <v>0</v>
      </c>
      <c r="O208" s="317">
        <f t="shared" si="175"/>
        <v>0</v>
      </c>
      <c r="P208" s="317">
        <f t="shared" ref="P208:P271" si="195">IF($G208="1331",$F208,0)</f>
        <v>0</v>
      </c>
      <c r="Q208" s="317">
        <f t="shared" ref="Q208:Q271" si="196">IF($H208="1331",$F208,0)</f>
        <v>0</v>
      </c>
      <c r="R208" s="317">
        <f t="shared" ref="R208:R271" si="197">IF($G208="1388",$F208,0)</f>
        <v>0</v>
      </c>
      <c r="S208" s="317">
        <f t="shared" ref="S208:S271" si="198">IF($H208="1388",$F208,0)</f>
        <v>0</v>
      </c>
      <c r="T208" s="317">
        <f t="shared" si="176"/>
        <v>0</v>
      </c>
      <c r="U208" s="317">
        <f t="shared" si="177"/>
        <v>0</v>
      </c>
      <c r="V208" s="317">
        <f t="shared" ref="V208:V271" si="199">IF($G208="331",$F208,0)</f>
        <v>0</v>
      </c>
      <c r="W208" s="317">
        <f t="shared" ref="W208:W271" si="200">IF($H208="331",$F208,0)</f>
        <v>0</v>
      </c>
      <c r="X208" s="317">
        <f t="shared" ref="X208:X271" si="201">IF($G208="3334",$F208,0)</f>
        <v>0</v>
      </c>
      <c r="Y208" s="317">
        <f t="shared" ref="Y208:Y271" si="202">IF($H208="3334",$F208,0)</f>
        <v>0</v>
      </c>
      <c r="Z208" s="317">
        <f t="shared" si="183"/>
        <v>0</v>
      </c>
      <c r="AA208" s="317">
        <f t="shared" si="184"/>
        <v>0</v>
      </c>
      <c r="AB208" s="317">
        <f t="shared" ref="AB208:AB271" si="203">IF($G208="3388",$F208,0)</f>
        <v>0</v>
      </c>
      <c r="AC208" s="317">
        <f t="shared" ref="AC208:AC271" si="204">IF($H208="3388",$F208,0)</f>
        <v>0</v>
      </c>
      <c r="AD208" s="317">
        <f t="shared" si="185"/>
        <v>0</v>
      </c>
      <c r="AE208" s="317">
        <f t="shared" si="186"/>
        <v>0</v>
      </c>
      <c r="AF208" s="317">
        <f t="shared" si="178"/>
        <v>0</v>
      </c>
      <c r="AG208" s="317">
        <f t="shared" si="179"/>
        <v>0</v>
      </c>
      <c r="AH208" s="317">
        <f t="shared" ref="AH208:AH271" si="205">IF($G208="4111",$F208,0)</f>
        <v>0</v>
      </c>
      <c r="AI208" s="317">
        <f t="shared" ref="AI208:AI271" si="206">IF($H208="4111",$F208,0)</f>
        <v>0</v>
      </c>
      <c r="AJ208" s="317">
        <f t="shared" ref="AJ208:AJ271" si="207">IF($G208="4211",$F208,0)</f>
        <v>0</v>
      </c>
      <c r="AK208" s="317">
        <f t="shared" ref="AK208:AK271" si="208">IF($H208="4211",$F208,0)</f>
        <v>0</v>
      </c>
      <c r="AL208" s="317">
        <f t="shared" ref="AL208:AL271" si="209">IF($G208="4212",$F208,0)</f>
        <v>0</v>
      </c>
      <c r="AM208" s="317">
        <f t="shared" ref="AM208:AM271" si="210">IF($H208="4212",$F208,0)</f>
        <v>0</v>
      </c>
      <c r="AN208" s="317">
        <f t="shared" ref="AN208:AN271" si="211">IF($G208="515",$F208,0)</f>
        <v>0</v>
      </c>
      <c r="AO208" s="317">
        <f t="shared" ref="AO208:AO271" si="212">IF($H208="515",$F208,0)</f>
        <v>0</v>
      </c>
      <c r="AP208" s="317">
        <f t="shared" ref="AP208:AP271" si="213">IF($G208="635",$F208,0)</f>
        <v>0</v>
      </c>
      <c r="AQ208" s="317">
        <f t="shared" ref="AQ208:AQ271" si="214">IF($H208="635",$F208,0)</f>
        <v>0</v>
      </c>
      <c r="AR208" s="317">
        <f t="shared" si="187"/>
        <v>0</v>
      </c>
      <c r="AS208" s="317">
        <f t="shared" si="188"/>
        <v>0</v>
      </c>
      <c r="AT208" s="317">
        <f t="shared" ref="AT208:AT271" si="215">IF($G208="711",$F208,0)</f>
        <v>0</v>
      </c>
      <c r="AU208" s="317">
        <f t="shared" ref="AU208:AU271" si="216">IF($H208="711",$F208,0)</f>
        <v>0</v>
      </c>
      <c r="AV208" s="317">
        <f t="shared" ref="AV208:AV271" si="217">IF($G208="811",$F208,0)</f>
        <v>0</v>
      </c>
      <c r="AW208" s="317">
        <f t="shared" ref="AW208:AW271" si="218">IF($H208="811",$F208,0)</f>
        <v>0</v>
      </c>
      <c r="AX208" s="317">
        <f t="shared" si="189"/>
        <v>0</v>
      </c>
      <c r="AY208" s="317">
        <f t="shared" si="190"/>
        <v>0</v>
      </c>
      <c r="AZ208" s="317">
        <f t="shared" si="191"/>
        <v>0</v>
      </c>
      <c r="BA208" s="317">
        <f t="shared" si="192"/>
        <v>0</v>
      </c>
    </row>
    <row r="209" spans="1:53" s="314" customFormat="1" ht="16.5" customHeight="1">
      <c r="A209" s="63" t="str">
        <f t="array" ref="A209">IF(C209&lt;&gt;0,SUM(($C$11:C209&lt;&gt;0)*1),"")</f>
        <v/>
      </c>
      <c r="B209" s="315"/>
      <c r="C209" s="315"/>
      <c r="D209" s="315"/>
      <c r="E209" s="433"/>
      <c r="F209" s="371"/>
      <c r="G209" s="373"/>
      <c r="H209" s="373"/>
      <c r="I209" s="63" t="str">
        <f t="shared" si="180"/>
        <v/>
      </c>
      <c r="J209" s="317">
        <f t="shared" si="181"/>
        <v>0</v>
      </c>
      <c r="K209" s="317">
        <f t="shared" si="182"/>
        <v>0</v>
      </c>
      <c r="L209" s="317">
        <f t="shared" si="193"/>
        <v>0</v>
      </c>
      <c r="M209" s="317">
        <f t="shared" si="194"/>
        <v>0</v>
      </c>
      <c r="N209" s="317">
        <f t="shared" si="174"/>
        <v>0</v>
      </c>
      <c r="O209" s="317">
        <f t="shared" si="175"/>
        <v>0</v>
      </c>
      <c r="P209" s="317">
        <f t="shared" si="195"/>
        <v>0</v>
      </c>
      <c r="Q209" s="317">
        <f t="shared" si="196"/>
        <v>0</v>
      </c>
      <c r="R209" s="317">
        <f t="shared" si="197"/>
        <v>0</v>
      </c>
      <c r="S209" s="317">
        <f t="shared" si="198"/>
        <v>0</v>
      </c>
      <c r="T209" s="317">
        <f t="shared" si="176"/>
        <v>0</v>
      </c>
      <c r="U209" s="317">
        <f t="shared" si="177"/>
        <v>0</v>
      </c>
      <c r="V209" s="317">
        <f t="shared" si="199"/>
        <v>0</v>
      </c>
      <c r="W209" s="317">
        <f t="shared" si="200"/>
        <v>0</v>
      </c>
      <c r="X209" s="317">
        <f t="shared" si="201"/>
        <v>0</v>
      </c>
      <c r="Y209" s="317">
        <f t="shared" si="202"/>
        <v>0</v>
      </c>
      <c r="Z209" s="317">
        <f t="shared" si="183"/>
        <v>0</v>
      </c>
      <c r="AA209" s="317">
        <f t="shared" si="184"/>
        <v>0</v>
      </c>
      <c r="AB209" s="317">
        <f t="shared" si="203"/>
        <v>0</v>
      </c>
      <c r="AC209" s="317">
        <f t="shared" si="204"/>
        <v>0</v>
      </c>
      <c r="AD209" s="317">
        <f t="shared" si="185"/>
        <v>0</v>
      </c>
      <c r="AE209" s="317">
        <f t="shared" si="186"/>
        <v>0</v>
      </c>
      <c r="AF209" s="317">
        <f t="shared" si="178"/>
        <v>0</v>
      </c>
      <c r="AG209" s="317">
        <f t="shared" si="179"/>
        <v>0</v>
      </c>
      <c r="AH209" s="317">
        <f t="shared" si="205"/>
        <v>0</v>
      </c>
      <c r="AI209" s="317">
        <f t="shared" si="206"/>
        <v>0</v>
      </c>
      <c r="AJ209" s="317">
        <f t="shared" si="207"/>
        <v>0</v>
      </c>
      <c r="AK209" s="317">
        <f t="shared" si="208"/>
        <v>0</v>
      </c>
      <c r="AL209" s="317">
        <f t="shared" si="209"/>
        <v>0</v>
      </c>
      <c r="AM209" s="317">
        <f t="shared" si="210"/>
        <v>0</v>
      </c>
      <c r="AN209" s="317">
        <f t="shared" si="211"/>
        <v>0</v>
      </c>
      <c r="AO209" s="317">
        <f t="shared" si="212"/>
        <v>0</v>
      </c>
      <c r="AP209" s="317">
        <f t="shared" si="213"/>
        <v>0</v>
      </c>
      <c r="AQ209" s="317">
        <f t="shared" si="214"/>
        <v>0</v>
      </c>
      <c r="AR209" s="317">
        <f t="shared" si="187"/>
        <v>0</v>
      </c>
      <c r="AS209" s="317">
        <f t="shared" si="188"/>
        <v>0</v>
      </c>
      <c r="AT209" s="317">
        <f t="shared" si="215"/>
        <v>0</v>
      </c>
      <c r="AU209" s="317">
        <f t="shared" si="216"/>
        <v>0</v>
      </c>
      <c r="AV209" s="317">
        <f t="shared" si="217"/>
        <v>0</v>
      </c>
      <c r="AW209" s="317">
        <f t="shared" si="218"/>
        <v>0</v>
      </c>
      <c r="AX209" s="317">
        <f t="shared" si="189"/>
        <v>0</v>
      </c>
      <c r="AY209" s="317">
        <f t="shared" si="190"/>
        <v>0</v>
      </c>
      <c r="AZ209" s="317">
        <f t="shared" si="191"/>
        <v>0</v>
      </c>
      <c r="BA209" s="317">
        <f t="shared" si="192"/>
        <v>0</v>
      </c>
    </row>
    <row r="210" spans="1:53" s="314" customFormat="1" ht="16.5" customHeight="1">
      <c r="A210" s="63" t="str">
        <f t="array" ref="A210">IF(C210&lt;&gt;0,SUM(($C$11:C210&lt;&gt;0)*1),"")</f>
        <v/>
      </c>
      <c r="B210" s="315"/>
      <c r="C210" s="315"/>
      <c r="D210" s="315"/>
      <c r="E210" s="433"/>
      <c r="F210" s="371"/>
      <c r="G210" s="373"/>
      <c r="H210" s="373"/>
      <c r="I210" s="63" t="str">
        <f t="shared" si="180"/>
        <v/>
      </c>
      <c r="J210" s="317">
        <f t="shared" si="181"/>
        <v>0</v>
      </c>
      <c r="K210" s="317">
        <f t="shared" si="182"/>
        <v>0</v>
      </c>
      <c r="L210" s="317">
        <f t="shared" si="193"/>
        <v>0</v>
      </c>
      <c r="M210" s="317">
        <f t="shared" si="194"/>
        <v>0</v>
      </c>
      <c r="N210" s="317">
        <f t="shared" si="174"/>
        <v>0</v>
      </c>
      <c r="O210" s="317">
        <f t="shared" si="175"/>
        <v>0</v>
      </c>
      <c r="P210" s="317">
        <f t="shared" si="195"/>
        <v>0</v>
      </c>
      <c r="Q210" s="317">
        <f t="shared" si="196"/>
        <v>0</v>
      </c>
      <c r="R210" s="317">
        <f t="shared" si="197"/>
        <v>0</v>
      </c>
      <c r="S210" s="317">
        <f t="shared" si="198"/>
        <v>0</v>
      </c>
      <c r="T210" s="317">
        <f t="shared" si="176"/>
        <v>0</v>
      </c>
      <c r="U210" s="317">
        <f t="shared" si="177"/>
        <v>0</v>
      </c>
      <c r="V210" s="317">
        <f t="shared" si="199"/>
        <v>0</v>
      </c>
      <c r="W210" s="317">
        <f t="shared" si="200"/>
        <v>0</v>
      </c>
      <c r="X210" s="317">
        <f t="shared" si="201"/>
        <v>0</v>
      </c>
      <c r="Y210" s="317">
        <f t="shared" si="202"/>
        <v>0</v>
      </c>
      <c r="Z210" s="317">
        <f t="shared" si="183"/>
        <v>0</v>
      </c>
      <c r="AA210" s="317">
        <f t="shared" si="184"/>
        <v>0</v>
      </c>
      <c r="AB210" s="317">
        <f t="shared" si="203"/>
        <v>0</v>
      </c>
      <c r="AC210" s="317">
        <f t="shared" si="204"/>
        <v>0</v>
      </c>
      <c r="AD210" s="317">
        <f t="shared" si="185"/>
        <v>0</v>
      </c>
      <c r="AE210" s="317">
        <f t="shared" si="186"/>
        <v>0</v>
      </c>
      <c r="AF210" s="317">
        <f t="shared" si="178"/>
        <v>0</v>
      </c>
      <c r="AG210" s="317">
        <f t="shared" si="179"/>
        <v>0</v>
      </c>
      <c r="AH210" s="317">
        <f t="shared" si="205"/>
        <v>0</v>
      </c>
      <c r="AI210" s="317">
        <f t="shared" si="206"/>
        <v>0</v>
      </c>
      <c r="AJ210" s="317">
        <f t="shared" si="207"/>
        <v>0</v>
      </c>
      <c r="AK210" s="317">
        <f t="shared" si="208"/>
        <v>0</v>
      </c>
      <c r="AL210" s="317">
        <f t="shared" si="209"/>
        <v>0</v>
      </c>
      <c r="AM210" s="317">
        <f t="shared" si="210"/>
        <v>0</v>
      </c>
      <c r="AN210" s="317">
        <f t="shared" si="211"/>
        <v>0</v>
      </c>
      <c r="AO210" s="317">
        <f t="shared" si="212"/>
        <v>0</v>
      </c>
      <c r="AP210" s="317">
        <f t="shared" si="213"/>
        <v>0</v>
      </c>
      <c r="AQ210" s="317">
        <f t="shared" si="214"/>
        <v>0</v>
      </c>
      <c r="AR210" s="317">
        <f t="shared" si="187"/>
        <v>0</v>
      </c>
      <c r="AS210" s="317">
        <f t="shared" si="188"/>
        <v>0</v>
      </c>
      <c r="AT210" s="317">
        <f t="shared" si="215"/>
        <v>0</v>
      </c>
      <c r="AU210" s="317">
        <f t="shared" si="216"/>
        <v>0</v>
      </c>
      <c r="AV210" s="317">
        <f t="shared" si="217"/>
        <v>0</v>
      </c>
      <c r="AW210" s="317">
        <f t="shared" si="218"/>
        <v>0</v>
      </c>
      <c r="AX210" s="317">
        <f t="shared" si="189"/>
        <v>0</v>
      </c>
      <c r="AY210" s="317">
        <f t="shared" si="190"/>
        <v>0</v>
      </c>
      <c r="AZ210" s="317">
        <f t="shared" si="191"/>
        <v>0</v>
      </c>
      <c r="BA210" s="317">
        <f t="shared" si="192"/>
        <v>0</v>
      </c>
    </row>
    <row r="211" spans="1:53" s="314" customFormat="1" ht="16.5" customHeight="1">
      <c r="A211" s="63" t="str">
        <f t="array" ref="A211">IF(C211&lt;&gt;0,SUM(($C$11:C211&lt;&gt;0)*1),"")</f>
        <v/>
      </c>
      <c r="B211" s="315"/>
      <c r="C211" s="315"/>
      <c r="D211" s="315"/>
      <c r="E211" s="433"/>
      <c r="F211" s="371"/>
      <c r="G211" s="373"/>
      <c r="H211" s="373"/>
      <c r="I211" s="63" t="str">
        <f t="shared" si="180"/>
        <v/>
      </c>
      <c r="J211" s="317">
        <f t="shared" si="181"/>
        <v>0</v>
      </c>
      <c r="K211" s="317">
        <f t="shared" si="182"/>
        <v>0</v>
      </c>
      <c r="L211" s="317">
        <f t="shared" si="193"/>
        <v>0</v>
      </c>
      <c r="M211" s="317">
        <f t="shared" si="194"/>
        <v>0</v>
      </c>
      <c r="N211" s="317">
        <f t="shared" si="174"/>
        <v>0</v>
      </c>
      <c r="O211" s="317">
        <f t="shared" si="175"/>
        <v>0</v>
      </c>
      <c r="P211" s="317">
        <f t="shared" si="195"/>
        <v>0</v>
      </c>
      <c r="Q211" s="317">
        <f t="shared" si="196"/>
        <v>0</v>
      </c>
      <c r="R211" s="317">
        <f t="shared" si="197"/>
        <v>0</v>
      </c>
      <c r="S211" s="317">
        <f t="shared" si="198"/>
        <v>0</v>
      </c>
      <c r="T211" s="317">
        <f t="shared" si="176"/>
        <v>0</v>
      </c>
      <c r="U211" s="317">
        <f t="shared" si="177"/>
        <v>0</v>
      </c>
      <c r="V211" s="317">
        <f t="shared" si="199"/>
        <v>0</v>
      </c>
      <c r="W211" s="317">
        <f t="shared" si="200"/>
        <v>0</v>
      </c>
      <c r="X211" s="317">
        <f t="shared" si="201"/>
        <v>0</v>
      </c>
      <c r="Y211" s="317">
        <f t="shared" si="202"/>
        <v>0</v>
      </c>
      <c r="Z211" s="317">
        <f t="shared" si="183"/>
        <v>0</v>
      </c>
      <c r="AA211" s="317">
        <f t="shared" si="184"/>
        <v>0</v>
      </c>
      <c r="AB211" s="317">
        <f t="shared" si="203"/>
        <v>0</v>
      </c>
      <c r="AC211" s="317">
        <f t="shared" si="204"/>
        <v>0</v>
      </c>
      <c r="AD211" s="317">
        <f t="shared" si="185"/>
        <v>0</v>
      </c>
      <c r="AE211" s="317">
        <f t="shared" si="186"/>
        <v>0</v>
      </c>
      <c r="AF211" s="317">
        <f t="shared" si="178"/>
        <v>0</v>
      </c>
      <c r="AG211" s="317">
        <f t="shared" si="179"/>
        <v>0</v>
      </c>
      <c r="AH211" s="317">
        <f t="shared" si="205"/>
        <v>0</v>
      </c>
      <c r="AI211" s="317">
        <f t="shared" si="206"/>
        <v>0</v>
      </c>
      <c r="AJ211" s="317">
        <f t="shared" si="207"/>
        <v>0</v>
      </c>
      <c r="AK211" s="317">
        <f t="shared" si="208"/>
        <v>0</v>
      </c>
      <c r="AL211" s="317">
        <f t="shared" si="209"/>
        <v>0</v>
      </c>
      <c r="AM211" s="317">
        <f t="shared" si="210"/>
        <v>0</v>
      </c>
      <c r="AN211" s="317">
        <f t="shared" si="211"/>
        <v>0</v>
      </c>
      <c r="AO211" s="317">
        <f t="shared" si="212"/>
        <v>0</v>
      </c>
      <c r="AP211" s="317">
        <f t="shared" si="213"/>
        <v>0</v>
      </c>
      <c r="AQ211" s="317">
        <f t="shared" si="214"/>
        <v>0</v>
      </c>
      <c r="AR211" s="317">
        <f t="shared" si="187"/>
        <v>0</v>
      </c>
      <c r="AS211" s="317">
        <f t="shared" si="188"/>
        <v>0</v>
      </c>
      <c r="AT211" s="317">
        <f t="shared" si="215"/>
        <v>0</v>
      </c>
      <c r="AU211" s="317">
        <f t="shared" si="216"/>
        <v>0</v>
      </c>
      <c r="AV211" s="317">
        <f t="shared" si="217"/>
        <v>0</v>
      </c>
      <c r="AW211" s="317">
        <f t="shared" si="218"/>
        <v>0</v>
      </c>
      <c r="AX211" s="317">
        <f t="shared" si="189"/>
        <v>0</v>
      </c>
      <c r="AY211" s="317">
        <f t="shared" si="190"/>
        <v>0</v>
      </c>
      <c r="AZ211" s="317">
        <f t="shared" si="191"/>
        <v>0</v>
      </c>
      <c r="BA211" s="317">
        <f t="shared" si="192"/>
        <v>0</v>
      </c>
    </row>
    <row r="212" spans="1:53" s="314" customFormat="1" ht="16.5" customHeight="1">
      <c r="A212" s="63" t="str">
        <f t="array" ref="A212">IF(C212&lt;&gt;0,SUM(($C$11:C212&lt;&gt;0)*1),"")</f>
        <v/>
      </c>
      <c r="B212" s="315"/>
      <c r="C212" s="315"/>
      <c r="D212" s="315"/>
      <c r="E212" s="433"/>
      <c r="F212" s="371"/>
      <c r="G212" s="373"/>
      <c r="H212" s="373"/>
      <c r="I212" s="63" t="str">
        <f t="shared" si="180"/>
        <v/>
      </c>
      <c r="J212" s="317">
        <f t="shared" si="181"/>
        <v>0</v>
      </c>
      <c r="K212" s="317">
        <f t="shared" si="182"/>
        <v>0</v>
      </c>
      <c r="L212" s="317">
        <f t="shared" si="193"/>
        <v>0</v>
      </c>
      <c r="M212" s="317">
        <f t="shared" si="194"/>
        <v>0</v>
      </c>
      <c r="N212" s="317">
        <f t="shared" si="174"/>
        <v>0</v>
      </c>
      <c r="O212" s="317">
        <f t="shared" si="175"/>
        <v>0</v>
      </c>
      <c r="P212" s="317">
        <f t="shared" si="195"/>
        <v>0</v>
      </c>
      <c r="Q212" s="317">
        <f t="shared" si="196"/>
        <v>0</v>
      </c>
      <c r="R212" s="317">
        <f t="shared" si="197"/>
        <v>0</v>
      </c>
      <c r="S212" s="317">
        <f t="shared" si="198"/>
        <v>0</v>
      </c>
      <c r="T212" s="317">
        <f t="shared" si="176"/>
        <v>0</v>
      </c>
      <c r="U212" s="317">
        <f t="shared" si="177"/>
        <v>0</v>
      </c>
      <c r="V212" s="317">
        <f t="shared" si="199"/>
        <v>0</v>
      </c>
      <c r="W212" s="317">
        <f t="shared" si="200"/>
        <v>0</v>
      </c>
      <c r="X212" s="317">
        <f t="shared" si="201"/>
        <v>0</v>
      </c>
      <c r="Y212" s="317">
        <f t="shared" si="202"/>
        <v>0</v>
      </c>
      <c r="Z212" s="317">
        <f t="shared" si="183"/>
        <v>0</v>
      </c>
      <c r="AA212" s="317">
        <f t="shared" si="184"/>
        <v>0</v>
      </c>
      <c r="AB212" s="317">
        <f t="shared" si="203"/>
        <v>0</v>
      </c>
      <c r="AC212" s="317">
        <f t="shared" si="204"/>
        <v>0</v>
      </c>
      <c r="AD212" s="317">
        <f t="shared" si="185"/>
        <v>0</v>
      </c>
      <c r="AE212" s="317">
        <f t="shared" si="186"/>
        <v>0</v>
      </c>
      <c r="AF212" s="317">
        <f t="shared" si="178"/>
        <v>0</v>
      </c>
      <c r="AG212" s="317">
        <f t="shared" si="179"/>
        <v>0</v>
      </c>
      <c r="AH212" s="317">
        <f t="shared" si="205"/>
        <v>0</v>
      </c>
      <c r="AI212" s="317">
        <f t="shared" si="206"/>
        <v>0</v>
      </c>
      <c r="AJ212" s="317">
        <f t="shared" si="207"/>
        <v>0</v>
      </c>
      <c r="AK212" s="317">
        <f t="shared" si="208"/>
        <v>0</v>
      </c>
      <c r="AL212" s="317">
        <f t="shared" si="209"/>
        <v>0</v>
      </c>
      <c r="AM212" s="317">
        <f t="shared" si="210"/>
        <v>0</v>
      </c>
      <c r="AN212" s="317">
        <f t="shared" si="211"/>
        <v>0</v>
      </c>
      <c r="AO212" s="317">
        <f t="shared" si="212"/>
        <v>0</v>
      </c>
      <c r="AP212" s="317">
        <f t="shared" si="213"/>
        <v>0</v>
      </c>
      <c r="AQ212" s="317">
        <f t="shared" si="214"/>
        <v>0</v>
      </c>
      <c r="AR212" s="317">
        <f t="shared" si="187"/>
        <v>0</v>
      </c>
      <c r="AS212" s="317">
        <f t="shared" si="188"/>
        <v>0</v>
      </c>
      <c r="AT212" s="317">
        <f t="shared" si="215"/>
        <v>0</v>
      </c>
      <c r="AU212" s="317">
        <f t="shared" si="216"/>
        <v>0</v>
      </c>
      <c r="AV212" s="317">
        <f t="shared" si="217"/>
        <v>0</v>
      </c>
      <c r="AW212" s="317">
        <f t="shared" si="218"/>
        <v>0</v>
      </c>
      <c r="AX212" s="317">
        <f t="shared" si="189"/>
        <v>0</v>
      </c>
      <c r="AY212" s="317">
        <f t="shared" si="190"/>
        <v>0</v>
      </c>
      <c r="AZ212" s="317">
        <f t="shared" si="191"/>
        <v>0</v>
      </c>
      <c r="BA212" s="317">
        <f t="shared" si="192"/>
        <v>0</v>
      </c>
    </row>
    <row r="213" spans="1:53" s="314" customFormat="1" ht="16.5" customHeight="1">
      <c r="A213" s="63" t="str">
        <f t="array" ref="A213">IF(C213&lt;&gt;0,SUM(($C$11:C213&lt;&gt;0)*1),"")</f>
        <v/>
      </c>
      <c r="B213" s="315"/>
      <c r="C213" s="315"/>
      <c r="D213" s="315"/>
      <c r="E213" s="433"/>
      <c r="F213" s="371"/>
      <c r="G213" s="373"/>
      <c r="H213" s="373"/>
      <c r="I213" s="63" t="str">
        <f t="shared" si="180"/>
        <v/>
      </c>
      <c r="J213" s="317">
        <f t="shared" si="181"/>
        <v>0</v>
      </c>
      <c r="K213" s="317">
        <f t="shared" si="182"/>
        <v>0</v>
      </c>
      <c r="L213" s="317">
        <f t="shared" si="193"/>
        <v>0</v>
      </c>
      <c r="M213" s="317">
        <f t="shared" si="194"/>
        <v>0</v>
      </c>
      <c r="N213" s="317">
        <f t="shared" si="174"/>
        <v>0</v>
      </c>
      <c r="O213" s="317">
        <f t="shared" si="175"/>
        <v>0</v>
      </c>
      <c r="P213" s="317">
        <f t="shared" si="195"/>
        <v>0</v>
      </c>
      <c r="Q213" s="317">
        <f t="shared" si="196"/>
        <v>0</v>
      </c>
      <c r="R213" s="317">
        <f t="shared" si="197"/>
        <v>0</v>
      </c>
      <c r="S213" s="317">
        <f t="shared" si="198"/>
        <v>0</v>
      </c>
      <c r="T213" s="317">
        <f t="shared" si="176"/>
        <v>0</v>
      </c>
      <c r="U213" s="317">
        <f t="shared" si="177"/>
        <v>0</v>
      </c>
      <c r="V213" s="317">
        <f t="shared" si="199"/>
        <v>0</v>
      </c>
      <c r="W213" s="317">
        <f t="shared" si="200"/>
        <v>0</v>
      </c>
      <c r="X213" s="317">
        <f t="shared" si="201"/>
        <v>0</v>
      </c>
      <c r="Y213" s="317">
        <f t="shared" si="202"/>
        <v>0</v>
      </c>
      <c r="Z213" s="317">
        <f t="shared" si="183"/>
        <v>0</v>
      </c>
      <c r="AA213" s="317">
        <f t="shared" si="184"/>
        <v>0</v>
      </c>
      <c r="AB213" s="317">
        <f t="shared" si="203"/>
        <v>0</v>
      </c>
      <c r="AC213" s="317">
        <f t="shared" si="204"/>
        <v>0</v>
      </c>
      <c r="AD213" s="317">
        <f t="shared" si="185"/>
        <v>0</v>
      </c>
      <c r="AE213" s="317">
        <f t="shared" si="186"/>
        <v>0</v>
      </c>
      <c r="AF213" s="317">
        <f t="shared" si="178"/>
        <v>0</v>
      </c>
      <c r="AG213" s="317">
        <f t="shared" si="179"/>
        <v>0</v>
      </c>
      <c r="AH213" s="317">
        <f t="shared" si="205"/>
        <v>0</v>
      </c>
      <c r="AI213" s="317">
        <f t="shared" si="206"/>
        <v>0</v>
      </c>
      <c r="AJ213" s="317">
        <f t="shared" si="207"/>
        <v>0</v>
      </c>
      <c r="AK213" s="317">
        <f t="shared" si="208"/>
        <v>0</v>
      </c>
      <c r="AL213" s="317">
        <f t="shared" si="209"/>
        <v>0</v>
      </c>
      <c r="AM213" s="317">
        <f t="shared" si="210"/>
        <v>0</v>
      </c>
      <c r="AN213" s="317">
        <f t="shared" si="211"/>
        <v>0</v>
      </c>
      <c r="AO213" s="317">
        <f t="shared" si="212"/>
        <v>0</v>
      </c>
      <c r="AP213" s="317">
        <f t="shared" si="213"/>
        <v>0</v>
      </c>
      <c r="AQ213" s="317">
        <f t="shared" si="214"/>
        <v>0</v>
      </c>
      <c r="AR213" s="317">
        <f t="shared" si="187"/>
        <v>0</v>
      </c>
      <c r="AS213" s="317">
        <f t="shared" si="188"/>
        <v>0</v>
      </c>
      <c r="AT213" s="317">
        <f t="shared" si="215"/>
        <v>0</v>
      </c>
      <c r="AU213" s="317">
        <f t="shared" si="216"/>
        <v>0</v>
      </c>
      <c r="AV213" s="317">
        <f t="shared" si="217"/>
        <v>0</v>
      </c>
      <c r="AW213" s="317">
        <f t="shared" si="218"/>
        <v>0</v>
      </c>
      <c r="AX213" s="317">
        <f t="shared" si="189"/>
        <v>0</v>
      </c>
      <c r="AY213" s="317">
        <f t="shared" si="190"/>
        <v>0</v>
      </c>
      <c r="AZ213" s="317">
        <f t="shared" si="191"/>
        <v>0</v>
      </c>
      <c r="BA213" s="317">
        <f t="shared" si="192"/>
        <v>0</v>
      </c>
    </row>
    <row r="214" spans="1:53" s="314" customFormat="1" ht="16.5" customHeight="1">
      <c r="A214" s="63" t="str">
        <f t="array" ref="A214">IF(C214&lt;&gt;0,SUM(($C$11:C214&lt;&gt;0)*1),"")</f>
        <v/>
      </c>
      <c r="B214" s="315"/>
      <c r="C214" s="315"/>
      <c r="D214" s="315"/>
      <c r="E214" s="433"/>
      <c r="F214" s="371"/>
      <c r="G214" s="373"/>
      <c r="H214" s="373"/>
      <c r="I214" s="63" t="str">
        <f t="shared" si="180"/>
        <v/>
      </c>
      <c r="J214" s="317">
        <f t="shared" si="181"/>
        <v>0</v>
      </c>
      <c r="K214" s="317">
        <f t="shared" si="182"/>
        <v>0</v>
      </c>
      <c r="L214" s="317">
        <f t="shared" si="193"/>
        <v>0</v>
      </c>
      <c r="M214" s="317">
        <f t="shared" si="194"/>
        <v>0</v>
      </c>
      <c r="N214" s="317">
        <f t="shared" si="174"/>
        <v>0</v>
      </c>
      <c r="O214" s="317">
        <f t="shared" si="175"/>
        <v>0</v>
      </c>
      <c r="P214" s="317">
        <f t="shared" si="195"/>
        <v>0</v>
      </c>
      <c r="Q214" s="317">
        <f t="shared" si="196"/>
        <v>0</v>
      </c>
      <c r="R214" s="317">
        <f t="shared" si="197"/>
        <v>0</v>
      </c>
      <c r="S214" s="317">
        <f t="shared" si="198"/>
        <v>0</v>
      </c>
      <c r="T214" s="317">
        <f t="shared" si="176"/>
        <v>0</v>
      </c>
      <c r="U214" s="317">
        <f t="shared" si="177"/>
        <v>0</v>
      </c>
      <c r="V214" s="317">
        <f t="shared" si="199"/>
        <v>0</v>
      </c>
      <c r="W214" s="317">
        <f t="shared" si="200"/>
        <v>0</v>
      </c>
      <c r="X214" s="317">
        <f t="shared" si="201"/>
        <v>0</v>
      </c>
      <c r="Y214" s="317">
        <f t="shared" si="202"/>
        <v>0</v>
      </c>
      <c r="Z214" s="317">
        <f t="shared" si="183"/>
        <v>0</v>
      </c>
      <c r="AA214" s="317">
        <f t="shared" si="184"/>
        <v>0</v>
      </c>
      <c r="AB214" s="317">
        <f t="shared" si="203"/>
        <v>0</v>
      </c>
      <c r="AC214" s="317">
        <f t="shared" si="204"/>
        <v>0</v>
      </c>
      <c r="AD214" s="317">
        <f t="shared" si="185"/>
        <v>0</v>
      </c>
      <c r="AE214" s="317">
        <f t="shared" si="186"/>
        <v>0</v>
      </c>
      <c r="AF214" s="317">
        <f t="shared" si="178"/>
        <v>0</v>
      </c>
      <c r="AG214" s="317">
        <f t="shared" si="179"/>
        <v>0</v>
      </c>
      <c r="AH214" s="317">
        <f t="shared" si="205"/>
        <v>0</v>
      </c>
      <c r="AI214" s="317">
        <f t="shared" si="206"/>
        <v>0</v>
      </c>
      <c r="AJ214" s="317">
        <f t="shared" si="207"/>
        <v>0</v>
      </c>
      <c r="AK214" s="317">
        <f t="shared" si="208"/>
        <v>0</v>
      </c>
      <c r="AL214" s="317">
        <f t="shared" si="209"/>
        <v>0</v>
      </c>
      <c r="AM214" s="317">
        <f t="shared" si="210"/>
        <v>0</v>
      </c>
      <c r="AN214" s="317">
        <f t="shared" si="211"/>
        <v>0</v>
      </c>
      <c r="AO214" s="317">
        <f t="shared" si="212"/>
        <v>0</v>
      </c>
      <c r="AP214" s="317">
        <f t="shared" si="213"/>
        <v>0</v>
      </c>
      <c r="AQ214" s="317">
        <f t="shared" si="214"/>
        <v>0</v>
      </c>
      <c r="AR214" s="317">
        <f t="shared" si="187"/>
        <v>0</v>
      </c>
      <c r="AS214" s="317">
        <f t="shared" si="188"/>
        <v>0</v>
      </c>
      <c r="AT214" s="317">
        <f t="shared" si="215"/>
        <v>0</v>
      </c>
      <c r="AU214" s="317">
        <f t="shared" si="216"/>
        <v>0</v>
      </c>
      <c r="AV214" s="317">
        <f t="shared" si="217"/>
        <v>0</v>
      </c>
      <c r="AW214" s="317">
        <f t="shared" si="218"/>
        <v>0</v>
      </c>
      <c r="AX214" s="317">
        <f t="shared" si="189"/>
        <v>0</v>
      </c>
      <c r="AY214" s="317">
        <f t="shared" si="190"/>
        <v>0</v>
      </c>
      <c r="AZ214" s="317">
        <f t="shared" si="191"/>
        <v>0</v>
      </c>
      <c r="BA214" s="317">
        <f t="shared" si="192"/>
        <v>0</v>
      </c>
    </row>
    <row r="215" spans="1:53" s="314" customFormat="1" ht="16.5" customHeight="1">
      <c r="A215" s="63" t="str">
        <f t="array" ref="A215">IF(C215&lt;&gt;0,SUM(($C$11:C215&lt;&gt;0)*1),"")</f>
        <v/>
      </c>
      <c r="B215" s="315"/>
      <c r="C215" s="315"/>
      <c r="D215" s="315"/>
      <c r="E215" s="433"/>
      <c r="F215" s="371"/>
      <c r="G215" s="373"/>
      <c r="H215" s="373"/>
      <c r="I215" s="63" t="str">
        <f t="shared" si="180"/>
        <v/>
      </c>
      <c r="J215" s="317">
        <f t="shared" si="181"/>
        <v>0</v>
      </c>
      <c r="K215" s="317">
        <f t="shared" si="182"/>
        <v>0</v>
      </c>
      <c r="L215" s="317">
        <f t="shared" si="193"/>
        <v>0</v>
      </c>
      <c r="M215" s="317">
        <f t="shared" si="194"/>
        <v>0</v>
      </c>
      <c r="N215" s="317">
        <f t="shared" si="174"/>
        <v>0</v>
      </c>
      <c r="O215" s="317">
        <f t="shared" si="175"/>
        <v>0</v>
      </c>
      <c r="P215" s="317">
        <f t="shared" si="195"/>
        <v>0</v>
      </c>
      <c r="Q215" s="317">
        <f t="shared" si="196"/>
        <v>0</v>
      </c>
      <c r="R215" s="317">
        <f t="shared" si="197"/>
        <v>0</v>
      </c>
      <c r="S215" s="317">
        <f t="shared" si="198"/>
        <v>0</v>
      </c>
      <c r="T215" s="317">
        <f t="shared" si="176"/>
        <v>0</v>
      </c>
      <c r="U215" s="317">
        <f t="shared" si="177"/>
        <v>0</v>
      </c>
      <c r="V215" s="317">
        <f t="shared" si="199"/>
        <v>0</v>
      </c>
      <c r="W215" s="317">
        <f t="shared" si="200"/>
        <v>0</v>
      </c>
      <c r="X215" s="317">
        <f t="shared" si="201"/>
        <v>0</v>
      </c>
      <c r="Y215" s="317">
        <f t="shared" si="202"/>
        <v>0</v>
      </c>
      <c r="Z215" s="317">
        <f t="shared" si="183"/>
        <v>0</v>
      </c>
      <c r="AA215" s="317">
        <f t="shared" si="184"/>
        <v>0</v>
      </c>
      <c r="AB215" s="317">
        <f t="shared" si="203"/>
        <v>0</v>
      </c>
      <c r="AC215" s="317">
        <f t="shared" si="204"/>
        <v>0</v>
      </c>
      <c r="AD215" s="317">
        <f t="shared" si="185"/>
        <v>0</v>
      </c>
      <c r="AE215" s="317">
        <f t="shared" si="186"/>
        <v>0</v>
      </c>
      <c r="AF215" s="317">
        <f t="shared" si="178"/>
        <v>0</v>
      </c>
      <c r="AG215" s="317">
        <f t="shared" si="179"/>
        <v>0</v>
      </c>
      <c r="AH215" s="317">
        <f t="shared" si="205"/>
        <v>0</v>
      </c>
      <c r="AI215" s="317">
        <f t="shared" si="206"/>
        <v>0</v>
      </c>
      <c r="AJ215" s="317">
        <f t="shared" si="207"/>
        <v>0</v>
      </c>
      <c r="AK215" s="317">
        <f t="shared" si="208"/>
        <v>0</v>
      </c>
      <c r="AL215" s="317">
        <f t="shared" si="209"/>
        <v>0</v>
      </c>
      <c r="AM215" s="317">
        <f t="shared" si="210"/>
        <v>0</v>
      </c>
      <c r="AN215" s="317">
        <f t="shared" si="211"/>
        <v>0</v>
      </c>
      <c r="AO215" s="317">
        <f t="shared" si="212"/>
        <v>0</v>
      </c>
      <c r="AP215" s="317">
        <f t="shared" si="213"/>
        <v>0</v>
      </c>
      <c r="AQ215" s="317">
        <f t="shared" si="214"/>
        <v>0</v>
      </c>
      <c r="AR215" s="317">
        <f t="shared" si="187"/>
        <v>0</v>
      </c>
      <c r="AS215" s="317">
        <f t="shared" si="188"/>
        <v>0</v>
      </c>
      <c r="AT215" s="317">
        <f t="shared" si="215"/>
        <v>0</v>
      </c>
      <c r="AU215" s="317">
        <f t="shared" si="216"/>
        <v>0</v>
      </c>
      <c r="AV215" s="317">
        <f t="shared" si="217"/>
        <v>0</v>
      </c>
      <c r="AW215" s="317">
        <f t="shared" si="218"/>
        <v>0</v>
      </c>
      <c r="AX215" s="317">
        <f t="shared" si="189"/>
        <v>0</v>
      </c>
      <c r="AY215" s="317">
        <f t="shared" si="190"/>
        <v>0</v>
      </c>
      <c r="AZ215" s="317">
        <f t="shared" si="191"/>
        <v>0</v>
      </c>
      <c r="BA215" s="317">
        <f t="shared" si="192"/>
        <v>0</v>
      </c>
    </row>
    <row r="216" spans="1:53" s="314" customFormat="1" ht="16.5" customHeight="1">
      <c r="A216" s="63" t="str">
        <f t="array" ref="A216">IF(C216&lt;&gt;0,SUM(($C$11:C216&lt;&gt;0)*1),"")</f>
        <v/>
      </c>
      <c r="B216" s="315"/>
      <c r="C216" s="315"/>
      <c r="D216" s="315"/>
      <c r="E216" s="433"/>
      <c r="F216" s="371"/>
      <c r="G216" s="373"/>
      <c r="H216" s="373"/>
      <c r="I216" s="63" t="str">
        <f t="shared" si="180"/>
        <v/>
      </c>
      <c r="J216" s="317">
        <f t="shared" si="181"/>
        <v>0</v>
      </c>
      <c r="K216" s="317">
        <f t="shared" si="182"/>
        <v>0</v>
      </c>
      <c r="L216" s="317">
        <f t="shared" si="193"/>
        <v>0</v>
      </c>
      <c r="M216" s="317">
        <f t="shared" si="194"/>
        <v>0</v>
      </c>
      <c r="N216" s="317">
        <f t="shared" si="174"/>
        <v>0</v>
      </c>
      <c r="O216" s="317">
        <f t="shared" si="175"/>
        <v>0</v>
      </c>
      <c r="P216" s="317">
        <f t="shared" si="195"/>
        <v>0</v>
      </c>
      <c r="Q216" s="317">
        <f t="shared" si="196"/>
        <v>0</v>
      </c>
      <c r="R216" s="317">
        <f t="shared" si="197"/>
        <v>0</v>
      </c>
      <c r="S216" s="317">
        <f t="shared" si="198"/>
        <v>0</v>
      </c>
      <c r="T216" s="317">
        <f t="shared" si="176"/>
        <v>0</v>
      </c>
      <c r="U216" s="317">
        <f t="shared" si="177"/>
        <v>0</v>
      </c>
      <c r="V216" s="317">
        <f t="shared" si="199"/>
        <v>0</v>
      </c>
      <c r="W216" s="317">
        <f t="shared" si="200"/>
        <v>0</v>
      </c>
      <c r="X216" s="317">
        <f t="shared" si="201"/>
        <v>0</v>
      </c>
      <c r="Y216" s="317">
        <f t="shared" si="202"/>
        <v>0</v>
      </c>
      <c r="Z216" s="317">
        <f t="shared" si="183"/>
        <v>0</v>
      </c>
      <c r="AA216" s="317">
        <f t="shared" si="184"/>
        <v>0</v>
      </c>
      <c r="AB216" s="317">
        <f t="shared" si="203"/>
        <v>0</v>
      </c>
      <c r="AC216" s="317">
        <f t="shared" si="204"/>
        <v>0</v>
      </c>
      <c r="AD216" s="317">
        <f t="shared" si="185"/>
        <v>0</v>
      </c>
      <c r="AE216" s="317">
        <f t="shared" si="186"/>
        <v>0</v>
      </c>
      <c r="AF216" s="317">
        <f t="shared" si="178"/>
        <v>0</v>
      </c>
      <c r="AG216" s="317">
        <f t="shared" si="179"/>
        <v>0</v>
      </c>
      <c r="AH216" s="317">
        <f t="shared" si="205"/>
        <v>0</v>
      </c>
      <c r="AI216" s="317">
        <f t="shared" si="206"/>
        <v>0</v>
      </c>
      <c r="AJ216" s="317">
        <f t="shared" si="207"/>
        <v>0</v>
      </c>
      <c r="AK216" s="317">
        <f t="shared" si="208"/>
        <v>0</v>
      </c>
      <c r="AL216" s="317">
        <f t="shared" si="209"/>
        <v>0</v>
      </c>
      <c r="AM216" s="317">
        <f t="shared" si="210"/>
        <v>0</v>
      </c>
      <c r="AN216" s="317">
        <f t="shared" si="211"/>
        <v>0</v>
      </c>
      <c r="AO216" s="317">
        <f t="shared" si="212"/>
        <v>0</v>
      </c>
      <c r="AP216" s="317">
        <f t="shared" si="213"/>
        <v>0</v>
      </c>
      <c r="AQ216" s="317">
        <f t="shared" si="214"/>
        <v>0</v>
      </c>
      <c r="AR216" s="317">
        <f t="shared" si="187"/>
        <v>0</v>
      </c>
      <c r="AS216" s="317">
        <f t="shared" si="188"/>
        <v>0</v>
      </c>
      <c r="AT216" s="317">
        <f t="shared" si="215"/>
        <v>0</v>
      </c>
      <c r="AU216" s="317">
        <f t="shared" si="216"/>
        <v>0</v>
      </c>
      <c r="AV216" s="317">
        <f t="shared" si="217"/>
        <v>0</v>
      </c>
      <c r="AW216" s="317">
        <f t="shared" si="218"/>
        <v>0</v>
      </c>
      <c r="AX216" s="317">
        <f t="shared" si="189"/>
        <v>0</v>
      </c>
      <c r="AY216" s="317">
        <f t="shared" si="190"/>
        <v>0</v>
      </c>
      <c r="AZ216" s="317">
        <f t="shared" si="191"/>
        <v>0</v>
      </c>
      <c r="BA216" s="317">
        <f t="shared" si="192"/>
        <v>0</v>
      </c>
    </row>
    <row r="217" spans="1:53" s="314" customFormat="1" ht="16.5" customHeight="1">
      <c r="A217" s="63" t="str">
        <f t="array" ref="A217">IF(C217&lt;&gt;0,SUM(($C$11:C217&lt;&gt;0)*1),"")</f>
        <v/>
      </c>
      <c r="B217" s="315"/>
      <c r="C217" s="315"/>
      <c r="D217" s="315"/>
      <c r="E217" s="433"/>
      <c r="F217" s="371"/>
      <c r="G217" s="373"/>
      <c r="H217" s="373"/>
      <c r="I217" s="63" t="str">
        <f t="shared" si="180"/>
        <v/>
      </c>
      <c r="J217" s="317">
        <f t="shared" si="181"/>
        <v>0</v>
      </c>
      <c r="K217" s="317">
        <f t="shared" si="182"/>
        <v>0</v>
      </c>
      <c r="L217" s="317">
        <f t="shared" si="193"/>
        <v>0</v>
      </c>
      <c r="M217" s="317">
        <f t="shared" si="194"/>
        <v>0</v>
      </c>
      <c r="N217" s="317">
        <f t="shared" si="174"/>
        <v>0</v>
      </c>
      <c r="O217" s="317">
        <f t="shared" si="175"/>
        <v>0</v>
      </c>
      <c r="P217" s="317">
        <f t="shared" si="195"/>
        <v>0</v>
      </c>
      <c r="Q217" s="317">
        <f t="shared" si="196"/>
        <v>0</v>
      </c>
      <c r="R217" s="317">
        <f t="shared" si="197"/>
        <v>0</v>
      </c>
      <c r="S217" s="317">
        <f t="shared" si="198"/>
        <v>0</v>
      </c>
      <c r="T217" s="317">
        <f t="shared" si="176"/>
        <v>0</v>
      </c>
      <c r="U217" s="317">
        <f t="shared" si="177"/>
        <v>0</v>
      </c>
      <c r="V217" s="317">
        <f t="shared" si="199"/>
        <v>0</v>
      </c>
      <c r="W217" s="317">
        <f t="shared" si="200"/>
        <v>0</v>
      </c>
      <c r="X217" s="317">
        <f t="shared" si="201"/>
        <v>0</v>
      </c>
      <c r="Y217" s="317">
        <f t="shared" si="202"/>
        <v>0</v>
      </c>
      <c r="Z217" s="317">
        <f t="shared" si="183"/>
        <v>0</v>
      </c>
      <c r="AA217" s="317">
        <f t="shared" si="184"/>
        <v>0</v>
      </c>
      <c r="AB217" s="317">
        <f t="shared" si="203"/>
        <v>0</v>
      </c>
      <c r="AC217" s="317">
        <f t="shared" si="204"/>
        <v>0</v>
      </c>
      <c r="AD217" s="317">
        <f t="shared" si="185"/>
        <v>0</v>
      </c>
      <c r="AE217" s="317">
        <f t="shared" si="186"/>
        <v>0</v>
      </c>
      <c r="AF217" s="317">
        <f t="shared" si="178"/>
        <v>0</v>
      </c>
      <c r="AG217" s="317">
        <f t="shared" si="179"/>
        <v>0</v>
      </c>
      <c r="AH217" s="317">
        <f t="shared" si="205"/>
        <v>0</v>
      </c>
      <c r="AI217" s="317">
        <f t="shared" si="206"/>
        <v>0</v>
      </c>
      <c r="AJ217" s="317">
        <f t="shared" si="207"/>
        <v>0</v>
      </c>
      <c r="AK217" s="317">
        <f t="shared" si="208"/>
        <v>0</v>
      </c>
      <c r="AL217" s="317">
        <f t="shared" si="209"/>
        <v>0</v>
      </c>
      <c r="AM217" s="317">
        <f t="shared" si="210"/>
        <v>0</v>
      </c>
      <c r="AN217" s="317">
        <f t="shared" si="211"/>
        <v>0</v>
      </c>
      <c r="AO217" s="317">
        <f t="shared" si="212"/>
        <v>0</v>
      </c>
      <c r="AP217" s="317">
        <f t="shared" si="213"/>
        <v>0</v>
      </c>
      <c r="AQ217" s="317">
        <f t="shared" si="214"/>
        <v>0</v>
      </c>
      <c r="AR217" s="317">
        <f t="shared" si="187"/>
        <v>0</v>
      </c>
      <c r="AS217" s="317">
        <f t="shared" si="188"/>
        <v>0</v>
      </c>
      <c r="AT217" s="317">
        <f t="shared" si="215"/>
        <v>0</v>
      </c>
      <c r="AU217" s="317">
        <f t="shared" si="216"/>
        <v>0</v>
      </c>
      <c r="AV217" s="317">
        <f t="shared" si="217"/>
        <v>0</v>
      </c>
      <c r="AW217" s="317">
        <f t="shared" si="218"/>
        <v>0</v>
      </c>
      <c r="AX217" s="317">
        <f t="shared" si="189"/>
        <v>0</v>
      </c>
      <c r="AY217" s="317">
        <f t="shared" si="190"/>
        <v>0</v>
      </c>
      <c r="AZ217" s="317">
        <f t="shared" si="191"/>
        <v>0</v>
      </c>
      <c r="BA217" s="317">
        <f t="shared" si="192"/>
        <v>0</v>
      </c>
    </row>
    <row r="218" spans="1:53" s="314" customFormat="1" ht="16.5" customHeight="1">
      <c r="A218" s="63" t="str">
        <f t="array" ref="A218">IF(C218&lt;&gt;0,SUM(($C$11:C218&lt;&gt;0)*1),"")</f>
        <v/>
      </c>
      <c r="B218" s="315"/>
      <c r="C218" s="315"/>
      <c r="D218" s="315"/>
      <c r="E218" s="433"/>
      <c r="F218" s="371"/>
      <c r="G218" s="373"/>
      <c r="H218" s="373"/>
      <c r="I218" s="63" t="str">
        <f t="shared" si="180"/>
        <v/>
      </c>
      <c r="J218" s="317">
        <f t="shared" si="181"/>
        <v>0</v>
      </c>
      <c r="K218" s="317">
        <f t="shared" si="182"/>
        <v>0</v>
      </c>
      <c r="L218" s="317">
        <f t="shared" si="193"/>
        <v>0</v>
      </c>
      <c r="M218" s="317">
        <f t="shared" si="194"/>
        <v>0</v>
      </c>
      <c r="N218" s="317">
        <f t="shared" si="174"/>
        <v>0</v>
      </c>
      <c r="O218" s="317">
        <f t="shared" si="175"/>
        <v>0</v>
      </c>
      <c r="P218" s="317">
        <f t="shared" si="195"/>
        <v>0</v>
      </c>
      <c r="Q218" s="317">
        <f t="shared" si="196"/>
        <v>0</v>
      </c>
      <c r="R218" s="317">
        <f t="shared" si="197"/>
        <v>0</v>
      </c>
      <c r="S218" s="317">
        <f t="shared" si="198"/>
        <v>0</v>
      </c>
      <c r="T218" s="317">
        <f t="shared" si="176"/>
        <v>0</v>
      </c>
      <c r="U218" s="317">
        <f t="shared" si="177"/>
        <v>0</v>
      </c>
      <c r="V218" s="317">
        <f t="shared" si="199"/>
        <v>0</v>
      </c>
      <c r="W218" s="317">
        <f t="shared" si="200"/>
        <v>0</v>
      </c>
      <c r="X218" s="317">
        <f t="shared" si="201"/>
        <v>0</v>
      </c>
      <c r="Y218" s="317">
        <f t="shared" si="202"/>
        <v>0</v>
      </c>
      <c r="Z218" s="317">
        <f t="shared" si="183"/>
        <v>0</v>
      </c>
      <c r="AA218" s="317">
        <f t="shared" si="184"/>
        <v>0</v>
      </c>
      <c r="AB218" s="317">
        <f t="shared" si="203"/>
        <v>0</v>
      </c>
      <c r="AC218" s="317">
        <f t="shared" si="204"/>
        <v>0</v>
      </c>
      <c r="AD218" s="317">
        <f t="shared" si="185"/>
        <v>0</v>
      </c>
      <c r="AE218" s="317">
        <f t="shared" si="186"/>
        <v>0</v>
      </c>
      <c r="AF218" s="317">
        <f t="shared" si="178"/>
        <v>0</v>
      </c>
      <c r="AG218" s="317">
        <f t="shared" si="179"/>
        <v>0</v>
      </c>
      <c r="AH218" s="317">
        <f t="shared" si="205"/>
        <v>0</v>
      </c>
      <c r="AI218" s="317">
        <f t="shared" si="206"/>
        <v>0</v>
      </c>
      <c r="AJ218" s="317">
        <f t="shared" si="207"/>
        <v>0</v>
      </c>
      <c r="AK218" s="317">
        <f t="shared" si="208"/>
        <v>0</v>
      </c>
      <c r="AL218" s="317">
        <f t="shared" si="209"/>
        <v>0</v>
      </c>
      <c r="AM218" s="317">
        <f t="shared" si="210"/>
        <v>0</v>
      </c>
      <c r="AN218" s="317">
        <f t="shared" si="211"/>
        <v>0</v>
      </c>
      <c r="AO218" s="317">
        <f t="shared" si="212"/>
        <v>0</v>
      </c>
      <c r="AP218" s="317">
        <f t="shared" si="213"/>
        <v>0</v>
      </c>
      <c r="AQ218" s="317">
        <f t="shared" si="214"/>
        <v>0</v>
      </c>
      <c r="AR218" s="317">
        <f t="shared" si="187"/>
        <v>0</v>
      </c>
      <c r="AS218" s="317">
        <f t="shared" si="188"/>
        <v>0</v>
      </c>
      <c r="AT218" s="317">
        <f t="shared" si="215"/>
        <v>0</v>
      </c>
      <c r="AU218" s="317">
        <f t="shared" si="216"/>
        <v>0</v>
      </c>
      <c r="AV218" s="317">
        <f t="shared" si="217"/>
        <v>0</v>
      </c>
      <c r="AW218" s="317">
        <f t="shared" si="218"/>
        <v>0</v>
      </c>
      <c r="AX218" s="317">
        <f t="shared" si="189"/>
        <v>0</v>
      </c>
      <c r="AY218" s="317">
        <f t="shared" si="190"/>
        <v>0</v>
      </c>
      <c r="AZ218" s="317">
        <f t="shared" si="191"/>
        <v>0</v>
      </c>
      <c r="BA218" s="317">
        <f t="shared" si="192"/>
        <v>0</v>
      </c>
    </row>
    <row r="219" spans="1:53" s="314" customFormat="1" ht="16.5" customHeight="1">
      <c r="A219" s="63" t="str">
        <f t="array" ref="A219">IF(C219&lt;&gt;0,SUM(($C$11:C219&lt;&gt;0)*1),"")</f>
        <v/>
      </c>
      <c r="B219" s="315"/>
      <c r="C219" s="315"/>
      <c r="D219" s="315"/>
      <c r="E219" s="433"/>
      <c r="F219" s="371"/>
      <c r="G219" s="373"/>
      <c r="H219" s="373"/>
      <c r="I219" s="63" t="str">
        <f t="shared" si="180"/>
        <v/>
      </c>
      <c r="J219" s="317">
        <f t="shared" si="181"/>
        <v>0</v>
      </c>
      <c r="K219" s="317">
        <f t="shared" si="182"/>
        <v>0</v>
      </c>
      <c r="L219" s="317">
        <f t="shared" si="193"/>
        <v>0</v>
      </c>
      <c r="M219" s="317">
        <f t="shared" si="194"/>
        <v>0</v>
      </c>
      <c r="N219" s="317">
        <f t="shared" si="174"/>
        <v>0</v>
      </c>
      <c r="O219" s="317">
        <f t="shared" si="175"/>
        <v>0</v>
      </c>
      <c r="P219" s="317">
        <f t="shared" si="195"/>
        <v>0</v>
      </c>
      <c r="Q219" s="317">
        <f t="shared" si="196"/>
        <v>0</v>
      </c>
      <c r="R219" s="317">
        <f t="shared" si="197"/>
        <v>0</v>
      </c>
      <c r="S219" s="317">
        <f t="shared" si="198"/>
        <v>0</v>
      </c>
      <c r="T219" s="317">
        <f t="shared" si="176"/>
        <v>0</v>
      </c>
      <c r="U219" s="317">
        <f t="shared" si="177"/>
        <v>0</v>
      </c>
      <c r="V219" s="317">
        <f t="shared" si="199"/>
        <v>0</v>
      </c>
      <c r="W219" s="317">
        <f t="shared" si="200"/>
        <v>0</v>
      </c>
      <c r="X219" s="317">
        <f t="shared" si="201"/>
        <v>0</v>
      </c>
      <c r="Y219" s="317">
        <f t="shared" si="202"/>
        <v>0</v>
      </c>
      <c r="Z219" s="317">
        <f t="shared" si="183"/>
        <v>0</v>
      </c>
      <c r="AA219" s="317">
        <f t="shared" si="184"/>
        <v>0</v>
      </c>
      <c r="AB219" s="317">
        <f t="shared" si="203"/>
        <v>0</v>
      </c>
      <c r="AC219" s="317">
        <f t="shared" si="204"/>
        <v>0</v>
      </c>
      <c r="AD219" s="317">
        <f t="shared" si="185"/>
        <v>0</v>
      </c>
      <c r="AE219" s="317">
        <f t="shared" si="186"/>
        <v>0</v>
      </c>
      <c r="AF219" s="317">
        <f t="shared" si="178"/>
        <v>0</v>
      </c>
      <c r="AG219" s="317">
        <f t="shared" si="179"/>
        <v>0</v>
      </c>
      <c r="AH219" s="317">
        <f t="shared" si="205"/>
        <v>0</v>
      </c>
      <c r="AI219" s="317">
        <f t="shared" si="206"/>
        <v>0</v>
      </c>
      <c r="AJ219" s="317">
        <f t="shared" si="207"/>
        <v>0</v>
      </c>
      <c r="AK219" s="317">
        <f t="shared" si="208"/>
        <v>0</v>
      </c>
      <c r="AL219" s="317">
        <f t="shared" si="209"/>
        <v>0</v>
      </c>
      <c r="AM219" s="317">
        <f t="shared" si="210"/>
        <v>0</v>
      </c>
      <c r="AN219" s="317">
        <f t="shared" si="211"/>
        <v>0</v>
      </c>
      <c r="AO219" s="317">
        <f t="shared" si="212"/>
        <v>0</v>
      </c>
      <c r="AP219" s="317">
        <f t="shared" si="213"/>
        <v>0</v>
      </c>
      <c r="AQ219" s="317">
        <f t="shared" si="214"/>
        <v>0</v>
      </c>
      <c r="AR219" s="317">
        <f t="shared" si="187"/>
        <v>0</v>
      </c>
      <c r="AS219" s="317">
        <f t="shared" si="188"/>
        <v>0</v>
      </c>
      <c r="AT219" s="317">
        <f t="shared" si="215"/>
        <v>0</v>
      </c>
      <c r="AU219" s="317">
        <f t="shared" si="216"/>
        <v>0</v>
      </c>
      <c r="AV219" s="317">
        <f t="shared" si="217"/>
        <v>0</v>
      </c>
      <c r="AW219" s="317">
        <f t="shared" si="218"/>
        <v>0</v>
      </c>
      <c r="AX219" s="317">
        <f t="shared" si="189"/>
        <v>0</v>
      </c>
      <c r="AY219" s="317">
        <f t="shared" si="190"/>
        <v>0</v>
      </c>
      <c r="AZ219" s="317">
        <f t="shared" si="191"/>
        <v>0</v>
      </c>
      <c r="BA219" s="317">
        <f t="shared" si="192"/>
        <v>0</v>
      </c>
    </row>
    <row r="220" spans="1:53" s="314" customFormat="1" ht="16.5" customHeight="1">
      <c r="A220" s="63" t="str">
        <f t="array" ref="A220">IF(C220&lt;&gt;0,SUM(($C$11:C220&lt;&gt;0)*1),"")</f>
        <v/>
      </c>
      <c r="B220" s="315"/>
      <c r="C220" s="315"/>
      <c r="D220" s="315"/>
      <c r="E220" s="433"/>
      <c r="F220" s="371"/>
      <c r="G220" s="373"/>
      <c r="H220" s="373"/>
      <c r="I220" s="63" t="str">
        <f t="shared" si="180"/>
        <v/>
      </c>
      <c r="J220" s="317">
        <f t="shared" si="181"/>
        <v>0</v>
      </c>
      <c r="K220" s="317">
        <f t="shared" si="182"/>
        <v>0</v>
      </c>
      <c r="L220" s="317">
        <f t="shared" si="193"/>
        <v>0</v>
      </c>
      <c r="M220" s="317">
        <f t="shared" si="194"/>
        <v>0</v>
      </c>
      <c r="N220" s="317">
        <f t="shared" si="174"/>
        <v>0</v>
      </c>
      <c r="O220" s="317">
        <f t="shared" si="175"/>
        <v>0</v>
      </c>
      <c r="P220" s="317">
        <f t="shared" si="195"/>
        <v>0</v>
      </c>
      <c r="Q220" s="317">
        <f t="shared" si="196"/>
        <v>0</v>
      </c>
      <c r="R220" s="317">
        <f t="shared" si="197"/>
        <v>0</v>
      </c>
      <c r="S220" s="317">
        <f t="shared" si="198"/>
        <v>0</v>
      </c>
      <c r="T220" s="317">
        <f t="shared" si="176"/>
        <v>0</v>
      </c>
      <c r="U220" s="317">
        <f t="shared" si="177"/>
        <v>0</v>
      </c>
      <c r="V220" s="317">
        <f t="shared" si="199"/>
        <v>0</v>
      </c>
      <c r="W220" s="317">
        <f t="shared" si="200"/>
        <v>0</v>
      </c>
      <c r="X220" s="317">
        <f t="shared" si="201"/>
        <v>0</v>
      </c>
      <c r="Y220" s="317">
        <f t="shared" si="202"/>
        <v>0</v>
      </c>
      <c r="Z220" s="317">
        <f t="shared" si="183"/>
        <v>0</v>
      </c>
      <c r="AA220" s="317">
        <f t="shared" si="184"/>
        <v>0</v>
      </c>
      <c r="AB220" s="317">
        <f t="shared" si="203"/>
        <v>0</v>
      </c>
      <c r="AC220" s="317">
        <f t="shared" si="204"/>
        <v>0</v>
      </c>
      <c r="AD220" s="317">
        <f t="shared" si="185"/>
        <v>0</v>
      </c>
      <c r="AE220" s="317">
        <f t="shared" si="186"/>
        <v>0</v>
      </c>
      <c r="AF220" s="317">
        <f t="shared" si="178"/>
        <v>0</v>
      </c>
      <c r="AG220" s="317">
        <f t="shared" si="179"/>
        <v>0</v>
      </c>
      <c r="AH220" s="317">
        <f t="shared" si="205"/>
        <v>0</v>
      </c>
      <c r="AI220" s="317">
        <f t="shared" si="206"/>
        <v>0</v>
      </c>
      <c r="AJ220" s="317">
        <f t="shared" si="207"/>
        <v>0</v>
      </c>
      <c r="AK220" s="317">
        <f t="shared" si="208"/>
        <v>0</v>
      </c>
      <c r="AL220" s="317">
        <f t="shared" si="209"/>
        <v>0</v>
      </c>
      <c r="AM220" s="317">
        <f t="shared" si="210"/>
        <v>0</v>
      </c>
      <c r="AN220" s="317">
        <f t="shared" si="211"/>
        <v>0</v>
      </c>
      <c r="AO220" s="317">
        <f t="shared" si="212"/>
        <v>0</v>
      </c>
      <c r="AP220" s="317">
        <f t="shared" si="213"/>
        <v>0</v>
      </c>
      <c r="AQ220" s="317">
        <f t="shared" si="214"/>
        <v>0</v>
      </c>
      <c r="AR220" s="317">
        <f t="shared" si="187"/>
        <v>0</v>
      </c>
      <c r="AS220" s="317">
        <f t="shared" si="188"/>
        <v>0</v>
      </c>
      <c r="AT220" s="317">
        <f t="shared" si="215"/>
        <v>0</v>
      </c>
      <c r="AU220" s="317">
        <f t="shared" si="216"/>
        <v>0</v>
      </c>
      <c r="AV220" s="317">
        <f t="shared" si="217"/>
        <v>0</v>
      </c>
      <c r="AW220" s="317">
        <f t="shared" si="218"/>
        <v>0</v>
      </c>
      <c r="AX220" s="317">
        <f t="shared" si="189"/>
        <v>0</v>
      </c>
      <c r="AY220" s="317">
        <f t="shared" si="190"/>
        <v>0</v>
      </c>
      <c r="AZ220" s="317">
        <f t="shared" si="191"/>
        <v>0</v>
      </c>
      <c r="BA220" s="317">
        <f t="shared" si="192"/>
        <v>0</v>
      </c>
    </row>
    <row r="221" spans="1:53" s="314" customFormat="1" ht="16.5" customHeight="1">
      <c r="A221" s="63" t="str">
        <f t="array" ref="A221">IF(C221&lt;&gt;0,SUM(($C$11:C221&lt;&gt;0)*1),"")</f>
        <v/>
      </c>
      <c r="B221" s="315"/>
      <c r="C221" s="315"/>
      <c r="D221" s="315"/>
      <c r="E221" s="433"/>
      <c r="F221" s="371"/>
      <c r="G221" s="373"/>
      <c r="H221" s="373"/>
      <c r="I221" s="63" t="str">
        <f t="shared" si="180"/>
        <v/>
      </c>
      <c r="J221" s="317">
        <f t="shared" si="181"/>
        <v>0</v>
      </c>
      <c r="K221" s="317">
        <f t="shared" si="182"/>
        <v>0</v>
      </c>
      <c r="L221" s="317">
        <f t="shared" si="193"/>
        <v>0</v>
      </c>
      <c r="M221" s="317">
        <f t="shared" si="194"/>
        <v>0</v>
      </c>
      <c r="N221" s="317">
        <f t="shared" si="174"/>
        <v>0</v>
      </c>
      <c r="O221" s="317">
        <f t="shared" si="175"/>
        <v>0</v>
      </c>
      <c r="P221" s="317">
        <f t="shared" si="195"/>
        <v>0</v>
      </c>
      <c r="Q221" s="317">
        <f t="shared" si="196"/>
        <v>0</v>
      </c>
      <c r="R221" s="317">
        <f t="shared" si="197"/>
        <v>0</v>
      </c>
      <c r="S221" s="317">
        <f t="shared" si="198"/>
        <v>0</v>
      </c>
      <c r="T221" s="317">
        <f t="shared" si="176"/>
        <v>0</v>
      </c>
      <c r="U221" s="317">
        <f t="shared" si="177"/>
        <v>0</v>
      </c>
      <c r="V221" s="317">
        <f t="shared" si="199"/>
        <v>0</v>
      </c>
      <c r="W221" s="317">
        <f t="shared" si="200"/>
        <v>0</v>
      </c>
      <c r="X221" s="317">
        <f t="shared" si="201"/>
        <v>0</v>
      </c>
      <c r="Y221" s="317">
        <f t="shared" si="202"/>
        <v>0</v>
      </c>
      <c r="Z221" s="317">
        <f t="shared" si="183"/>
        <v>0</v>
      </c>
      <c r="AA221" s="317">
        <f t="shared" si="184"/>
        <v>0</v>
      </c>
      <c r="AB221" s="317">
        <f t="shared" si="203"/>
        <v>0</v>
      </c>
      <c r="AC221" s="317">
        <f t="shared" si="204"/>
        <v>0</v>
      </c>
      <c r="AD221" s="317">
        <f t="shared" si="185"/>
        <v>0</v>
      </c>
      <c r="AE221" s="317">
        <f t="shared" si="186"/>
        <v>0</v>
      </c>
      <c r="AF221" s="317">
        <f t="shared" si="178"/>
        <v>0</v>
      </c>
      <c r="AG221" s="317">
        <f t="shared" si="179"/>
        <v>0</v>
      </c>
      <c r="AH221" s="317">
        <f t="shared" si="205"/>
        <v>0</v>
      </c>
      <c r="AI221" s="317">
        <f t="shared" si="206"/>
        <v>0</v>
      </c>
      <c r="AJ221" s="317">
        <f t="shared" si="207"/>
        <v>0</v>
      </c>
      <c r="AK221" s="317">
        <f t="shared" si="208"/>
        <v>0</v>
      </c>
      <c r="AL221" s="317">
        <f t="shared" si="209"/>
        <v>0</v>
      </c>
      <c r="AM221" s="317">
        <f t="shared" si="210"/>
        <v>0</v>
      </c>
      <c r="AN221" s="317">
        <f t="shared" si="211"/>
        <v>0</v>
      </c>
      <c r="AO221" s="317">
        <f t="shared" si="212"/>
        <v>0</v>
      </c>
      <c r="AP221" s="317">
        <f t="shared" si="213"/>
        <v>0</v>
      </c>
      <c r="AQ221" s="317">
        <f t="shared" si="214"/>
        <v>0</v>
      </c>
      <c r="AR221" s="317">
        <f t="shared" si="187"/>
        <v>0</v>
      </c>
      <c r="AS221" s="317">
        <f t="shared" si="188"/>
        <v>0</v>
      </c>
      <c r="AT221" s="317">
        <f t="shared" si="215"/>
        <v>0</v>
      </c>
      <c r="AU221" s="317">
        <f t="shared" si="216"/>
        <v>0</v>
      </c>
      <c r="AV221" s="317">
        <f t="shared" si="217"/>
        <v>0</v>
      </c>
      <c r="AW221" s="317">
        <f t="shared" si="218"/>
        <v>0</v>
      </c>
      <c r="AX221" s="317">
        <f t="shared" si="189"/>
        <v>0</v>
      </c>
      <c r="AY221" s="317">
        <f t="shared" si="190"/>
        <v>0</v>
      </c>
      <c r="AZ221" s="317">
        <f t="shared" si="191"/>
        <v>0</v>
      </c>
      <c r="BA221" s="317">
        <f t="shared" si="192"/>
        <v>0</v>
      </c>
    </row>
    <row r="222" spans="1:53" s="314" customFormat="1" ht="16.5" customHeight="1">
      <c r="A222" s="63" t="str">
        <f t="array" ref="A222">IF(C222&lt;&gt;0,SUM(($C$11:C222&lt;&gt;0)*1),"")</f>
        <v/>
      </c>
      <c r="B222" s="315"/>
      <c r="C222" s="315"/>
      <c r="D222" s="315"/>
      <c r="E222" s="433"/>
      <c r="F222" s="371"/>
      <c r="G222" s="373"/>
      <c r="H222" s="373"/>
      <c r="I222" s="63" t="str">
        <f t="shared" si="180"/>
        <v/>
      </c>
      <c r="J222" s="317">
        <f t="shared" si="181"/>
        <v>0</v>
      </c>
      <c r="K222" s="317">
        <f t="shared" si="182"/>
        <v>0</v>
      </c>
      <c r="L222" s="317">
        <f t="shared" si="193"/>
        <v>0</v>
      </c>
      <c r="M222" s="317">
        <f t="shared" si="194"/>
        <v>0</v>
      </c>
      <c r="N222" s="317">
        <f t="shared" si="174"/>
        <v>0</v>
      </c>
      <c r="O222" s="317">
        <f t="shared" si="175"/>
        <v>0</v>
      </c>
      <c r="P222" s="317">
        <f t="shared" si="195"/>
        <v>0</v>
      </c>
      <c r="Q222" s="317">
        <f t="shared" si="196"/>
        <v>0</v>
      </c>
      <c r="R222" s="317">
        <f t="shared" si="197"/>
        <v>0</v>
      </c>
      <c r="S222" s="317">
        <f t="shared" si="198"/>
        <v>0</v>
      </c>
      <c r="T222" s="317">
        <f t="shared" si="176"/>
        <v>0</v>
      </c>
      <c r="U222" s="317">
        <f t="shared" si="177"/>
        <v>0</v>
      </c>
      <c r="V222" s="317">
        <f t="shared" si="199"/>
        <v>0</v>
      </c>
      <c r="W222" s="317">
        <f t="shared" si="200"/>
        <v>0</v>
      </c>
      <c r="X222" s="317">
        <f t="shared" si="201"/>
        <v>0</v>
      </c>
      <c r="Y222" s="317">
        <f t="shared" si="202"/>
        <v>0</v>
      </c>
      <c r="Z222" s="317">
        <f t="shared" si="183"/>
        <v>0</v>
      </c>
      <c r="AA222" s="317">
        <f t="shared" si="184"/>
        <v>0</v>
      </c>
      <c r="AB222" s="317">
        <f t="shared" si="203"/>
        <v>0</v>
      </c>
      <c r="AC222" s="317">
        <f t="shared" si="204"/>
        <v>0</v>
      </c>
      <c r="AD222" s="317">
        <f t="shared" si="185"/>
        <v>0</v>
      </c>
      <c r="AE222" s="317">
        <f t="shared" si="186"/>
        <v>0</v>
      </c>
      <c r="AF222" s="317">
        <f t="shared" si="178"/>
        <v>0</v>
      </c>
      <c r="AG222" s="317">
        <f t="shared" si="179"/>
        <v>0</v>
      </c>
      <c r="AH222" s="317">
        <f t="shared" si="205"/>
        <v>0</v>
      </c>
      <c r="AI222" s="317">
        <f t="shared" si="206"/>
        <v>0</v>
      </c>
      <c r="AJ222" s="317">
        <f t="shared" si="207"/>
        <v>0</v>
      </c>
      <c r="AK222" s="317">
        <f t="shared" si="208"/>
        <v>0</v>
      </c>
      <c r="AL222" s="317">
        <f t="shared" si="209"/>
        <v>0</v>
      </c>
      <c r="AM222" s="317">
        <f t="shared" si="210"/>
        <v>0</v>
      </c>
      <c r="AN222" s="317">
        <f t="shared" si="211"/>
        <v>0</v>
      </c>
      <c r="AO222" s="317">
        <f t="shared" si="212"/>
        <v>0</v>
      </c>
      <c r="AP222" s="317">
        <f t="shared" si="213"/>
        <v>0</v>
      </c>
      <c r="AQ222" s="317">
        <f t="shared" si="214"/>
        <v>0</v>
      </c>
      <c r="AR222" s="317">
        <f t="shared" si="187"/>
        <v>0</v>
      </c>
      <c r="AS222" s="317">
        <f t="shared" si="188"/>
        <v>0</v>
      </c>
      <c r="AT222" s="317">
        <f t="shared" si="215"/>
        <v>0</v>
      </c>
      <c r="AU222" s="317">
        <f t="shared" si="216"/>
        <v>0</v>
      </c>
      <c r="AV222" s="317">
        <f t="shared" si="217"/>
        <v>0</v>
      </c>
      <c r="AW222" s="317">
        <f t="shared" si="218"/>
        <v>0</v>
      </c>
      <c r="AX222" s="317">
        <f t="shared" si="189"/>
        <v>0</v>
      </c>
      <c r="AY222" s="317">
        <f t="shared" si="190"/>
        <v>0</v>
      </c>
      <c r="AZ222" s="317">
        <f t="shared" si="191"/>
        <v>0</v>
      </c>
      <c r="BA222" s="317">
        <f t="shared" si="192"/>
        <v>0</v>
      </c>
    </row>
    <row r="223" spans="1:53" s="314" customFormat="1" ht="16.5" customHeight="1">
      <c r="A223" s="63" t="str">
        <f t="array" ref="A223">IF(C223&lt;&gt;0,SUM(($C$11:C223&lt;&gt;0)*1),"")</f>
        <v/>
      </c>
      <c r="B223" s="315"/>
      <c r="C223" s="315"/>
      <c r="D223" s="315"/>
      <c r="E223" s="433"/>
      <c r="F223" s="371"/>
      <c r="G223" s="373"/>
      <c r="H223" s="373"/>
      <c r="I223" s="63" t="str">
        <f t="shared" si="180"/>
        <v/>
      </c>
      <c r="J223" s="317">
        <f t="shared" si="181"/>
        <v>0</v>
      </c>
      <c r="K223" s="317">
        <f t="shared" si="182"/>
        <v>0</v>
      </c>
      <c r="L223" s="317">
        <f t="shared" si="193"/>
        <v>0</v>
      </c>
      <c r="M223" s="317">
        <f t="shared" si="194"/>
        <v>0</v>
      </c>
      <c r="N223" s="317">
        <f t="shared" si="174"/>
        <v>0</v>
      </c>
      <c r="O223" s="317">
        <f t="shared" si="175"/>
        <v>0</v>
      </c>
      <c r="P223" s="317">
        <f t="shared" si="195"/>
        <v>0</v>
      </c>
      <c r="Q223" s="317">
        <f t="shared" si="196"/>
        <v>0</v>
      </c>
      <c r="R223" s="317">
        <f t="shared" si="197"/>
        <v>0</v>
      </c>
      <c r="S223" s="317">
        <f t="shared" si="198"/>
        <v>0</v>
      </c>
      <c r="T223" s="317">
        <f t="shared" si="176"/>
        <v>0</v>
      </c>
      <c r="U223" s="317">
        <f t="shared" si="177"/>
        <v>0</v>
      </c>
      <c r="V223" s="317">
        <f t="shared" si="199"/>
        <v>0</v>
      </c>
      <c r="W223" s="317">
        <f t="shared" si="200"/>
        <v>0</v>
      </c>
      <c r="X223" s="317">
        <f t="shared" si="201"/>
        <v>0</v>
      </c>
      <c r="Y223" s="317">
        <f t="shared" si="202"/>
        <v>0</v>
      </c>
      <c r="Z223" s="317">
        <f t="shared" si="183"/>
        <v>0</v>
      </c>
      <c r="AA223" s="317">
        <f t="shared" si="184"/>
        <v>0</v>
      </c>
      <c r="AB223" s="317">
        <f t="shared" si="203"/>
        <v>0</v>
      </c>
      <c r="AC223" s="317">
        <f t="shared" si="204"/>
        <v>0</v>
      </c>
      <c r="AD223" s="317">
        <f t="shared" si="185"/>
        <v>0</v>
      </c>
      <c r="AE223" s="317">
        <f t="shared" si="186"/>
        <v>0</v>
      </c>
      <c r="AF223" s="317">
        <f t="shared" si="178"/>
        <v>0</v>
      </c>
      <c r="AG223" s="317">
        <f t="shared" si="179"/>
        <v>0</v>
      </c>
      <c r="AH223" s="317">
        <f t="shared" si="205"/>
        <v>0</v>
      </c>
      <c r="AI223" s="317">
        <f t="shared" si="206"/>
        <v>0</v>
      </c>
      <c r="AJ223" s="317">
        <f t="shared" si="207"/>
        <v>0</v>
      </c>
      <c r="AK223" s="317">
        <f t="shared" si="208"/>
        <v>0</v>
      </c>
      <c r="AL223" s="317">
        <f t="shared" si="209"/>
        <v>0</v>
      </c>
      <c r="AM223" s="317">
        <f t="shared" si="210"/>
        <v>0</v>
      </c>
      <c r="AN223" s="317">
        <f t="shared" si="211"/>
        <v>0</v>
      </c>
      <c r="AO223" s="317">
        <f t="shared" si="212"/>
        <v>0</v>
      </c>
      <c r="AP223" s="317">
        <f t="shared" si="213"/>
        <v>0</v>
      </c>
      <c r="AQ223" s="317">
        <f t="shared" si="214"/>
        <v>0</v>
      </c>
      <c r="AR223" s="317">
        <f t="shared" si="187"/>
        <v>0</v>
      </c>
      <c r="AS223" s="317">
        <f t="shared" si="188"/>
        <v>0</v>
      </c>
      <c r="AT223" s="317">
        <f t="shared" si="215"/>
        <v>0</v>
      </c>
      <c r="AU223" s="317">
        <f t="shared" si="216"/>
        <v>0</v>
      </c>
      <c r="AV223" s="317">
        <f t="shared" si="217"/>
        <v>0</v>
      </c>
      <c r="AW223" s="317">
        <f t="shared" si="218"/>
        <v>0</v>
      </c>
      <c r="AX223" s="317">
        <f t="shared" si="189"/>
        <v>0</v>
      </c>
      <c r="AY223" s="317">
        <f t="shared" si="190"/>
        <v>0</v>
      </c>
      <c r="AZ223" s="317">
        <f t="shared" si="191"/>
        <v>0</v>
      </c>
      <c r="BA223" s="317">
        <f t="shared" si="192"/>
        <v>0</v>
      </c>
    </row>
    <row r="224" spans="1:53" s="314" customFormat="1" ht="16.5" customHeight="1">
      <c r="A224" s="63" t="str">
        <f t="array" ref="A224">IF(C224&lt;&gt;0,SUM(($C$11:C224&lt;&gt;0)*1),"")</f>
        <v/>
      </c>
      <c r="B224" s="315"/>
      <c r="C224" s="315"/>
      <c r="D224" s="315"/>
      <c r="E224" s="433"/>
      <c r="F224" s="371"/>
      <c r="G224" s="373"/>
      <c r="H224" s="373"/>
      <c r="I224" s="63" t="str">
        <f t="shared" si="180"/>
        <v/>
      </c>
      <c r="J224" s="317">
        <f t="shared" si="181"/>
        <v>0</v>
      </c>
      <c r="K224" s="317">
        <f t="shared" si="182"/>
        <v>0</v>
      </c>
      <c r="L224" s="317">
        <f t="shared" si="193"/>
        <v>0</v>
      </c>
      <c r="M224" s="317">
        <f t="shared" si="194"/>
        <v>0</v>
      </c>
      <c r="N224" s="317">
        <f t="shared" si="174"/>
        <v>0</v>
      </c>
      <c r="O224" s="317">
        <f t="shared" si="175"/>
        <v>0</v>
      </c>
      <c r="P224" s="317">
        <f t="shared" si="195"/>
        <v>0</v>
      </c>
      <c r="Q224" s="317">
        <f t="shared" si="196"/>
        <v>0</v>
      </c>
      <c r="R224" s="317">
        <f t="shared" si="197"/>
        <v>0</v>
      </c>
      <c r="S224" s="317">
        <f t="shared" si="198"/>
        <v>0</v>
      </c>
      <c r="T224" s="317">
        <f t="shared" si="176"/>
        <v>0</v>
      </c>
      <c r="U224" s="317">
        <f t="shared" si="177"/>
        <v>0</v>
      </c>
      <c r="V224" s="317">
        <f t="shared" si="199"/>
        <v>0</v>
      </c>
      <c r="W224" s="317">
        <f t="shared" si="200"/>
        <v>0</v>
      </c>
      <c r="X224" s="317">
        <f t="shared" si="201"/>
        <v>0</v>
      </c>
      <c r="Y224" s="317">
        <f t="shared" si="202"/>
        <v>0</v>
      </c>
      <c r="Z224" s="317">
        <f t="shared" si="183"/>
        <v>0</v>
      </c>
      <c r="AA224" s="317">
        <f t="shared" si="184"/>
        <v>0</v>
      </c>
      <c r="AB224" s="317">
        <f t="shared" si="203"/>
        <v>0</v>
      </c>
      <c r="AC224" s="317">
        <f t="shared" si="204"/>
        <v>0</v>
      </c>
      <c r="AD224" s="317">
        <f t="shared" si="185"/>
        <v>0</v>
      </c>
      <c r="AE224" s="317">
        <f t="shared" si="186"/>
        <v>0</v>
      </c>
      <c r="AF224" s="317">
        <f t="shared" si="178"/>
        <v>0</v>
      </c>
      <c r="AG224" s="317">
        <f t="shared" si="179"/>
        <v>0</v>
      </c>
      <c r="AH224" s="317">
        <f t="shared" si="205"/>
        <v>0</v>
      </c>
      <c r="AI224" s="317">
        <f t="shared" si="206"/>
        <v>0</v>
      </c>
      <c r="AJ224" s="317">
        <f t="shared" si="207"/>
        <v>0</v>
      </c>
      <c r="AK224" s="317">
        <f t="shared" si="208"/>
        <v>0</v>
      </c>
      <c r="AL224" s="317">
        <f t="shared" si="209"/>
        <v>0</v>
      </c>
      <c r="AM224" s="317">
        <f t="shared" si="210"/>
        <v>0</v>
      </c>
      <c r="AN224" s="317">
        <f t="shared" si="211"/>
        <v>0</v>
      </c>
      <c r="AO224" s="317">
        <f t="shared" si="212"/>
        <v>0</v>
      </c>
      <c r="AP224" s="317">
        <f t="shared" si="213"/>
        <v>0</v>
      </c>
      <c r="AQ224" s="317">
        <f t="shared" si="214"/>
        <v>0</v>
      </c>
      <c r="AR224" s="317">
        <f t="shared" si="187"/>
        <v>0</v>
      </c>
      <c r="AS224" s="317">
        <f t="shared" si="188"/>
        <v>0</v>
      </c>
      <c r="AT224" s="317">
        <f t="shared" si="215"/>
        <v>0</v>
      </c>
      <c r="AU224" s="317">
        <f t="shared" si="216"/>
        <v>0</v>
      </c>
      <c r="AV224" s="317">
        <f t="shared" si="217"/>
        <v>0</v>
      </c>
      <c r="AW224" s="317">
        <f t="shared" si="218"/>
        <v>0</v>
      </c>
      <c r="AX224" s="317">
        <f t="shared" si="189"/>
        <v>0</v>
      </c>
      <c r="AY224" s="317">
        <f t="shared" si="190"/>
        <v>0</v>
      </c>
      <c r="AZ224" s="317">
        <f t="shared" si="191"/>
        <v>0</v>
      </c>
      <c r="BA224" s="317">
        <f t="shared" si="192"/>
        <v>0</v>
      </c>
    </row>
    <row r="225" spans="1:53" s="314" customFormat="1" ht="16.5" customHeight="1">
      <c r="A225" s="63" t="str">
        <f t="array" ref="A225">IF(C225&lt;&gt;0,SUM(($C$11:C225&lt;&gt;0)*1),"")</f>
        <v/>
      </c>
      <c r="B225" s="315"/>
      <c r="C225" s="315"/>
      <c r="D225" s="315"/>
      <c r="E225" s="433"/>
      <c r="F225" s="371"/>
      <c r="G225" s="373"/>
      <c r="H225" s="373"/>
      <c r="I225" s="63" t="str">
        <f t="shared" si="180"/>
        <v/>
      </c>
      <c r="J225" s="317">
        <f t="shared" si="181"/>
        <v>0</v>
      </c>
      <c r="K225" s="317">
        <f t="shared" si="182"/>
        <v>0</v>
      </c>
      <c r="L225" s="317">
        <f t="shared" si="193"/>
        <v>0</v>
      </c>
      <c r="M225" s="317">
        <f t="shared" si="194"/>
        <v>0</v>
      </c>
      <c r="N225" s="317">
        <f t="shared" si="174"/>
        <v>0</v>
      </c>
      <c r="O225" s="317">
        <f t="shared" si="175"/>
        <v>0</v>
      </c>
      <c r="P225" s="317">
        <f t="shared" si="195"/>
        <v>0</v>
      </c>
      <c r="Q225" s="317">
        <f t="shared" si="196"/>
        <v>0</v>
      </c>
      <c r="R225" s="317">
        <f t="shared" si="197"/>
        <v>0</v>
      </c>
      <c r="S225" s="317">
        <f t="shared" si="198"/>
        <v>0</v>
      </c>
      <c r="T225" s="317">
        <f t="shared" si="176"/>
        <v>0</v>
      </c>
      <c r="U225" s="317">
        <f t="shared" si="177"/>
        <v>0</v>
      </c>
      <c r="V225" s="317">
        <f t="shared" si="199"/>
        <v>0</v>
      </c>
      <c r="W225" s="317">
        <f t="shared" si="200"/>
        <v>0</v>
      </c>
      <c r="X225" s="317">
        <f t="shared" si="201"/>
        <v>0</v>
      </c>
      <c r="Y225" s="317">
        <f t="shared" si="202"/>
        <v>0</v>
      </c>
      <c r="Z225" s="317">
        <f t="shared" si="183"/>
        <v>0</v>
      </c>
      <c r="AA225" s="317">
        <f t="shared" si="184"/>
        <v>0</v>
      </c>
      <c r="AB225" s="317">
        <f t="shared" si="203"/>
        <v>0</v>
      </c>
      <c r="AC225" s="317">
        <f t="shared" si="204"/>
        <v>0</v>
      </c>
      <c r="AD225" s="317">
        <f t="shared" si="185"/>
        <v>0</v>
      </c>
      <c r="AE225" s="317">
        <f t="shared" si="186"/>
        <v>0</v>
      </c>
      <c r="AF225" s="317">
        <f t="shared" si="178"/>
        <v>0</v>
      </c>
      <c r="AG225" s="317">
        <f t="shared" si="179"/>
        <v>0</v>
      </c>
      <c r="AH225" s="317">
        <f t="shared" si="205"/>
        <v>0</v>
      </c>
      <c r="AI225" s="317">
        <f t="shared" si="206"/>
        <v>0</v>
      </c>
      <c r="AJ225" s="317">
        <f t="shared" si="207"/>
        <v>0</v>
      </c>
      <c r="AK225" s="317">
        <f t="shared" si="208"/>
        <v>0</v>
      </c>
      <c r="AL225" s="317">
        <f t="shared" si="209"/>
        <v>0</v>
      </c>
      <c r="AM225" s="317">
        <f t="shared" si="210"/>
        <v>0</v>
      </c>
      <c r="AN225" s="317">
        <f t="shared" si="211"/>
        <v>0</v>
      </c>
      <c r="AO225" s="317">
        <f t="shared" si="212"/>
        <v>0</v>
      </c>
      <c r="AP225" s="317">
        <f t="shared" si="213"/>
        <v>0</v>
      </c>
      <c r="AQ225" s="317">
        <f t="shared" si="214"/>
        <v>0</v>
      </c>
      <c r="AR225" s="317">
        <f t="shared" si="187"/>
        <v>0</v>
      </c>
      <c r="AS225" s="317">
        <f t="shared" si="188"/>
        <v>0</v>
      </c>
      <c r="AT225" s="317">
        <f t="shared" si="215"/>
        <v>0</v>
      </c>
      <c r="AU225" s="317">
        <f t="shared" si="216"/>
        <v>0</v>
      </c>
      <c r="AV225" s="317">
        <f t="shared" si="217"/>
        <v>0</v>
      </c>
      <c r="AW225" s="317">
        <f t="shared" si="218"/>
        <v>0</v>
      </c>
      <c r="AX225" s="317">
        <f t="shared" si="189"/>
        <v>0</v>
      </c>
      <c r="AY225" s="317">
        <f t="shared" si="190"/>
        <v>0</v>
      </c>
      <c r="AZ225" s="317">
        <f t="shared" si="191"/>
        <v>0</v>
      </c>
      <c r="BA225" s="317">
        <f t="shared" si="192"/>
        <v>0</v>
      </c>
    </row>
    <row r="226" spans="1:53" s="314" customFormat="1" ht="16.5" customHeight="1">
      <c r="A226" s="63" t="str">
        <f t="array" ref="A226">IF(C226&lt;&gt;0,SUM(($C$11:C226&lt;&gt;0)*1),"")</f>
        <v/>
      </c>
      <c r="B226" s="315"/>
      <c r="C226" s="315"/>
      <c r="D226" s="315"/>
      <c r="E226" s="433"/>
      <c r="F226" s="371"/>
      <c r="G226" s="373"/>
      <c r="H226" s="373"/>
      <c r="I226" s="63" t="str">
        <f t="shared" si="180"/>
        <v/>
      </c>
      <c r="J226" s="317">
        <f t="shared" si="181"/>
        <v>0</v>
      </c>
      <c r="K226" s="317">
        <f t="shared" si="182"/>
        <v>0</v>
      </c>
      <c r="L226" s="317">
        <f t="shared" si="193"/>
        <v>0</v>
      </c>
      <c r="M226" s="317">
        <f t="shared" si="194"/>
        <v>0</v>
      </c>
      <c r="N226" s="317">
        <f t="shared" si="174"/>
        <v>0</v>
      </c>
      <c r="O226" s="317">
        <f t="shared" si="175"/>
        <v>0</v>
      </c>
      <c r="P226" s="317">
        <f t="shared" si="195"/>
        <v>0</v>
      </c>
      <c r="Q226" s="317">
        <f t="shared" si="196"/>
        <v>0</v>
      </c>
      <c r="R226" s="317">
        <f t="shared" si="197"/>
        <v>0</v>
      </c>
      <c r="S226" s="317">
        <f t="shared" si="198"/>
        <v>0</v>
      </c>
      <c r="T226" s="317">
        <f t="shared" si="176"/>
        <v>0</v>
      </c>
      <c r="U226" s="317">
        <f t="shared" si="177"/>
        <v>0</v>
      </c>
      <c r="V226" s="317">
        <f t="shared" si="199"/>
        <v>0</v>
      </c>
      <c r="W226" s="317">
        <f t="shared" si="200"/>
        <v>0</v>
      </c>
      <c r="X226" s="317">
        <f t="shared" si="201"/>
        <v>0</v>
      </c>
      <c r="Y226" s="317">
        <f t="shared" si="202"/>
        <v>0</v>
      </c>
      <c r="Z226" s="317">
        <f t="shared" si="183"/>
        <v>0</v>
      </c>
      <c r="AA226" s="317">
        <f t="shared" si="184"/>
        <v>0</v>
      </c>
      <c r="AB226" s="317">
        <f t="shared" si="203"/>
        <v>0</v>
      </c>
      <c r="AC226" s="317">
        <f t="shared" si="204"/>
        <v>0</v>
      </c>
      <c r="AD226" s="317">
        <f t="shared" si="185"/>
        <v>0</v>
      </c>
      <c r="AE226" s="317">
        <f t="shared" si="186"/>
        <v>0</v>
      </c>
      <c r="AF226" s="317">
        <f t="shared" si="178"/>
        <v>0</v>
      </c>
      <c r="AG226" s="317">
        <f t="shared" si="179"/>
        <v>0</v>
      </c>
      <c r="AH226" s="317">
        <f t="shared" si="205"/>
        <v>0</v>
      </c>
      <c r="AI226" s="317">
        <f t="shared" si="206"/>
        <v>0</v>
      </c>
      <c r="AJ226" s="317">
        <f t="shared" si="207"/>
        <v>0</v>
      </c>
      <c r="AK226" s="317">
        <f t="shared" si="208"/>
        <v>0</v>
      </c>
      <c r="AL226" s="317">
        <f t="shared" si="209"/>
        <v>0</v>
      </c>
      <c r="AM226" s="317">
        <f t="shared" si="210"/>
        <v>0</v>
      </c>
      <c r="AN226" s="317">
        <f t="shared" si="211"/>
        <v>0</v>
      </c>
      <c r="AO226" s="317">
        <f t="shared" si="212"/>
        <v>0</v>
      </c>
      <c r="AP226" s="317">
        <f t="shared" si="213"/>
        <v>0</v>
      </c>
      <c r="AQ226" s="317">
        <f t="shared" si="214"/>
        <v>0</v>
      </c>
      <c r="AR226" s="317">
        <f t="shared" si="187"/>
        <v>0</v>
      </c>
      <c r="AS226" s="317">
        <f t="shared" si="188"/>
        <v>0</v>
      </c>
      <c r="AT226" s="317">
        <f t="shared" si="215"/>
        <v>0</v>
      </c>
      <c r="AU226" s="317">
        <f t="shared" si="216"/>
        <v>0</v>
      </c>
      <c r="AV226" s="317">
        <f t="shared" si="217"/>
        <v>0</v>
      </c>
      <c r="AW226" s="317">
        <f t="shared" si="218"/>
        <v>0</v>
      </c>
      <c r="AX226" s="317">
        <f t="shared" si="189"/>
        <v>0</v>
      </c>
      <c r="AY226" s="317">
        <f t="shared" si="190"/>
        <v>0</v>
      </c>
      <c r="AZ226" s="317">
        <f t="shared" si="191"/>
        <v>0</v>
      </c>
      <c r="BA226" s="317">
        <f t="shared" si="192"/>
        <v>0</v>
      </c>
    </row>
    <row r="227" spans="1:53" s="314" customFormat="1" ht="16.5" customHeight="1">
      <c r="A227" s="63" t="str">
        <f t="array" ref="A227">IF(C227&lt;&gt;0,SUM(($C$11:C227&lt;&gt;0)*1),"")</f>
        <v/>
      </c>
      <c r="B227" s="315"/>
      <c r="C227" s="315"/>
      <c r="D227" s="315"/>
      <c r="E227" s="433"/>
      <c r="F227" s="371"/>
      <c r="G227" s="373"/>
      <c r="H227" s="373"/>
      <c r="I227" s="63" t="str">
        <f t="shared" si="180"/>
        <v/>
      </c>
      <c r="J227" s="317">
        <f t="shared" si="181"/>
        <v>0</v>
      </c>
      <c r="K227" s="317">
        <f t="shared" si="182"/>
        <v>0</v>
      </c>
      <c r="L227" s="317">
        <f t="shared" si="193"/>
        <v>0</v>
      </c>
      <c r="M227" s="317">
        <f t="shared" si="194"/>
        <v>0</v>
      </c>
      <c r="N227" s="317">
        <f t="shared" si="174"/>
        <v>0</v>
      </c>
      <c r="O227" s="317">
        <f t="shared" si="175"/>
        <v>0</v>
      </c>
      <c r="P227" s="317">
        <f t="shared" si="195"/>
        <v>0</v>
      </c>
      <c r="Q227" s="317">
        <f t="shared" si="196"/>
        <v>0</v>
      </c>
      <c r="R227" s="317">
        <f t="shared" si="197"/>
        <v>0</v>
      </c>
      <c r="S227" s="317">
        <f t="shared" si="198"/>
        <v>0</v>
      </c>
      <c r="T227" s="317">
        <f t="shared" si="176"/>
        <v>0</v>
      </c>
      <c r="U227" s="317">
        <f t="shared" si="177"/>
        <v>0</v>
      </c>
      <c r="V227" s="317">
        <f t="shared" si="199"/>
        <v>0</v>
      </c>
      <c r="W227" s="317">
        <f t="shared" si="200"/>
        <v>0</v>
      </c>
      <c r="X227" s="317">
        <f t="shared" si="201"/>
        <v>0</v>
      </c>
      <c r="Y227" s="317">
        <f t="shared" si="202"/>
        <v>0</v>
      </c>
      <c r="Z227" s="317">
        <f t="shared" si="183"/>
        <v>0</v>
      </c>
      <c r="AA227" s="317">
        <f t="shared" si="184"/>
        <v>0</v>
      </c>
      <c r="AB227" s="317">
        <f t="shared" si="203"/>
        <v>0</v>
      </c>
      <c r="AC227" s="317">
        <f t="shared" si="204"/>
        <v>0</v>
      </c>
      <c r="AD227" s="317">
        <f t="shared" si="185"/>
        <v>0</v>
      </c>
      <c r="AE227" s="317">
        <f t="shared" si="186"/>
        <v>0</v>
      </c>
      <c r="AF227" s="317">
        <f t="shared" si="178"/>
        <v>0</v>
      </c>
      <c r="AG227" s="317">
        <f t="shared" si="179"/>
        <v>0</v>
      </c>
      <c r="AH227" s="317">
        <f t="shared" si="205"/>
        <v>0</v>
      </c>
      <c r="AI227" s="317">
        <f t="shared" si="206"/>
        <v>0</v>
      </c>
      <c r="AJ227" s="317">
        <f t="shared" si="207"/>
        <v>0</v>
      </c>
      <c r="AK227" s="317">
        <f t="shared" si="208"/>
        <v>0</v>
      </c>
      <c r="AL227" s="317">
        <f t="shared" si="209"/>
        <v>0</v>
      </c>
      <c r="AM227" s="317">
        <f t="shared" si="210"/>
        <v>0</v>
      </c>
      <c r="AN227" s="317">
        <f t="shared" si="211"/>
        <v>0</v>
      </c>
      <c r="AO227" s="317">
        <f t="shared" si="212"/>
        <v>0</v>
      </c>
      <c r="AP227" s="317">
        <f t="shared" si="213"/>
        <v>0</v>
      </c>
      <c r="AQ227" s="317">
        <f t="shared" si="214"/>
        <v>0</v>
      </c>
      <c r="AR227" s="317">
        <f t="shared" si="187"/>
        <v>0</v>
      </c>
      <c r="AS227" s="317">
        <f t="shared" si="188"/>
        <v>0</v>
      </c>
      <c r="AT227" s="317">
        <f t="shared" si="215"/>
        <v>0</v>
      </c>
      <c r="AU227" s="317">
        <f t="shared" si="216"/>
        <v>0</v>
      </c>
      <c r="AV227" s="317">
        <f t="shared" si="217"/>
        <v>0</v>
      </c>
      <c r="AW227" s="317">
        <f t="shared" si="218"/>
        <v>0</v>
      </c>
      <c r="AX227" s="317">
        <f t="shared" si="189"/>
        <v>0</v>
      </c>
      <c r="AY227" s="317">
        <f t="shared" si="190"/>
        <v>0</v>
      </c>
      <c r="AZ227" s="317">
        <f t="shared" si="191"/>
        <v>0</v>
      </c>
      <c r="BA227" s="317">
        <f t="shared" si="192"/>
        <v>0</v>
      </c>
    </row>
    <row r="228" spans="1:53" s="314" customFormat="1" ht="16.5" customHeight="1">
      <c r="A228" s="63" t="str">
        <f t="array" ref="A228">IF(C228&lt;&gt;0,SUM(($C$11:C228&lt;&gt;0)*1),"")</f>
        <v/>
      </c>
      <c r="B228" s="315"/>
      <c r="C228" s="315"/>
      <c r="D228" s="315"/>
      <c r="E228" s="433"/>
      <c r="F228" s="371"/>
      <c r="G228" s="373"/>
      <c r="H228" s="373"/>
      <c r="I228" s="63" t="str">
        <f t="shared" si="180"/>
        <v/>
      </c>
      <c r="J228" s="317">
        <f t="shared" si="181"/>
        <v>0</v>
      </c>
      <c r="K228" s="317">
        <f t="shared" si="182"/>
        <v>0</v>
      </c>
      <c r="L228" s="317">
        <f t="shared" si="193"/>
        <v>0</v>
      </c>
      <c r="M228" s="317">
        <f t="shared" si="194"/>
        <v>0</v>
      </c>
      <c r="N228" s="317">
        <f t="shared" si="174"/>
        <v>0</v>
      </c>
      <c r="O228" s="317">
        <f t="shared" si="175"/>
        <v>0</v>
      </c>
      <c r="P228" s="317">
        <f t="shared" si="195"/>
        <v>0</v>
      </c>
      <c r="Q228" s="317">
        <f t="shared" si="196"/>
        <v>0</v>
      </c>
      <c r="R228" s="317">
        <f t="shared" si="197"/>
        <v>0</v>
      </c>
      <c r="S228" s="317">
        <f t="shared" si="198"/>
        <v>0</v>
      </c>
      <c r="T228" s="317">
        <f t="shared" si="176"/>
        <v>0</v>
      </c>
      <c r="U228" s="317">
        <f t="shared" si="177"/>
        <v>0</v>
      </c>
      <c r="V228" s="317">
        <f t="shared" si="199"/>
        <v>0</v>
      </c>
      <c r="W228" s="317">
        <f t="shared" si="200"/>
        <v>0</v>
      </c>
      <c r="X228" s="317">
        <f t="shared" si="201"/>
        <v>0</v>
      </c>
      <c r="Y228" s="317">
        <f t="shared" si="202"/>
        <v>0</v>
      </c>
      <c r="Z228" s="317">
        <f t="shared" si="183"/>
        <v>0</v>
      </c>
      <c r="AA228" s="317">
        <f t="shared" si="184"/>
        <v>0</v>
      </c>
      <c r="AB228" s="317">
        <f t="shared" si="203"/>
        <v>0</v>
      </c>
      <c r="AC228" s="317">
        <f t="shared" si="204"/>
        <v>0</v>
      </c>
      <c r="AD228" s="317">
        <f t="shared" si="185"/>
        <v>0</v>
      </c>
      <c r="AE228" s="317">
        <f t="shared" si="186"/>
        <v>0</v>
      </c>
      <c r="AF228" s="317">
        <f t="shared" si="178"/>
        <v>0</v>
      </c>
      <c r="AG228" s="317">
        <f t="shared" si="179"/>
        <v>0</v>
      </c>
      <c r="AH228" s="317">
        <f t="shared" si="205"/>
        <v>0</v>
      </c>
      <c r="AI228" s="317">
        <f t="shared" si="206"/>
        <v>0</v>
      </c>
      <c r="AJ228" s="317">
        <f t="shared" si="207"/>
        <v>0</v>
      </c>
      <c r="AK228" s="317">
        <f t="shared" si="208"/>
        <v>0</v>
      </c>
      <c r="AL228" s="317">
        <f t="shared" si="209"/>
        <v>0</v>
      </c>
      <c r="AM228" s="317">
        <f t="shared" si="210"/>
        <v>0</v>
      </c>
      <c r="AN228" s="317">
        <f t="shared" si="211"/>
        <v>0</v>
      </c>
      <c r="AO228" s="317">
        <f t="shared" si="212"/>
        <v>0</v>
      </c>
      <c r="AP228" s="317">
        <f t="shared" si="213"/>
        <v>0</v>
      </c>
      <c r="AQ228" s="317">
        <f t="shared" si="214"/>
        <v>0</v>
      </c>
      <c r="AR228" s="317">
        <f t="shared" si="187"/>
        <v>0</v>
      </c>
      <c r="AS228" s="317">
        <f t="shared" si="188"/>
        <v>0</v>
      </c>
      <c r="AT228" s="317">
        <f t="shared" si="215"/>
        <v>0</v>
      </c>
      <c r="AU228" s="317">
        <f t="shared" si="216"/>
        <v>0</v>
      </c>
      <c r="AV228" s="317">
        <f t="shared" si="217"/>
        <v>0</v>
      </c>
      <c r="AW228" s="317">
        <f t="shared" si="218"/>
        <v>0</v>
      </c>
      <c r="AX228" s="317">
        <f t="shared" si="189"/>
        <v>0</v>
      </c>
      <c r="AY228" s="317">
        <f t="shared" si="190"/>
        <v>0</v>
      </c>
      <c r="AZ228" s="317">
        <f t="shared" si="191"/>
        <v>0</v>
      </c>
      <c r="BA228" s="317">
        <f t="shared" si="192"/>
        <v>0</v>
      </c>
    </row>
    <row r="229" spans="1:53" s="314" customFormat="1" ht="16.5" customHeight="1">
      <c r="A229" s="63" t="str">
        <f t="array" ref="A229">IF(C229&lt;&gt;0,SUM(($C$11:C229&lt;&gt;0)*1),"")</f>
        <v/>
      </c>
      <c r="B229" s="315"/>
      <c r="C229" s="315"/>
      <c r="D229" s="315"/>
      <c r="E229" s="433"/>
      <c r="F229" s="371"/>
      <c r="G229" s="373"/>
      <c r="H229" s="373"/>
      <c r="I229" s="63" t="str">
        <f t="shared" si="180"/>
        <v/>
      </c>
      <c r="J229" s="317">
        <f t="shared" si="181"/>
        <v>0</v>
      </c>
      <c r="K229" s="317">
        <f t="shared" si="182"/>
        <v>0</v>
      </c>
      <c r="L229" s="317">
        <f t="shared" si="193"/>
        <v>0</v>
      </c>
      <c r="M229" s="317">
        <f t="shared" si="194"/>
        <v>0</v>
      </c>
      <c r="N229" s="317">
        <f t="shared" si="174"/>
        <v>0</v>
      </c>
      <c r="O229" s="317">
        <f t="shared" si="175"/>
        <v>0</v>
      </c>
      <c r="P229" s="317">
        <f t="shared" si="195"/>
        <v>0</v>
      </c>
      <c r="Q229" s="317">
        <f t="shared" si="196"/>
        <v>0</v>
      </c>
      <c r="R229" s="317">
        <f t="shared" si="197"/>
        <v>0</v>
      </c>
      <c r="S229" s="317">
        <f t="shared" si="198"/>
        <v>0</v>
      </c>
      <c r="T229" s="317">
        <f t="shared" si="176"/>
        <v>0</v>
      </c>
      <c r="U229" s="317">
        <f t="shared" si="177"/>
        <v>0</v>
      </c>
      <c r="V229" s="317">
        <f t="shared" si="199"/>
        <v>0</v>
      </c>
      <c r="W229" s="317">
        <f t="shared" si="200"/>
        <v>0</v>
      </c>
      <c r="X229" s="317">
        <f t="shared" si="201"/>
        <v>0</v>
      </c>
      <c r="Y229" s="317">
        <f t="shared" si="202"/>
        <v>0</v>
      </c>
      <c r="Z229" s="317">
        <f t="shared" si="183"/>
        <v>0</v>
      </c>
      <c r="AA229" s="317">
        <f t="shared" si="184"/>
        <v>0</v>
      </c>
      <c r="AB229" s="317">
        <f t="shared" si="203"/>
        <v>0</v>
      </c>
      <c r="AC229" s="317">
        <f t="shared" si="204"/>
        <v>0</v>
      </c>
      <c r="AD229" s="317">
        <f t="shared" si="185"/>
        <v>0</v>
      </c>
      <c r="AE229" s="317">
        <f t="shared" si="186"/>
        <v>0</v>
      </c>
      <c r="AF229" s="317">
        <f t="shared" si="178"/>
        <v>0</v>
      </c>
      <c r="AG229" s="317">
        <f t="shared" si="179"/>
        <v>0</v>
      </c>
      <c r="AH229" s="317">
        <f t="shared" si="205"/>
        <v>0</v>
      </c>
      <c r="AI229" s="317">
        <f t="shared" si="206"/>
        <v>0</v>
      </c>
      <c r="AJ229" s="317">
        <f t="shared" si="207"/>
        <v>0</v>
      </c>
      <c r="AK229" s="317">
        <f t="shared" si="208"/>
        <v>0</v>
      </c>
      <c r="AL229" s="317">
        <f t="shared" si="209"/>
        <v>0</v>
      </c>
      <c r="AM229" s="317">
        <f t="shared" si="210"/>
        <v>0</v>
      </c>
      <c r="AN229" s="317">
        <f t="shared" si="211"/>
        <v>0</v>
      </c>
      <c r="AO229" s="317">
        <f t="shared" si="212"/>
        <v>0</v>
      </c>
      <c r="AP229" s="317">
        <f t="shared" si="213"/>
        <v>0</v>
      </c>
      <c r="AQ229" s="317">
        <f t="shared" si="214"/>
        <v>0</v>
      </c>
      <c r="AR229" s="317">
        <f t="shared" si="187"/>
        <v>0</v>
      </c>
      <c r="AS229" s="317">
        <f t="shared" si="188"/>
        <v>0</v>
      </c>
      <c r="AT229" s="317">
        <f t="shared" si="215"/>
        <v>0</v>
      </c>
      <c r="AU229" s="317">
        <f t="shared" si="216"/>
        <v>0</v>
      </c>
      <c r="AV229" s="317">
        <f t="shared" si="217"/>
        <v>0</v>
      </c>
      <c r="AW229" s="317">
        <f t="shared" si="218"/>
        <v>0</v>
      </c>
      <c r="AX229" s="317">
        <f t="shared" si="189"/>
        <v>0</v>
      </c>
      <c r="AY229" s="317">
        <f t="shared" si="190"/>
        <v>0</v>
      </c>
      <c r="AZ229" s="317">
        <f t="shared" si="191"/>
        <v>0</v>
      </c>
      <c r="BA229" s="317">
        <f t="shared" si="192"/>
        <v>0</v>
      </c>
    </row>
    <row r="230" spans="1:53" s="314" customFormat="1" ht="16.5" customHeight="1">
      <c r="A230" s="63" t="str">
        <f t="array" ref="A230">IF(C230&lt;&gt;0,SUM(($C$11:C230&lt;&gt;0)*1),"")</f>
        <v/>
      </c>
      <c r="B230" s="315"/>
      <c r="C230" s="315"/>
      <c r="D230" s="315"/>
      <c r="E230" s="433"/>
      <c r="F230" s="371"/>
      <c r="G230" s="373"/>
      <c r="H230" s="373"/>
      <c r="I230" s="63" t="str">
        <f t="shared" si="180"/>
        <v/>
      </c>
      <c r="J230" s="317">
        <f t="shared" si="181"/>
        <v>0</v>
      </c>
      <c r="K230" s="317">
        <f t="shared" si="182"/>
        <v>0</v>
      </c>
      <c r="L230" s="317">
        <f t="shared" si="193"/>
        <v>0</v>
      </c>
      <c r="M230" s="317">
        <f t="shared" si="194"/>
        <v>0</v>
      </c>
      <c r="N230" s="317">
        <f t="shared" si="174"/>
        <v>0</v>
      </c>
      <c r="O230" s="317">
        <f t="shared" si="175"/>
        <v>0</v>
      </c>
      <c r="P230" s="317">
        <f t="shared" si="195"/>
        <v>0</v>
      </c>
      <c r="Q230" s="317">
        <f t="shared" si="196"/>
        <v>0</v>
      </c>
      <c r="R230" s="317">
        <f t="shared" si="197"/>
        <v>0</v>
      </c>
      <c r="S230" s="317">
        <f t="shared" si="198"/>
        <v>0</v>
      </c>
      <c r="T230" s="317">
        <f t="shared" si="176"/>
        <v>0</v>
      </c>
      <c r="U230" s="317">
        <f t="shared" si="177"/>
        <v>0</v>
      </c>
      <c r="V230" s="317">
        <f t="shared" si="199"/>
        <v>0</v>
      </c>
      <c r="W230" s="317">
        <f t="shared" si="200"/>
        <v>0</v>
      </c>
      <c r="X230" s="317">
        <f t="shared" si="201"/>
        <v>0</v>
      </c>
      <c r="Y230" s="317">
        <f t="shared" si="202"/>
        <v>0</v>
      </c>
      <c r="Z230" s="317">
        <f t="shared" si="183"/>
        <v>0</v>
      </c>
      <c r="AA230" s="317">
        <f t="shared" si="184"/>
        <v>0</v>
      </c>
      <c r="AB230" s="317">
        <f t="shared" si="203"/>
        <v>0</v>
      </c>
      <c r="AC230" s="317">
        <f t="shared" si="204"/>
        <v>0</v>
      </c>
      <c r="AD230" s="317">
        <f t="shared" si="185"/>
        <v>0</v>
      </c>
      <c r="AE230" s="317">
        <f t="shared" si="186"/>
        <v>0</v>
      </c>
      <c r="AF230" s="317">
        <f t="shared" si="178"/>
        <v>0</v>
      </c>
      <c r="AG230" s="317">
        <f t="shared" si="179"/>
        <v>0</v>
      </c>
      <c r="AH230" s="317">
        <f t="shared" si="205"/>
        <v>0</v>
      </c>
      <c r="AI230" s="317">
        <f t="shared" si="206"/>
        <v>0</v>
      </c>
      <c r="AJ230" s="317">
        <f t="shared" si="207"/>
        <v>0</v>
      </c>
      <c r="AK230" s="317">
        <f t="shared" si="208"/>
        <v>0</v>
      </c>
      <c r="AL230" s="317">
        <f t="shared" si="209"/>
        <v>0</v>
      </c>
      <c r="AM230" s="317">
        <f t="shared" si="210"/>
        <v>0</v>
      </c>
      <c r="AN230" s="317">
        <f t="shared" si="211"/>
        <v>0</v>
      </c>
      <c r="AO230" s="317">
        <f t="shared" si="212"/>
        <v>0</v>
      </c>
      <c r="AP230" s="317">
        <f t="shared" si="213"/>
        <v>0</v>
      </c>
      <c r="AQ230" s="317">
        <f t="shared" si="214"/>
        <v>0</v>
      </c>
      <c r="AR230" s="317">
        <f t="shared" si="187"/>
        <v>0</v>
      </c>
      <c r="AS230" s="317">
        <f t="shared" si="188"/>
        <v>0</v>
      </c>
      <c r="AT230" s="317">
        <f t="shared" si="215"/>
        <v>0</v>
      </c>
      <c r="AU230" s="317">
        <f t="shared" si="216"/>
        <v>0</v>
      </c>
      <c r="AV230" s="317">
        <f t="shared" si="217"/>
        <v>0</v>
      </c>
      <c r="AW230" s="317">
        <f t="shared" si="218"/>
        <v>0</v>
      </c>
      <c r="AX230" s="317">
        <f t="shared" si="189"/>
        <v>0</v>
      </c>
      <c r="AY230" s="317">
        <f t="shared" si="190"/>
        <v>0</v>
      </c>
      <c r="AZ230" s="317">
        <f t="shared" si="191"/>
        <v>0</v>
      </c>
      <c r="BA230" s="317">
        <f t="shared" si="192"/>
        <v>0</v>
      </c>
    </row>
    <row r="231" spans="1:53" s="314" customFormat="1" ht="16.5" customHeight="1">
      <c r="A231" s="63" t="str">
        <f t="array" ref="A231">IF(C231&lt;&gt;0,SUM(($C$11:C231&lt;&gt;0)*1),"")</f>
        <v/>
      </c>
      <c r="B231" s="315"/>
      <c r="C231" s="315"/>
      <c r="D231" s="315"/>
      <c r="E231" s="433"/>
      <c r="F231" s="371"/>
      <c r="G231" s="373"/>
      <c r="H231" s="373"/>
      <c r="I231" s="63" t="str">
        <f t="shared" si="180"/>
        <v/>
      </c>
      <c r="J231" s="317">
        <f t="shared" si="181"/>
        <v>0</v>
      </c>
      <c r="K231" s="317">
        <f t="shared" si="182"/>
        <v>0</v>
      </c>
      <c r="L231" s="317">
        <f t="shared" si="193"/>
        <v>0</v>
      </c>
      <c r="M231" s="317">
        <f t="shared" si="194"/>
        <v>0</v>
      </c>
      <c r="N231" s="317">
        <f t="shared" si="174"/>
        <v>0</v>
      </c>
      <c r="O231" s="317">
        <f t="shared" si="175"/>
        <v>0</v>
      </c>
      <c r="P231" s="317">
        <f t="shared" si="195"/>
        <v>0</v>
      </c>
      <c r="Q231" s="317">
        <f t="shared" si="196"/>
        <v>0</v>
      </c>
      <c r="R231" s="317">
        <f t="shared" si="197"/>
        <v>0</v>
      </c>
      <c r="S231" s="317">
        <f t="shared" si="198"/>
        <v>0</v>
      </c>
      <c r="T231" s="317">
        <f t="shared" si="176"/>
        <v>0</v>
      </c>
      <c r="U231" s="317">
        <f t="shared" si="177"/>
        <v>0</v>
      </c>
      <c r="V231" s="317">
        <f t="shared" si="199"/>
        <v>0</v>
      </c>
      <c r="W231" s="317">
        <f t="shared" si="200"/>
        <v>0</v>
      </c>
      <c r="X231" s="317">
        <f t="shared" si="201"/>
        <v>0</v>
      </c>
      <c r="Y231" s="317">
        <f t="shared" si="202"/>
        <v>0</v>
      </c>
      <c r="Z231" s="317">
        <f t="shared" si="183"/>
        <v>0</v>
      </c>
      <c r="AA231" s="317">
        <f t="shared" si="184"/>
        <v>0</v>
      </c>
      <c r="AB231" s="317">
        <f t="shared" si="203"/>
        <v>0</v>
      </c>
      <c r="AC231" s="317">
        <f t="shared" si="204"/>
        <v>0</v>
      </c>
      <c r="AD231" s="317">
        <f t="shared" si="185"/>
        <v>0</v>
      </c>
      <c r="AE231" s="317">
        <f t="shared" si="186"/>
        <v>0</v>
      </c>
      <c r="AF231" s="317">
        <f t="shared" si="178"/>
        <v>0</v>
      </c>
      <c r="AG231" s="317">
        <f t="shared" si="179"/>
        <v>0</v>
      </c>
      <c r="AH231" s="317">
        <f t="shared" si="205"/>
        <v>0</v>
      </c>
      <c r="AI231" s="317">
        <f t="shared" si="206"/>
        <v>0</v>
      </c>
      <c r="AJ231" s="317">
        <f t="shared" si="207"/>
        <v>0</v>
      </c>
      <c r="AK231" s="317">
        <f t="shared" si="208"/>
        <v>0</v>
      </c>
      <c r="AL231" s="317">
        <f t="shared" si="209"/>
        <v>0</v>
      </c>
      <c r="AM231" s="317">
        <f t="shared" si="210"/>
        <v>0</v>
      </c>
      <c r="AN231" s="317">
        <f t="shared" si="211"/>
        <v>0</v>
      </c>
      <c r="AO231" s="317">
        <f t="shared" si="212"/>
        <v>0</v>
      </c>
      <c r="AP231" s="317">
        <f t="shared" si="213"/>
        <v>0</v>
      </c>
      <c r="AQ231" s="317">
        <f t="shared" si="214"/>
        <v>0</v>
      </c>
      <c r="AR231" s="317">
        <f t="shared" si="187"/>
        <v>0</v>
      </c>
      <c r="AS231" s="317">
        <f t="shared" si="188"/>
        <v>0</v>
      </c>
      <c r="AT231" s="317">
        <f t="shared" si="215"/>
        <v>0</v>
      </c>
      <c r="AU231" s="317">
        <f t="shared" si="216"/>
        <v>0</v>
      </c>
      <c r="AV231" s="317">
        <f t="shared" si="217"/>
        <v>0</v>
      </c>
      <c r="AW231" s="317">
        <f t="shared" si="218"/>
        <v>0</v>
      </c>
      <c r="AX231" s="317">
        <f t="shared" si="189"/>
        <v>0</v>
      </c>
      <c r="AY231" s="317">
        <f t="shared" si="190"/>
        <v>0</v>
      </c>
      <c r="AZ231" s="317">
        <f t="shared" si="191"/>
        <v>0</v>
      </c>
      <c r="BA231" s="317">
        <f t="shared" si="192"/>
        <v>0</v>
      </c>
    </row>
    <row r="232" spans="1:53" s="314" customFormat="1" ht="16.5" customHeight="1">
      <c r="A232" s="63" t="str">
        <f t="array" ref="A232">IF(C232&lt;&gt;0,SUM(($C$11:C232&lt;&gt;0)*1),"")</f>
        <v/>
      </c>
      <c r="B232" s="315"/>
      <c r="C232" s="315"/>
      <c r="D232" s="315"/>
      <c r="E232" s="433"/>
      <c r="F232" s="371"/>
      <c r="G232" s="373"/>
      <c r="H232" s="373"/>
      <c r="I232" s="63" t="str">
        <f t="shared" si="180"/>
        <v/>
      </c>
      <c r="J232" s="317">
        <f t="shared" si="181"/>
        <v>0</v>
      </c>
      <c r="K232" s="317">
        <f t="shared" si="182"/>
        <v>0</v>
      </c>
      <c r="L232" s="317">
        <f t="shared" si="193"/>
        <v>0</v>
      </c>
      <c r="M232" s="317">
        <f t="shared" si="194"/>
        <v>0</v>
      </c>
      <c r="N232" s="317">
        <f t="shared" si="174"/>
        <v>0</v>
      </c>
      <c r="O232" s="317">
        <f t="shared" si="175"/>
        <v>0</v>
      </c>
      <c r="P232" s="317">
        <f t="shared" si="195"/>
        <v>0</v>
      </c>
      <c r="Q232" s="317">
        <f t="shared" si="196"/>
        <v>0</v>
      </c>
      <c r="R232" s="317">
        <f t="shared" si="197"/>
        <v>0</v>
      </c>
      <c r="S232" s="317">
        <f t="shared" si="198"/>
        <v>0</v>
      </c>
      <c r="T232" s="317">
        <f t="shared" si="176"/>
        <v>0</v>
      </c>
      <c r="U232" s="317">
        <f t="shared" si="177"/>
        <v>0</v>
      </c>
      <c r="V232" s="317">
        <f t="shared" si="199"/>
        <v>0</v>
      </c>
      <c r="W232" s="317">
        <f t="shared" si="200"/>
        <v>0</v>
      </c>
      <c r="X232" s="317">
        <f t="shared" si="201"/>
        <v>0</v>
      </c>
      <c r="Y232" s="317">
        <f t="shared" si="202"/>
        <v>0</v>
      </c>
      <c r="Z232" s="317">
        <f t="shared" si="183"/>
        <v>0</v>
      </c>
      <c r="AA232" s="317">
        <f t="shared" si="184"/>
        <v>0</v>
      </c>
      <c r="AB232" s="317">
        <f t="shared" si="203"/>
        <v>0</v>
      </c>
      <c r="AC232" s="317">
        <f t="shared" si="204"/>
        <v>0</v>
      </c>
      <c r="AD232" s="317">
        <f t="shared" si="185"/>
        <v>0</v>
      </c>
      <c r="AE232" s="317">
        <f t="shared" si="186"/>
        <v>0</v>
      </c>
      <c r="AF232" s="317">
        <f t="shared" si="178"/>
        <v>0</v>
      </c>
      <c r="AG232" s="317">
        <f t="shared" si="179"/>
        <v>0</v>
      </c>
      <c r="AH232" s="317">
        <f t="shared" si="205"/>
        <v>0</v>
      </c>
      <c r="AI232" s="317">
        <f t="shared" si="206"/>
        <v>0</v>
      </c>
      <c r="AJ232" s="317">
        <f t="shared" si="207"/>
        <v>0</v>
      </c>
      <c r="AK232" s="317">
        <f t="shared" si="208"/>
        <v>0</v>
      </c>
      <c r="AL232" s="317">
        <f t="shared" si="209"/>
        <v>0</v>
      </c>
      <c r="AM232" s="317">
        <f t="shared" si="210"/>
        <v>0</v>
      </c>
      <c r="AN232" s="317">
        <f t="shared" si="211"/>
        <v>0</v>
      </c>
      <c r="AO232" s="317">
        <f t="shared" si="212"/>
        <v>0</v>
      </c>
      <c r="AP232" s="317">
        <f t="shared" si="213"/>
        <v>0</v>
      </c>
      <c r="AQ232" s="317">
        <f t="shared" si="214"/>
        <v>0</v>
      </c>
      <c r="AR232" s="317">
        <f t="shared" si="187"/>
        <v>0</v>
      </c>
      <c r="AS232" s="317">
        <f t="shared" si="188"/>
        <v>0</v>
      </c>
      <c r="AT232" s="317">
        <f t="shared" si="215"/>
        <v>0</v>
      </c>
      <c r="AU232" s="317">
        <f t="shared" si="216"/>
        <v>0</v>
      </c>
      <c r="AV232" s="317">
        <f t="shared" si="217"/>
        <v>0</v>
      </c>
      <c r="AW232" s="317">
        <f t="shared" si="218"/>
        <v>0</v>
      </c>
      <c r="AX232" s="317">
        <f t="shared" si="189"/>
        <v>0</v>
      </c>
      <c r="AY232" s="317">
        <f t="shared" si="190"/>
        <v>0</v>
      </c>
      <c r="AZ232" s="317">
        <f t="shared" si="191"/>
        <v>0</v>
      </c>
      <c r="BA232" s="317">
        <f t="shared" si="192"/>
        <v>0</v>
      </c>
    </row>
    <row r="233" spans="1:53" s="314" customFormat="1" ht="16.5" customHeight="1">
      <c r="A233" s="63" t="str">
        <f t="array" ref="A233">IF(C233&lt;&gt;0,SUM(($C$11:C233&lt;&gt;0)*1),"")</f>
        <v/>
      </c>
      <c r="B233" s="315"/>
      <c r="C233" s="315"/>
      <c r="D233" s="315"/>
      <c r="E233" s="433"/>
      <c r="F233" s="371"/>
      <c r="G233" s="373"/>
      <c r="H233" s="373"/>
      <c r="I233" s="63" t="str">
        <f t="shared" si="180"/>
        <v/>
      </c>
      <c r="J233" s="317">
        <f t="shared" si="181"/>
        <v>0</v>
      </c>
      <c r="K233" s="317">
        <f t="shared" si="182"/>
        <v>0</v>
      </c>
      <c r="L233" s="317">
        <f t="shared" si="193"/>
        <v>0</v>
      </c>
      <c r="M233" s="317">
        <f t="shared" si="194"/>
        <v>0</v>
      </c>
      <c r="N233" s="317">
        <f t="shared" si="174"/>
        <v>0</v>
      </c>
      <c r="O233" s="317">
        <f t="shared" si="175"/>
        <v>0</v>
      </c>
      <c r="P233" s="317">
        <f t="shared" si="195"/>
        <v>0</v>
      </c>
      <c r="Q233" s="317">
        <f t="shared" si="196"/>
        <v>0</v>
      </c>
      <c r="R233" s="317">
        <f t="shared" si="197"/>
        <v>0</v>
      </c>
      <c r="S233" s="317">
        <f t="shared" si="198"/>
        <v>0</v>
      </c>
      <c r="T233" s="317">
        <f t="shared" si="176"/>
        <v>0</v>
      </c>
      <c r="U233" s="317">
        <f t="shared" si="177"/>
        <v>0</v>
      </c>
      <c r="V233" s="317">
        <f t="shared" si="199"/>
        <v>0</v>
      </c>
      <c r="W233" s="317">
        <f t="shared" si="200"/>
        <v>0</v>
      </c>
      <c r="X233" s="317">
        <f t="shared" si="201"/>
        <v>0</v>
      </c>
      <c r="Y233" s="317">
        <f t="shared" si="202"/>
        <v>0</v>
      </c>
      <c r="Z233" s="317">
        <f t="shared" si="183"/>
        <v>0</v>
      </c>
      <c r="AA233" s="317">
        <f t="shared" si="184"/>
        <v>0</v>
      </c>
      <c r="AB233" s="317">
        <f t="shared" si="203"/>
        <v>0</v>
      </c>
      <c r="AC233" s="317">
        <f t="shared" si="204"/>
        <v>0</v>
      </c>
      <c r="AD233" s="317">
        <f t="shared" si="185"/>
        <v>0</v>
      </c>
      <c r="AE233" s="317">
        <f t="shared" si="186"/>
        <v>0</v>
      </c>
      <c r="AF233" s="317">
        <f t="shared" si="178"/>
        <v>0</v>
      </c>
      <c r="AG233" s="317">
        <f t="shared" si="179"/>
        <v>0</v>
      </c>
      <c r="AH233" s="317">
        <f t="shared" si="205"/>
        <v>0</v>
      </c>
      <c r="AI233" s="317">
        <f t="shared" si="206"/>
        <v>0</v>
      </c>
      <c r="AJ233" s="317">
        <f t="shared" si="207"/>
        <v>0</v>
      </c>
      <c r="AK233" s="317">
        <f t="shared" si="208"/>
        <v>0</v>
      </c>
      <c r="AL233" s="317">
        <f t="shared" si="209"/>
        <v>0</v>
      </c>
      <c r="AM233" s="317">
        <f t="shared" si="210"/>
        <v>0</v>
      </c>
      <c r="AN233" s="317">
        <f t="shared" si="211"/>
        <v>0</v>
      </c>
      <c r="AO233" s="317">
        <f t="shared" si="212"/>
        <v>0</v>
      </c>
      <c r="AP233" s="317">
        <f t="shared" si="213"/>
        <v>0</v>
      </c>
      <c r="AQ233" s="317">
        <f t="shared" si="214"/>
        <v>0</v>
      </c>
      <c r="AR233" s="317">
        <f t="shared" si="187"/>
        <v>0</v>
      </c>
      <c r="AS233" s="317">
        <f t="shared" si="188"/>
        <v>0</v>
      </c>
      <c r="AT233" s="317">
        <f t="shared" si="215"/>
        <v>0</v>
      </c>
      <c r="AU233" s="317">
        <f t="shared" si="216"/>
        <v>0</v>
      </c>
      <c r="AV233" s="317">
        <f t="shared" si="217"/>
        <v>0</v>
      </c>
      <c r="AW233" s="317">
        <f t="shared" si="218"/>
        <v>0</v>
      </c>
      <c r="AX233" s="317">
        <f t="shared" si="189"/>
        <v>0</v>
      </c>
      <c r="AY233" s="317">
        <f t="shared" si="190"/>
        <v>0</v>
      </c>
      <c r="AZ233" s="317">
        <f t="shared" si="191"/>
        <v>0</v>
      </c>
      <c r="BA233" s="317">
        <f t="shared" si="192"/>
        <v>0</v>
      </c>
    </row>
    <row r="234" spans="1:53" s="314" customFormat="1" ht="16.5" customHeight="1">
      <c r="A234" s="63" t="str">
        <f t="array" ref="A234">IF(C234&lt;&gt;0,SUM(($C$11:C234&lt;&gt;0)*1),"")</f>
        <v/>
      </c>
      <c r="B234" s="315"/>
      <c r="C234" s="315"/>
      <c r="D234" s="315"/>
      <c r="E234" s="433"/>
      <c r="F234" s="371"/>
      <c r="G234" s="373"/>
      <c r="H234" s="373"/>
      <c r="I234" s="63" t="str">
        <f t="shared" si="180"/>
        <v/>
      </c>
      <c r="J234" s="317">
        <f t="shared" si="181"/>
        <v>0</v>
      </c>
      <c r="K234" s="317">
        <f t="shared" si="182"/>
        <v>0</v>
      </c>
      <c r="L234" s="317">
        <f t="shared" si="193"/>
        <v>0</v>
      </c>
      <c r="M234" s="317">
        <f t="shared" si="194"/>
        <v>0</v>
      </c>
      <c r="N234" s="317">
        <f t="shared" si="174"/>
        <v>0</v>
      </c>
      <c r="O234" s="317">
        <f t="shared" si="175"/>
        <v>0</v>
      </c>
      <c r="P234" s="317">
        <f t="shared" si="195"/>
        <v>0</v>
      </c>
      <c r="Q234" s="317">
        <f t="shared" si="196"/>
        <v>0</v>
      </c>
      <c r="R234" s="317">
        <f t="shared" si="197"/>
        <v>0</v>
      </c>
      <c r="S234" s="317">
        <f t="shared" si="198"/>
        <v>0</v>
      </c>
      <c r="T234" s="317">
        <f t="shared" si="176"/>
        <v>0</v>
      </c>
      <c r="U234" s="317">
        <f t="shared" si="177"/>
        <v>0</v>
      </c>
      <c r="V234" s="317">
        <f t="shared" si="199"/>
        <v>0</v>
      </c>
      <c r="W234" s="317">
        <f t="shared" si="200"/>
        <v>0</v>
      </c>
      <c r="X234" s="317">
        <f t="shared" si="201"/>
        <v>0</v>
      </c>
      <c r="Y234" s="317">
        <f t="shared" si="202"/>
        <v>0</v>
      </c>
      <c r="Z234" s="317">
        <f t="shared" si="183"/>
        <v>0</v>
      </c>
      <c r="AA234" s="317">
        <f t="shared" si="184"/>
        <v>0</v>
      </c>
      <c r="AB234" s="317">
        <f t="shared" si="203"/>
        <v>0</v>
      </c>
      <c r="AC234" s="317">
        <f t="shared" si="204"/>
        <v>0</v>
      </c>
      <c r="AD234" s="317">
        <f t="shared" si="185"/>
        <v>0</v>
      </c>
      <c r="AE234" s="317">
        <f t="shared" si="186"/>
        <v>0</v>
      </c>
      <c r="AF234" s="317">
        <f t="shared" si="178"/>
        <v>0</v>
      </c>
      <c r="AG234" s="317">
        <f t="shared" si="179"/>
        <v>0</v>
      </c>
      <c r="AH234" s="317">
        <f t="shared" si="205"/>
        <v>0</v>
      </c>
      <c r="AI234" s="317">
        <f t="shared" si="206"/>
        <v>0</v>
      </c>
      <c r="AJ234" s="317">
        <f t="shared" si="207"/>
        <v>0</v>
      </c>
      <c r="AK234" s="317">
        <f t="shared" si="208"/>
        <v>0</v>
      </c>
      <c r="AL234" s="317">
        <f t="shared" si="209"/>
        <v>0</v>
      </c>
      <c r="AM234" s="317">
        <f t="shared" si="210"/>
        <v>0</v>
      </c>
      <c r="AN234" s="317">
        <f t="shared" si="211"/>
        <v>0</v>
      </c>
      <c r="AO234" s="317">
        <f t="shared" si="212"/>
        <v>0</v>
      </c>
      <c r="AP234" s="317">
        <f t="shared" si="213"/>
        <v>0</v>
      </c>
      <c r="AQ234" s="317">
        <f t="shared" si="214"/>
        <v>0</v>
      </c>
      <c r="AR234" s="317">
        <f t="shared" si="187"/>
        <v>0</v>
      </c>
      <c r="AS234" s="317">
        <f t="shared" si="188"/>
        <v>0</v>
      </c>
      <c r="AT234" s="317">
        <f t="shared" si="215"/>
        <v>0</v>
      </c>
      <c r="AU234" s="317">
        <f t="shared" si="216"/>
        <v>0</v>
      </c>
      <c r="AV234" s="317">
        <f t="shared" si="217"/>
        <v>0</v>
      </c>
      <c r="AW234" s="317">
        <f t="shared" si="218"/>
        <v>0</v>
      </c>
      <c r="AX234" s="317">
        <f t="shared" si="189"/>
        <v>0</v>
      </c>
      <c r="AY234" s="317">
        <f t="shared" si="190"/>
        <v>0</v>
      </c>
      <c r="AZ234" s="317">
        <f t="shared" si="191"/>
        <v>0</v>
      </c>
      <c r="BA234" s="317">
        <f t="shared" si="192"/>
        <v>0</v>
      </c>
    </row>
    <row r="235" spans="1:53" s="314" customFormat="1" ht="16.5" customHeight="1">
      <c r="A235" s="63" t="str">
        <f t="array" ref="A235">IF(C235&lt;&gt;0,SUM(($C$11:C235&lt;&gt;0)*1),"")</f>
        <v/>
      </c>
      <c r="B235" s="315"/>
      <c r="C235" s="315"/>
      <c r="D235" s="315"/>
      <c r="E235" s="433"/>
      <c r="F235" s="371"/>
      <c r="G235" s="373"/>
      <c r="H235" s="373"/>
      <c r="I235" s="63" t="str">
        <f t="shared" si="180"/>
        <v/>
      </c>
      <c r="J235" s="317">
        <f t="shared" si="181"/>
        <v>0</v>
      </c>
      <c r="K235" s="317">
        <f t="shared" si="182"/>
        <v>0</v>
      </c>
      <c r="L235" s="317">
        <f t="shared" si="193"/>
        <v>0</v>
      </c>
      <c r="M235" s="317">
        <f t="shared" si="194"/>
        <v>0</v>
      </c>
      <c r="N235" s="317">
        <f t="shared" si="174"/>
        <v>0</v>
      </c>
      <c r="O235" s="317">
        <f t="shared" si="175"/>
        <v>0</v>
      </c>
      <c r="P235" s="317">
        <f t="shared" si="195"/>
        <v>0</v>
      </c>
      <c r="Q235" s="317">
        <f t="shared" si="196"/>
        <v>0</v>
      </c>
      <c r="R235" s="317">
        <f t="shared" si="197"/>
        <v>0</v>
      </c>
      <c r="S235" s="317">
        <f t="shared" si="198"/>
        <v>0</v>
      </c>
      <c r="T235" s="317">
        <f t="shared" si="176"/>
        <v>0</v>
      </c>
      <c r="U235" s="317">
        <f t="shared" si="177"/>
        <v>0</v>
      </c>
      <c r="V235" s="317">
        <f t="shared" si="199"/>
        <v>0</v>
      </c>
      <c r="W235" s="317">
        <f t="shared" si="200"/>
        <v>0</v>
      </c>
      <c r="X235" s="317">
        <f t="shared" si="201"/>
        <v>0</v>
      </c>
      <c r="Y235" s="317">
        <f t="shared" si="202"/>
        <v>0</v>
      </c>
      <c r="Z235" s="317">
        <f t="shared" si="183"/>
        <v>0</v>
      </c>
      <c r="AA235" s="317">
        <f t="shared" si="184"/>
        <v>0</v>
      </c>
      <c r="AB235" s="317">
        <f t="shared" si="203"/>
        <v>0</v>
      </c>
      <c r="AC235" s="317">
        <f t="shared" si="204"/>
        <v>0</v>
      </c>
      <c r="AD235" s="317">
        <f t="shared" si="185"/>
        <v>0</v>
      </c>
      <c r="AE235" s="317">
        <f t="shared" si="186"/>
        <v>0</v>
      </c>
      <c r="AF235" s="317">
        <f t="shared" si="178"/>
        <v>0</v>
      </c>
      <c r="AG235" s="317">
        <f t="shared" si="179"/>
        <v>0</v>
      </c>
      <c r="AH235" s="317">
        <f t="shared" si="205"/>
        <v>0</v>
      </c>
      <c r="AI235" s="317">
        <f t="shared" si="206"/>
        <v>0</v>
      </c>
      <c r="AJ235" s="317">
        <f t="shared" si="207"/>
        <v>0</v>
      </c>
      <c r="AK235" s="317">
        <f t="shared" si="208"/>
        <v>0</v>
      </c>
      <c r="AL235" s="317">
        <f t="shared" si="209"/>
        <v>0</v>
      </c>
      <c r="AM235" s="317">
        <f t="shared" si="210"/>
        <v>0</v>
      </c>
      <c r="AN235" s="317">
        <f t="shared" si="211"/>
        <v>0</v>
      </c>
      <c r="AO235" s="317">
        <f t="shared" si="212"/>
        <v>0</v>
      </c>
      <c r="AP235" s="317">
        <f t="shared" si="213"/>
        <v>0</v>
      </c>
      <c r="AQ235" s="317">
        <f t="shared" si="214"/>
        <v>0</v>
      </c>
      <c r="AR235" s="317">
        <f t="shared" si="187"/>
        <v>0</v>
      </c>
      <c r="AS235" s="317">
        <f t="shared" si="188"/>
        <v>0</v>
      </c>
      <c r="AT235" s="317">
        <f t="shared" si="215"/>
        <v>0</v>
      </c>
      <c r="AU235" s="317">
        <f t="shared" si="216"/>
        <v>0</v>
      </c>
      <c r="AV235" s="317">
        <f t="shared" si="217"/>
        <v>0</v>
      </c>
      <c r="AW235" s="317">
        <f t="shared" si="218"/>
        <v>0</v>
      </c>
      <c r="AX235" s="317">
        <f t="shared" si="189"/>
        <v>0</v>
      </c>
      <c r="AY235" s="317">
        <f t="shared" si="190"/>
        <v>0</v>
      </c>
      <c r="AZ235" s="317">
        <f t="shared" si="191"/>
        <v>0</v>
      </c>
      <c r="BA235" s="317">
        <f t="shared" si="192"/>
        <v>0</v>
      </c>
    </row>
    <row r="236" spans="1:53" s="314" customFormat="1" ht="16.5" customHeight="1">
      <c r="A236" s="63" t="str">
        <f t="array" ref="A236">IF(C236&lt;&gt;0,SUM(($C$11:C236&lt;&gt;0)*1),"")</f>
        <v/>
      </c>
      <c r="B236" s="315"/>
      <c r="C236" s="315"/>
      <c r="D236" s="315"/>
      <c r="E236" s="433"/>
      <c r="F236" s="371"/>
      <c r="G236" s="373"/>
      <c r="H236" s="373"/>
      <c r="I236" s="63" t="str">
        <f t="shared" si="180"/>
        <v/>
      </c>
      <c r="J236" s="317">
        <f t="shared" si="181"/>
        <v>0</v>
      </c>
      <c r="K236" s="317">
        <f t="shared" si="182"/>
        <v>0</v>
      </c>
      <c r="L236" s="317">
        <f t="shared" si="193"/>
        <v>0</v>
      </c>
      <c r="M236" s="317">
        <f t="shared" si="194"/>
        <v>0</v>
      </c>
      <c r="N236" s="317">
        <f t="shared" si="174"/>
        <v>0</v>
      </c>
      <c r="O236" s="317">
        <f t="shared" si="175"/>
        <v>0</v>
      </c>
      <c r="P236" s="317">
        <f t="shared" si="195"/>
        <v>0</v>
      </c>
      <c r="Q236" s="317">
        <f t="shared" si="196"/>
        <v>0</v>
      </c>
      <c r="R236" s="317">
        <f t="shared" si="197"/>
        <v>0</v>
      </c>
      <c r="S236" s="317">
        <f t="shared" si="198"/>
        <v>0</v>
      </c>
      <c r="T236" s="317">
        <f t="shared" si="176"/>
        <v>0</v>
      </c>
      <c r="U236" s="317">
        <f t="shared" si="177"/>
        <v>0</v>
      </c>
      <c r="V236" s="317">
        <f t="shared" si="199"/>
        <v>0</v>
      </c>
      <c r="W236" s="317">
        <f t="shared" si="200"/>
        <v>0</v>
      </c>
      <c r="X236" s="317">
        <f t="shared" si="201"/>
        <v>0</v>
      </c>
      <c r="Y236" s="317">
        <f t="shared" si="202"/>
        <v>0</v>
      </c>
      <c r="Z236" s="317">
        <f t="shared" si="183"/>
        <v>0</v>
      </c>
      <c r="AA236" s="317">
        <f t="shared" si="184"/>
        <v>0</v>
      </c>
      <c r="AB236" s="317">
        <f t="shared" si="203"/>
        <v>0</v>
      </c>
      <c r="AC236" s="317">
        <f t="shared" si="204"/>
        <v>0</v>
      </c>
      <c r="AD236" s="317">
        <f t="shared" si="185"/>
        <v>0</v>
      </c>
      <c r="AE236" s="317">
        <f t="shared" si="186"/>
        <v>0</v>
      </c>
      <c r="AF236" s="317">
        <f t="shared" si="178"/>
        <v>0</v>
      </c>
      <c r="AG236" s="317">
        <f t="shared" si="179"/>
        <v>0</v>
      </c>
      <c r="AH236" s="317">
        <f t="shared" si="205"/>
        <v>0</v>
      </c>
      <c r="AI236" s="317">
        <f t="shared" si="206"/>
        <v>0</v>
      </c>
      <c r="AJ236" s="317">
        <f t="shared" si="207"/>
        <v>0</v>
      </c>
      <c r="AK236" s="317">
        <f t="shared" si="208"/>
        <v>0</v>
      </c>
      <c r="AL236" s="317">
        <f t="shared" si="209"/>
        <v>0</v>
      </c>
      <c r="AM236" s="317">
        <f t="shared" si="210"/>
        <v>0</v>
      </c>
      <c r="AN236" s="317">
        <f t="shared" si="211"/>
        <v>0</v>
      </c>
      <c r="AO236" s="317">
        <f t="shared" si="212"/>
        <v>0</v>
      </c>
      <c r="AP236" s="317">
        <f t="shared" si="213"/>
        <v>0</v>
      </c>
      <c r="AQ236" s="317">
        <f t="shared" si="214"/>
        <v>0</v>
      </c>
      <c r="AR236" s="317">
        <f t="shared" si="187"/>
        <v>0</v>
      </c>
      <c r="AS236" s="317">
        <f t="shared" si="188"/>
        <v>0</v>
      </c>
      <c r="AT236" s="317">
        <f t="shared" si="215"/>
        <v>0</v>
      </c>
      <c r="AU236" s="317">
        <f t="shared" si="216"/>
        <v>0</v>
      </c>
      <c r="AV236" s="317">
        <f t="shared" si="217"/>
        <v>0</v>
      </c>
      <c r="AW236" s="317">
        <f t="shared" si="218"/>
        <v>0</v>
      </c>
      <c r="AX236" s="317">
        <f t="shared" si="189"/>
        <v>0</v>
      </c>
      <c r="AY236" s="317">
        <f t="shared" si="190"/>
        <v>0</v>
      </c>
      <c r="AZ236" s="317">
        <f t="shared" si="191"/>
        <v>0</v>
      </c>
      <c r="BA236" s="317">
        <f t="shared" si="192"/>
        <v>0</v>
      </c>
    </row>
    <row r="237" spans="1:53" s="314" customFormat="1" ht="16.5" customHeight="1">
      <c r="A237" s="63" t="str">
        <f t="array" ref="A237">IF(C237&lt;&gt;0,SUM(($C$11:C237&lt;&gt;0)*1),"")</f>
        <v/>
      </c>
      <c r="B237" s="315"/>
      <c r="C237" s="315"/>
      <c r="D237" s="315"/>
      <c r="E237" s="433"/>
      <c r="F237" s="371"/>
      <c r="G237" s="373"/>
      <c r="H237" s="373"/>
      <c r="I237" s="63" t="str">
        <f t="shared" si="180"/>
        <v/>
      </c>
      <c r="J237" s="317">
        <f t="shared" si="181"/>
        <v>0</v>
      </c>
      <c r="K237" s="317">
        <f t="shared" si="182"/>
        <v>0</v>
      </c>
      <c r="L237" s="317">
        <f t="shared" si="193"/>
        <v>0</v>
      </c>
      <c r="M237" s="317">
        <f t="shared" si="194"/>
        <v>0</v>
      </c>
      <c r="N237" s="317">
        <f t="shared" si="174"/>
        <v>0</v>
      </c>
      <c r="O237" s="317">
        <f t="shared" si="175"/>
        <v>0</v>
      </c>
      <c r="P237" s="317">
        <f t="shared" si="195"/>
        <v>0</v>
      </c>
      <c r="Q237" s="317">
        <f t="shared" si="196"/>
        <v>0</v>
      </c>
      <c r="R237" s="317">
        <f t="shared" si="197"/>
        <v>0</v>
      </c>
      <c r="S237" s="317">
        <f t="shared" si="198"/>
        <v>0</v>
      </c>
      <c r="T237" s="317">
        <f t="shared" si="176"/>
        <v>0</v>
      </c>
      <c r="U237" s="317">
        <f t="shared" si="177"/>
        <v>0</v>
      </c>
      <c r="V237" s="317">
        <f t="shared" si="199"/>
        <v>0</v>
      </c>
      <c r="W237" s="317">
        <f t="shared" si="200"/>
        <v>0</v>
      </c>
      <c r="X237" s="317">
        <f t="shared" si="201"/>
        <v>0</v>
      </c>
      <c r="Y237" s="317">
        <f t="shared" si="202"/>
        <v>0</v>
      </c>
      <c r="Z237" s="317">
        <f t="shared" si="183"/>
        <v>0</v>
      </c>
      <c r="AA237" s="317">
        <f t="shared" si="184"/>
        <v>0</v>
      </c>
      <c r="AB237" s="317">
        <f t="shared" si="203"/>
        <v>0</v>
      </c>
      <c r="AC237" s="317">
        <f t="shared" si="204"/>
        <v>0</v>
      </c>
      <c r="AD237" s="317">
        <f t="shared" si="185"/>
        <v>0</v>
      </c>
      <c r="AE237" s="317">
        <f t="shared" si="186"/>
        <v>0</v>
      </c>
      <c r="AF237" s="317">
        <f t="shared" si="178"/>
        <v>0</v>
      </c>
      <c r="AG237" s="317">
        <f t="shared" si="179"/>
        <v>0</v>
      </c>
      <c r="AH237" s="317">
        <f t="shared" si="205"/>
        <v>0</v>
      </c>
      <c r="AI237" s="317">
        <f t="shared" si="206"/>
        <v>0</v>
      </c>
      <c r="AJ237" s="317">
        <f t="shared" si="207"/>
        <v>0</v>
      </c>
      <c r="AK237" s="317">
        <f t="shared" si="208"/>
        <v>0</v>
      </c>
      <c r="AL237" s="317">
        <f t="shared" si="209"/>
        <v>0</v>
      </c>
      <c r="AM237" s="317">
        <f t="shared" si="210"/>
        <v>0</v>
      </c>
      <c r="AN237" s="317">
        <f t="shared" si="211"/>
        <v>0</v>
      </c>
      <c r="AO237" s="317">
        <f t="shared" si="212"/>
        <v>0</v>
      </c>
      <c r="AP237" s="317">
        <f t="shared" si="213"/>
        <v>0</v>
      </c>
      <c r="AQ237" s="317">
        <f t="shared" si="214"/>
        <v>0</v>
      </c>
      <c r="AR237" s="317">
        <f t="shared" si="187"/>
        <v>0</v>
      </c>
      <c r="AS237" s="317">
        <f t="shared" si="188"/>
        <v>0</v>
      </c>
      <c r="AT237" s="317">
        <f t="shared" si="215"/>
        <v>0</v>
      </c>
      <c r="AU237" s="317">
        <f t="shared" si="216"/>
        <v>0</v>
      </c>
      <c r="AV237" s="317">
        <f t="shared" si="217"/>
        <v>0</v>
      </c>
      <c r="AW237" s="317">
        <f t="shared" si="218"/>
        <v>0</v>
      </c>
      <c r="AX237" s="317">
        <f t="shared" si="189"/>
        <v>0</v>
      </c>
      <c r="AY237" s="317">
        <f t="shared" si="190"/>
        <v>0</v>
      </c>
      <c r="AZ237" s="317">
        <f t="shared" si="191"/>
        <v>0</v>
      </c>
      <c r="BA237" s="317">
        <f t="shared" si="192"/>
        <v>0</v>
      </c>
    </row>
    <row r="238" spans="1:53" s="314" customFormat="1" ht="16.5" customHeight="1">
      <c r="A238" s="63" t="str">
        <f t="array" ref="A238">IF(C238&lt;&gt;0,SUM(($C$11:C238&lt;&gt;0)*1),"")</f>
        <v/>
      </c>
      <c r="B238" s="315"/>
      <c r="C238" s="315"/>
      <c r="D238" s="315"/>
      <c r="E238" s="433"/>
      <c r="F238" s="371"/>
      <c r="G238" s="373"/>
      <c r="H238" s="373"/>
      <c r="I238" s="63" t="str">
        <f t="shared" si="180"/>
        <v/>
      </c>
      <c r="J238" s="317">
        <f t="shared" si="181"/>
        <v>0</v>
      </c>
      <c r="K238" s="317">
        <f t="shared" si="182"/>
        <v>0</v>
      </c>
      <c r="L238" s="317">
        <f t="shared" si="193"/>
        <v>0</v>
      </c>
      <c r="M238" s="317">
        <f t="shared" si="194"/>
        <v>0</v>
      </c>
      <c r="N238" s="317">
        <f t="shared" si="174"/>
        <v>0</v>
      </c>
      <c r="O238" s="317">
        <f t="shared" si="175"/>
        <v>0</v>
      </c>
      <c r="P238" s="317">
        <f t="shared" si="195"/>
        <v>0</v>
      </c>
      <c r="Q238" s="317">
        <f t="shared" si="196"/>
        <v>0</v>
      </c>
      <c r="R238" s="317">
        <f t="shared" si="197"/>
        <v>0</v>
      </c>
      <c r="S238" s="317">
        <f t="shared" si="198"/>
        <v>0</v>
      </c>
      <c r="T238" s="317">
        <f t="shared" si="176"/>
        <v>0</v>
      </c>
      <c r="U238" s="317">
        <f t="shared" si="177"/>
        <v>0</v>
      </c>
      <c r="V238" s="317">
        <f t="shared" si="199"/>
        <v>0</v>
      </c>
      <c r="W238" s="317">
        <f t="shared" si="200"/>
        <v>0</v>
      </c>
      <c r="X238" s="317">
        <f t="shared" si="201"/>
        <v>0</v>
      </c>
      <c r="Y238" s="317">
        <f t="shared" si="202"/>
        <v>0</v>
      </c>
      <c r="Z238" s="317">
        <f t="shared" si="183"/>
        <v>0</v>
      </c>
      <c r="AA238" s="317">
        <f t="shared" si="184"/>
        <v>0</v>
      </c>
      <c r="AB238" s="317">
        <f t="shared" si="203"/>
        <v>0</v>
      </c>
      <c r="AC238" s="317">
        <f t="shared" si="204"/>
        <v>0</v>
      </c>
      <c r="AD238" s="317">
        <f t="shared" si="185"/>
        <v>0</v>
      </c>
      <c r="AE238" s="317">
        <f t="shared" si="186"/>
        <v>0</v>
      </c>
      <c r="AF238" s="317">
        <f t="shared" si="178"/>
        <v>0</v>
      </c>
      <c r="AG238" s="317">
        <f t="shared" si="179"/>
        <v>0</v>
      </c>
      <c r="AH238" s="317">
        <f t="shared" si="205"/>
        <v>0</v>
      </c>
      <c r="AI238" s="317">
        <f t="shared" si="206"/>
        <v>0</v>
      </c>
      <c r="AJ238" s="317">
        <f t="shared" si="207"/>
        <v>0</v>
      </c>
      <c r="AK238" s="317">
        <f t="shared" si="208"/>
        <v>0</v>
      </c>
      <c r="AL238" s="317">
        <f t="shared" si="209"/>
        <v>0</v>
      </c>
      <c r="AM238" s="317">
        <f t="shared" si="210"/>
        <v>0</v>
      </c>
      <c r="AN238" s="317">
        <f t="shared" si="211"/>
        <v>0</v>
      </c>
      <c r="AO238" s="317">
        <f t="shared" si="212"/>
        <v>0</v>
      </c>
      <c r="AP238" s="317">
        <f t="shared" si="213"/>
        <v>0</v>
      </c>
      <c r="AQ238" s="317">
        <f t="shared" si="214"/>
        <v>0</v>
      </c>
      <c r="AR238" s="317">
        <f t="shared" si="187"/>
        <v>0</v>
      </c>
      <c r="AS238" s="317">
        <f t="shared" si="188"/>
        <v>0</v>
      </c>
      <c r="AT238" s="317">
        <f t="shared" si="215"/>
        <v>0</v>
      </c>
      <c r="AU238" s="317">
        <f t="shared" si="216"/>
        <v>0</v>
      </c>
      <c r="AV238" s="317">
        <f t="shared" si="217"/>
        <v>0</v>
      </c>
      <c r="AW238" s="317">
        <f t="shared" si="218"/>
        <v>0</v>
      </c>
      <c r="AX238" s="317">
        <f t="shared" si="189"/>
        <v>0</v>
      </c>
      <c r="AY238" s="317">
        <f t="shared" si="190"/>
        <v>0</v>
      </c>
      <c r="AZ238" s="317">
        <f t="shared" si="191"/>
        <v>0</v>
      </c>
      <c r="BA238" s="317">
        <f t="shared" si="192"/>
        <v>0</v>
      </c>
    </row>
    <row r="239" spans="1:53" s="314" customFormat="1" ht="16.5" customHeight="1">
      <c r="A239" s="63" t="str">
        <f t="array" ref="A239">IF(C239&lt;&gt;0,SUM(($C$11:C239&lt;&gt;0)*1),"")</f>
        <v/>
      </c>
      <c r="B239" s="315"/>
      <c r="C239" s="315"/>
      <c r="D239" s="315"/>
      <c r="E239" s="433"/>
      <c r="F239" s="371"/>
      <c r="G239" s="373"/>
      <c r="H239" s="373"/>
      <c r="I239" s="63" t="str">
        <f t="shared" si="180"/>
        <v/>
      </c>
      <c r="J239" s="317">
        <f t="shared" si="181"/>
        <v>0</v>
      </c>
      <c r="K239" s="317">
        <f t="shared" si="182"/>
        <v>0</v>
      </c>
      <c r="L239" s="317">
        <f t="shared" si="193"/>
        <v>0</v>
      </c>
      <c r="M239" s="317">
        <f t="shared" si="194"/>
        <v>0</v>
      </c>
      <c r="N239" s="317">
        <f t="shared" si="174"/>
        <v>0</v>
      </c>
      <c r="O239" s="317">
        <f t="shared" si="175"/>
        <v>0</v>
      </c>
      <c r="P239" s="317">
        <f t="shared" si="195"/>
        <v>0</v>
      </c>
      <c r="Q239" s="317">
        <f t="shared" si="196"/>
        <v>0</v>
      </c>
      <c r="R239" s="317">
        <f t="shared" si="197"/>
        <v>0</v>
      </c>
      <c r="S239" s="317">
        <f t="shared" si="198"/>
        <v>0</v>
      </c>
      <c r="T239" s="317">
        <f t="shared" si="176"/>
        <v>0</v>
      </c>
      <c r="U239" s="317">
        <f t="shared" si="177"/>
        <v>0</v>
      </c>
      <c r="V239" s="317">
        <f t="shared" si="199"/>
        <v>0</v>
      </c>
      <c r="W239" s="317">
        <f t="shared" si="200"/>
        <v>0</v>
      </c>
      <c r="X239" s="317">
        <f t="shared" si="201"/>
        <v>0</v>
      </c>
      <c r="Y239" s="317">
        <f t="shared" si="202"/>
        <v>0</v>
      </c>
      <c r="Z239" s="317">
        <f t="shared" si="183"/>
        <v>0</v>
      </c>
      <c r="AA239" s="317">
        <f t="shared" si="184"/>
        <v>0</v>
      </c>
      <c r="AB239" s="317">
        <f t="shared" si="203"/>
        <v>0</v>
      </c>
      <c r="AC239" s="317">
        <f t="shared" si="204"/>
        <v>0</v>
      </c>
      <c r="AD239" s="317">
        <f t="shared" si="185"/>
        <v>0</v>
      </c>
      <c r="AE239" s="317">
        <f t="shared" si="186"/>
        <v>0</v>
      </c>
      <c r="AF239" s="317">
        <f t="shared" si="178"/>
        <v>0</v>
      </c>
      <c r="AG239" s="317">
        <f t="shared" si="179"/>
        <v>0</v>
      </c>
      <c r="AH239" s="317">
        <f t="shared" si="205"/>
        <v>0</v>
      </c>
      <c r="AI239" s="317">
        <f t="shared" si="206"/>
        <v>0</v>
      </c>
      <c r="AJ239" s="317">
        <f t="shared" si="207"/>
        <v>0</v>
      </c>
      <c r="AK239" s="317">
        <f t="shared" si="208"/>
        <v>0</v>
      </c>
      <c r="AL239" s="317">
        <f t="shared" si="209"/>
        <v>0</v>
      </c>
      <c r="AM239" s="317">
        <f t="shared" si="210"/>
        <v>0</v>
      </c>
      <c r="AN239" s="317">
        <f t="shared" si="211"/>
        <v>0</v>
      </c>
      <c r="AO239" s="317">
        <f t="shared" si="212"/>
        <v>0</v>
      </c>
      <c r="AP239" s="317">
        <f t="shared" si="213"/>
        <v>0</v>
      </c>
      <c r="AQ239" s="317">
        <f t="shared" si="214"/>
        <v>0</v>
      </c>
      <c r="AR239" s="317">
        <f t="shared" si="187"/>
        <v>0</v>
      </c>
      <c r="AS239" s="317">
        <f t="shared" si="188"/>
        <v>0</v>
      </c>
      <c r="AT239" s="317">
        <f t="shared" si="215"/>
        <v>0</v>
      </c>
      <c r="AU239" s="317">
        <f t="shared" si="216"/>
        <v>0</v>
      </c>
      <c r="AV239" s="317">
        <f t="shared" si="217"/>
        <v>0</v>
      </c>
      <c r="AW239" s="317">
        <f t="shared" si="218"/>
        <v>0</v>
      </c>
      <c r="AX239" s="317">
        <f t="shared" si="189"/>
        <v>0</v>
      </c>
      <c r="AY239" s="317">
        <f t="shared" si="190"/>
        <v>0</v>
      </c>
      <c r="AZ239" s="317">
        <f t="shared" si="191"/>
        <v>0</v>
      </c>
      <c r="BA239" s="317">
        <f t="shared" si="192"/>
        <v>0</v>
      </c>
    </row>
    <row r="240" spans="1:53" s="314" customFormat="1" ht="16.5" customHeight="1">
      <c r="A240" s="63" t="str">
        <f t="array" ref="A240">IF(C240&lt;&gt;0,SUM(($C$11:C240&lt;&gt;0)*1),"")</f>
        <v/>
      </c>
      <c r="B240" s="315"/>
      <c r="C240" s="315"/>
      <c r="D240" s="315"/>
      <c r="E240" s="433"/>
      <c r="F240" s="371"/>
      <c r="G240" s="373"/>
      <c r="H240" s="373"/>
      <c r="I240" s="63" t="str">
        <f t="shared" si="180"/>
        <v/>
      </c>
      <c r="J240" s="317">
        <f t="shared" si="181"/>
        <v>0</v>
      </c>
      <c r="K240" s="317">
        <f t="shared" si="182"/>
        <v>0</v>
      </c>
      <c r="L240" s="317">
        <f t="shared" si="193"/>
        <v>0</v>
      </c>
      <c r="M240" s="317">
        <f t="shared" si="194"/>
        <v>0</v>
      </c>
      <c r="N240" s="317">
        <f t="shared" si="174"/>
        <v>0</v>
      </c>
      <c r="O240" s="317">
        <f t="shared" si="175"/>
        <v>0</v>
      </c>
      <c r="P240" s="317">
        <f t="shared" si="195"/>
        <v>0</v>
      </c>
      <c r="Q240" s="317">
        <f t="shared" si="196"/>
        <v>0</v>
      </c>
      <c r="R240" s="317">
        <f t="shared" si="197"/>
        <v>0</v>
      </c>
      <c r="S240" s="317">
        <f t="shared" si="198"/>
        <v>0</v>
      </c>
      <c r="T240" s="317">
        <f t="shared" si="176"/>
        <v>0</v>
      </c>
      <c r="U240" s="317">
        <f t="shared" si="177"/>
        <v>0</v>
      </c>
      <c r="V240" s="317">
        <f t="shared" si="199"/>
        <v>0</v>
      </c>
      <c r="W240" s="317">
        <f t="shared" si="200"/>
        <v>0</v>
      </c>
      <c r="X240" s="317">
        <f t="shared" si="201"/>
        <v>0</v>
      </c>
      <c r="Y240" s="317">
        <f t="shared" si="202"/>
        <v>0</v>
      </c>
      <c r="Z240" s="317">
        <f t="shared" si="183"/>
        <v>0</v>
      </c>
      <c r="AA240" s="317">
        <f t="shared" si="184"/>
        <v>0</v>
      </c>
      <c r="AB240" s="317">
        <f t="shared" si="203"/>
        <v>0</v>
      </c>
      <c r="AC240" s="317">
        <f t="shared" si="204"/>
        <v>0</v>
      </c>
      <c r="AD240" s="317">
        <f t="shared" si="185"/>
        <v>0</v>
      </c>
      <c r="AE240" s="317">
        <f t="shared" si="186"/>
        <v>0</v>
      </c>
      <c r="AF240" s="317">
        <f t="shared" si="178"/>
        <v>0</v>
      </c>
      <c r="AG240" s="317">
        <f t="shared" si="179"/>
        <v>0</v>
      </c>
      <c r="AH240" s="317">
        <f t="shared" si="205"/>
        <v>0</v>
      </c>
      <c r="AI240" s="317">
        <f t="shared" si="206"/>
        <v>0</v>
      </c>
      <c r="AJ240" s="317">
        <f t="shared" si="207"/>
        <v>0</v>
      </c>
      <c r="AK240" s="317">
        <f t="shared" si="208"/>
        <v>0</v>
      </c>
      <c r="AL240" s="317">
        <f t="shared" si="209"/>
        <v>0</v>
      </c>
      <c r="AM240" s="317">
        <f t="shared" si="210"/>
        <v>0</v>
      </c>
      <c r="AN240" s="317">
        <f t="shared" si="211"/>
        <v>0</v>
      </c>
      <c r="AO240" s="317">
        <f t="shared" si="212"/>
        <v>0</v>
      </c>
      <c r="AP240" s="317">
        <f t="shared" si="213"/>
        <v>0</v>
      </c>
      <c r="AQ240" s="317">
        <f t="shared" si="214"/>
        <v>0</v>
      </c>
      <c r="AR240" s="317">
        <f t="shared" si="187"/>
        <v>0</v>
      </c>
      <c r="AS240" s="317">
        <f t="shared" si="188"/>
        <v>0</v>
      </c>
      <c r="AT240" s="317">
        <f t="shared" si="215"/>
        <v>0</v>
      </c>
      <c r="AU240" s="317">
        <f t="shared" si="216"/>
        <v>0</v>
      </c>
      <c r="AV240" s="317">
        <f t="shared" si="217"/>
        <v>0</v>
      </c>
      <c r="AW240" s="317">
        <f t="shared" si="218"/>
        <v>0</v>
      </c>
      <c r="AX240" s="317">
        <f t="shared" si="189"/>
        <v>0</v>
      </c>
      <c r="AY240" s="317">
        <f t="shared" si="190"/>
        <v>0</v>
      </c>
      <c r="AZ240" s="317">
        <f t="shared" si="191"/>
        <v>0</v>
      </c>
      <c r="BA240" s="317">
        <f t="shared" si="192"/>
        <v>0</v>
      </c>
    </row>
    <row r="241" spans="1:53" s="314" customFormat="1" ht="16.5" customHeight="1">
      <c r="A241" s="63" t="str">
        <f t="array" ref="A241">IF(C241&lt;&gt;0,SUM(($C$11:C241&lt;&gt;0)*1),"")</f>
        <v/>
      </c>
      <c r="B241" s="315"/>
      <c r="C241" s="315"/>
      <c r="D241" s="315"/>
      <c r="E241" s="433"/>
      <c r="F241" s="371"/>
      <c r="G241" s="373"/>
      <c r="H241" s="373"/>
      <c r="I241" s="63" t="str">
        <f t="shared" ref="I241:I304" si="219">A241</f>
        <v/>
      </c>
      <c r="J241" s="317">
        <f t="shared" si="181"/>
        <v>0</v>
      </c>
      <c r="K241" s="317">
        <f t="shared" si="182"/>
        <v>0</v>
      </c>
      <c r="L241" s="317">
        <f t="shared" si="193"/>
        <v>0</v>
      </c>
      <c r="M241" s="317">
        <f t="shared" si="194"/>
        <v>0</v>
      </c>
      <c r="N241" s="317">
        <f t="shared" si="174"/>
        <v>0</v>
      </c>
      <c r="O241" s="317">
        <f t="shared" si="175"/>
        <v>0</v>
      </c>
      <c r="P241" s="317">
        <f t="shared" si="195"/>
        <v>0</v>
      </c>
      <c r="Q241" s="317">
        <f t="shared" si="196"/>
        <v>0</v>
      </c>
      <c r="R241" s="317">
        <f t="shared" si="197"/>
        <v>0</v>
      </c>
      <c r="S241" s="317">
        <f t="shared" si="198"/>
        <v>0</v>
      </c>
      <c r="T241" s="317">
        <f t="shared" si="176"/>
        <v>0</v>
      </c>
      <c r="U241" s="317">
        <f t="shared" si="177"/>
        <v>0</v>
      </c>
      <c r="V241" s="317">
        <f t="shared" si="199"/>
        <v>0</v>
      </c>
      <c r="W241" s="317">
        <f t="shared" si="200"/>
        <v>0</v>
      </c>
      <c r="X241" s="317">
        <f t="shared" si="201"/>
        <v>0</v>
      </c>
      <c r="Y241" s="317">
        <f t="shared" si="202"/>
        <v>0</v>
      </c>
      <c r="Z241" s="317">
        <f t="shared" si="183"/>
        <v>0</v>
      </c>
      <c r="AA241" s="317">
        <f t="shared" si="184"/>
        <v>0</v>
      </c>
      <c r="AB241" s="317">
        <f t="shared" si="203"/>
        <v>0</v>
      </c>
      <c r="AC241" s="317">
        <f t="shared" si="204"/>
        <v>0</v>
      </c>
      <c r="AD241" s="317">
        <f t="shared" si="185"/>
        <v>0</v>
      </c>
      <c r="AE241" s="317">
        <f t="shared" si="186"/>
        <v>0</v>
      </c>
      <c r="AF241" s="317">
        <f t="shared" si="178"/>
        <v>0</v>
      </c>
      <c r="AG241" s="317">
        <f t="shared" si="179"/>
        <v>0</v>
      </c>
      <c r="AH241" s="317">
        <f t="shared" si="205"/>
        <v>0</v>
      </c>
      <c r="AI241" s="317">
        <f t="shared" si="206"/>
        <v>0</v>
      </c>
      <c r="AJ241" s="317">
        <f t="shared" si="207"/>
        <v>0</v>
      </c>
      <c r="AK241" s="317">
        <f t="shared" si="208"/>
        <v>0</v>
      </c>
      <c r="AL241" s="317">
        <f t="shared" si="209"/>
        <v>0</v>
      </c>
      <c r="AM241" s="317">
        <f t="shared" si="210"/>
        <v>0</v>
      </c>
      <c r="AN241" s="317">
        <f t="shared" si="211"/>
        <v>0</v>
      </c>
      <c r="AO241" s="317">
        <f t="shared" si="212"/>
        <v>0</v>
      </c>
      <c r="AP241" s="317">
        <f t="shared" si="213"/>
        <v>0</v>
      </c>
      <c r="AQ241" s="317">
        <f t="shared" si="214"/>
        <v>0</v>
      </c>
      <c r="AR241" s="317">
        <f t="shared" si="187"/>
        <v>0</v>
      </c>
      <c r="AS241" s="317">
        <f t="shared" si="188"/>
        <v>0</v>
      </c>
      <c r="AT241" s="317">
        <f t="shared" si="215"/>
        <v>0</v>
      </c>
      <c r="AU241" s="317">
        <f t="shared" si="216"/>
        <v>0</v>
      </c>
      <c r="AV241" s="317">
        <f t="shared" si="217"/>
        <v>0</v>
      </c>
      <c r="AW241" s="317">
        <f t="shared" si="218"/>
        <v>0</v>
      </c>
      <c r="AX241" s="317">
        <f t="shared" si="189"/>
        <v>0</v>
      </c>
      <c r="AY241" s="317">
        <f t="shared" si="190"/>
        <v>0</v>
      </c>
      <c r="AZ241" s="317">
        <f t="shared" si="191"/>
        <v>0</v>
      </c>
      <c r="BA241" s="317">
        <f t="shared" si="192"/>
        <v>0</v>
      </c>
    </row>
    <row r="242" spans="1:53" s="314" customFormat="1" ht="16.5" customHeight="1">
      <c r="A242" s="63" t="str">
        <f t="array" ref="A242">IF(C242&lt;&gt;0,SUM(($C$11:C242&lt;&gt;0)*1),"")</f>
        <v/>
      </c>
      <c r="B242" s="315"/>
      <c r="C242" s="315"/>
      <c r="D242" s="315"/>
      <c r="E242" s="433"/>
      <c r="F242" s="371"/>
      <c r="G242" s="373"/>
      <c r="H242" s="373"/>
      <c r="I242" s="63" t="str">
        <f t="shared" si="219"/>
        <v/>
      </c>
      <c r="J242" s="317">
        <f t="shared" si="181"/>
        <v>0</v>
      </c>
      <c r="K242" s="317">
        <f t="shared" si="182"/>
        <v>0</v>
      </c>
      <c r="L242" s="317">
        <f t="shared" si="193"/>
        <v>0</v>
      </c>
      <c r="M242" s="317">
        <f t="shared" si="194"/>
        <v>0</v>
      </c>
      <c r="N242" s="317">
        <f t="shared" si="174"/>
        <v>0</v>
      </c>
      <c r="O242" s="317">
        <f t="shared" si="175"/>
        <v>0</v>
      </c>
      <c r="P242" s="317">
        <f t="shared" si="195"/>
        <v>0</v>
      </c>
      <c r="Q242" s="317">
        <f t="shared" si="196"/>
        <v>0</v>
      </c>
      <c r="R242" s="317">
        <f t="shared" si="197"/>
        <v>0</v>
      </c>
      <c r="S242" s="317">
        <f t="shared" si="198"/>
        <v>0</v>
      </c>
      <c r="T242" s="317">
        <f t="shared" si="176"/>
        <v>0</v>
      </c>
      <c r="U242" s="317">
        <f t="shared" si="177"/>
        <v>0</v>
      </c>
      <c r="V242" s="317">
        <f t="shared" si="199"/>
        <v>0</v>
      </c>
      <c r="W242" s="317">
        <f t="shared" si="200"/>
        <v>0</v>
      </c>
      <c r="X242" s="317">
        <f t="shared" si="201"/>
        <v>0</v>
      </c>
      <c r="Y242" s="317">
        <f t="shared" si="202"/>
        <v>0</v>
      </c>
      <c r="Z242" s="317">
        <f t="shared" si="183"/>
        <v>0</v>
      </c>
      <c r="AA242" s="317">
        <f t="shared" si="184"/>
        <v>0</v>
      </c>
      <c r="AB242" s="317">
        <f t="shared" si="203"/>
        <v>0</v>
      </c>
      <c r="AC242" s="317">
        <f t="shared" si="204"/>
        <v>0</v>
      </c>
      <c r="AD242" s="317">
        <f t="shared" si="185"/>
        <v>0</v>
      </c>
      <c r="AE242" s="317">
        <f t="shared" si="186"/>
        <v>0</v>
      </c>
      <c r="AF242" s="317">
        <f t="shared" si="178"/>
        <v>0</v>
      </c>
      <c r="AG242" s="317">
        <f t="shared" si="179"/>
        <v>0</v>
      </c>
      <c r="AH242" s="317">
        <f t="shared" si="205"/>
        <v>0</v>
      </c>
      <c r="AI242" s="317">
        <f t="shared" si="206"/>
        <v>0</v>
      </c>
      <c r="AJ242" s="317">
        <f t="shared" si="207"/>
        <v>0</v>
      </c>
      <c r="AK242" s="317">
        <f t="shared" si="208"/>
        <v>0</v>
      </c>
      <c r="AL242" s="317">
        <f t="shared" si="209"/>
        <v>0</v>
      </c>
      <c r="AM242" s="317">
        <f t="shared" si="210"/>
        <v>0</v>
      </c>
      <c r="AN242" s="317">
        <f t="shared" si="211"/>
        <v>0</v>
      </c>
      <c r="AO242" s="317">
        <f t="shared" si="212"/>
        <v>0</v>
      </c>
      <c r="AP242" s="317">
        <f t="shared" si="213"/>
        <v>0</v>
      </c>
      <c r="AQ242" s="317">
        <f t="shared" si="214"/>
        <v>0</v>
      </c>
      <c r="AR242" s="317">
        <f t="shared" si="187"/>
        <v>0</v>
      </c>
      <c r="AS242" s="317">
        <f t="shared" si="188"/>
        <v>0</v>
      </c>
      <c r="AT242" s="317">
        <f t="shared" si="215"/>
        <v>0</v>
      </c>
      <c r="AU242" s="317">
        <f t="shared" si="216"/>
        <v>0</v>
      </c>
      <c r="AV242" s="317">
        <f t="shared" si="217"/>
        <v>0</v>
      </c>
      <c r="AW242" s="317">
        <f t="shared" si="218"/>
        <v>0</v>
      </c>
      <c r="AX242" s="317">
        <f t="shared" si="189"/>
        <v>0</v>
      </c>
      <c r="AY242" s="317">
        <f t="shared" si="190"/>
        <v>0</v>
      </c>
      <c r="AZ242" s="317">
        <f t="shared" si="191"/>
        <v>0</v>
      </c>
      <c r="BA242" s="317">
        <f t="shared" si="192"/>
        <v>0</v>
      </c>
    </row>
    <row r="243" spans="1:53" s="314" customFormat="1" ht="16.5" customHeight="1">
      <c r="A243" s="63" t="str">
        <f t="array" ref="A243">IF(C243&lt;&gt;0,SUM(($C$11:C243&lt;&gt;0)*1),"")</f>
        <v/>
      </c>
      <c r="B243" s="315"/>
      <c r="C243" s="315"/>
      <c r="D243" s="315"/>
      <c r="E243" s="433"/>
      <c r="F243" s="371"/>
      <c r="G243" s="373"/>
      <c r="H243" s="373"/>
      <c r="I243" s="63" t="str">
        <f t="shared" si="219"/>
        <v/>
      </c>
      <c r="J243" s="317">
        <f t="shared" si="181"/>
        <v>0</v>
      </c>
      <c r="K243" s="317">
        <f t="shared" si="182"/>
        <v>0</v>
      </c>
      <c r="L243" s="317">
        <f t="shared" si="193"/>
        <v>0</v>
      </c>
      <c r="M243" s="317">
        <f t="shared" si="194"/>
        <v>0</v>
      </c>
      <c r="N243" s="317">
        <f t="shared" si="174"/>
        <v>0</v>
      </c>
      <c r="O243" s="317">
        <f t="shared" si="175"/>
        <v>0</v>
      </c>
      <c r="P243" s="317">
        <f t="shared" si="195"/>
        <v>0</v>
      </c>
      <c r="Q243" s="317">
        <f t="shared" si="196"/>
        <v>0</v>
      </c>
      <c r="R243" s="317">
        <f t="shared" si="197"/>
        <v>0</v>
      </c>
      <c r="S243" s="317">
        <f t="shared" si="198"/>
        <v>0</v>
      </c>
      <c r="T243" s="317">
        <f t="shared" si="176"/>
        <v>0</v>
      </c>
      <c r="U243" s="317">
        <f t="shared" si="177"/>
        <v>0</v>
      </c>
      <c r="V243" s="317">
        <f t="shared" si="199"/>
        <v>0</v>
      </c>
      <c r="W243" s="317">
        <f t="shared" si="200"/>
        <v>0</v>
      </c>
      <c r="X243" s="317">
        <f t="shared" si="201"/>
        <v>0</v>
      </c>
      <c r="Y243" s="317">
        <f t="shared" si="202"/>
        <v>0</v>
      </c>
      <c r="Z243" s="317">
        <f t="shared" si="183"/>
        <v>0</v>
      </c>
      <c r="AA243" s="317">
        <f t="shared" si="184"/>
        <v>0</v>
      </c>
      <c r="AB243" s="317">
        <f t="shared" si="203"/>
        <v>0</v>
      </c>
      <c r="AC243" s="317">
        <f t="shared" si="204"/>
        <v>0</v>
      </c>
      <c r="AD243" s="317">
        <f t="shared" si="185"/>
        <v>0</v>
      </c>
      <c r="AE243" s="317">
        <f t="shared" si="186"/>
        <v>0</v>
      </c>
      <c r="AF243" s="317">
        <f t="shared" si="178"/>
        <v>0</v>
      </c>
      <c r="AG243" s="317">
        <f t="shared" si="179"/>
        <v>0</v>
      </c>
      <c r="AH243" s="317">
        <f t="shared" si="205"/>
        <v>0</v>
      </c>
      <c r="AI243" s="317">
        <f t="shared" si="206"/>
        <v>0</v>
      </c>
      <c r="AJ243" s="317">
        <f t="shared" si="207"/>
        <v>0</v>
      </c>
      <c r="AK243" s="317">
        <f t="shared" si="208"/>
        <v>0</v>
      </c>
      <c r="AL243" s="317">
        <f t="shared" si="209"/>
        <v>0</v>
      </c>
      <c r="AM243" s="317">
        <f t="shared" si="210"/>
        <v>0</v>
      </c>
      <c r="AN243" s="317">
        <f t="shared" si="211"/>
        <v>0</v>
      </c>
      <c r="AO243" s="317">
        <f t="shared" si="212"/>
        <v>0</v>
      </c>
      <c r="AP243" s="317">
        <f t="shared" si="213"/>
        <v>0</v>
      </c>
      <c r="AQ243" s="317">
        <f t="shared" si="214"/>
        <v>0</v>
      </c>
      <c r="AR243" s="317">
        <f t="shared" si="187"/>
        <v>0</v>
      </c>
      <c r="AS243" s="317">
        <f t="shared" si="188"/>
        <v>0</v>
      </c>
      <c r="AT243" s="317">
        <f t="shared" si="215"/>
        <v>0</v>
      </c>
      <c r="AU243" s="317">
        <f t="shared" si="216"/>
        <v>0</v>
      </c>
      <c r="AV243" s="317">
        <f t="shared" si="217"/>
        <v>0</v>
      </c>
      <c r="AW243" s="317">
        <f t="shared" si="218"/>
        <v>0</v>
      </c>
      <c r="AX243" s="317">
        <f t="shared" si="189"/>
        <v>0</v>
      </c>
      <c r="AY243" s="317">
        <f t="shared" si="190"/>
        <v>0</v>
      </c>
      <c r="AZ243" s="317">
        <f t="shared" si="191"/>
        <v>0</v>
      </c>
      <c r="BA243" s="317">
        <f t="shared" si="192"/>
        <v>0</v>
      </c>
    </row>
    <row r="244" spans="1:53" s="314" customFormat="1" ht="16.5" customHeight="1">
      <c r="A244" s="63" t="str">
        <f t="array" ref="A244">IF(C244&lt;&gt;0,SUM(($C$11:C244&lt;&gt;0)*1),"")</f>
        <v/>
      </c>
      <c r="B244" s="315"/>
      <c r="C244" s="315"/>
      <c r="D244" s="315"/>
      <c r="E244" s="433"/>
      <c r="F244" s="371"/>
      <c r="G244" s="373"/>
      <c r="H244" s="373"/>
      <c r="I244" s="63" t="str">
        <f t="shared" si="219"/>
        <v/>
      </c>
      <c r="J244" s="317">
        <f t="shared" si="181"/>
        <v>0</v>
      </c>
      <c r="K244" s="317">
        <f t="shared" si="182"/>
        <v>0</v>
      </c>
      <c r="L244" s="317">
        <f t="shared" si="193"/>
        <v>0</v>
      </c>
      <c r="M244" s="317">
        <f t="shared" si="194"/>
        <v>0</v>
      </c>
      <c r="N244" s="317">
        <f t="shared" si="174"/>
        <v>0</v>
      </c>
      <c r="O244" s="317">
        <f t="shared" si="175"/>
        <v>0</v>
      </c>
      <c r="P244" s="317">
        <f t="shared" si="195"/>
        <v>0</v>
      </c>
      <c r="Q244" s="317">
        <f t="shared" si="196"/>
        <v>0</v>
      </c>
      <c r="R244" s="317">
        <f t="shared" si="197"/>
        <v>0</v>
      </c>
      <c r="S244" s="317">
        <f t="shared" si="198"/>
        <v>0</v>
      </c>
      <c r="T244" s="317">
        <f t="shared" si="176"/>
        <v>0</v>
      </c>
      <c r="U244" s="317">
        <f t="shared" si="177"/>
        <v>0</v>
      </c>
      <c r="V244" s="317">
        <f t="shared" si="199"/>
        <v>0</v>
      </c>
      <c r="W244" s="317">
        <f t="shared" si="200"/>
        <v>0</v>
      </c>
      <c r="X244" s="317">
        <f t="shared" si="201"/>
        <v>0</v>
      </c>
      <c r="Y244" s="317">
        <f t="shared" si="202"/>
        <v>0</v>
      </c>
      <c r="Z244" s="317">
        <f t="shared" si="183"/>
        <v>0</v>
      </c>
      <c r="AA244" s="317">
        <f t="shared" si="184"/>
        <v>0</v>
      </c>
      <c r="AB244" s="317">
        <f t="shared" si="203"/>
        <v>0</v>
      </c>
      <c r="AC244" s="317">
        <f t="shared" si="204"/>
        <v>0</v>
      </c>
      <c r="AD244" s="317">
        <f t="shared" si="185"/>
        <v>0</v>
      </c>
      <c r="AE244" s="317">
        <f t="shared" si="186"/>
        <v>0</v>
      </c>
      <c r="AF244" s="317">
        <f t="shared" si="178"/>
        <v>0</v>
      </c>
      <c r="AG244" s="317">
        <f t="shared" si="179"/>
        <v>0</v>
      </c>
      <c r="AH244" s="317">
        <f t="shared" si="205"/>
        <v>0</v>
      </c>
      <c r="AI244" s="317">
        <f t="shared" si="206"/>
        <v>0</v>
      </c>
      <c r="AJ244" s="317">
        <f t="shared" si="207"/>
        <v>0</v>
      </c>
      <c r="AK244" s="317">
        <f t="shared" si="208"/>
        <v>0</v>
      </c>
      <c r="AL244" s="317">
        <f t="shared" si="209"/>
        <v>0</v>
      </c>
      <c r="AM244" s="317">
        <f t="shared" si="210"/>
        <v>0</v>
      </c>
      <c r="AN244" s="317">
        <f t="shared" si="211"/>
        <v>0</v>
      </c>
      <c r="AO244" s="317">
        <f t="shared" si="212"/>
        <v>0</v>
      </c>
      <c r="AP244" s="317">
        <f t="shared" si="213"/>
        <v>0</v>
      </c>
      <c r="AQ244" s="317">
        <f t="shared" si="214"/>
        <v>0</v>
      </c>
      <c r="AR244" s="317">
        <f t="shared" si="187"/>
        <v>0</v>
      </c>
      <c r="AS244" s="317">
        <f t="shared" si="188"/>
        <v>0</v>
      </c>
      <c r="AT244" s="317">
        <f t="shared" si="215"/>
        <v>0</v>
      </c>
      <c r="AU244" s="317">
        <f t="shared" si="216"/>
        <v>0</v>
      </c>
      <c r="AV244" s="317">
        <f t="shared" si="217"/>
        <v>0</v>
      </c>
      <c r="AW244" s="317">
        <f t="shared" si="218"/>
        <v>0</v>
      </c>
      <c r="AX244" s="317">
        <f t="shared" si="189"/>
        <v>0</v>
      </c>
      <c r="AY244" s="317">
        <f t="shared" si="190"/>
        <v>0</v>
      </c>
      <c r="AZ244" s="317">
        <f t="shared" si="191"/>
        <v>0</v>
      </c>
      <c r="BA244" s="317">
        <f t="shared" si="192"/>
        <v>0</v>
      </c>
    </row>
    <row r="245" spans="1:53" s="314" customFormat="1" ht="16.5" customHeight="1">
      <c r="A245" s="63" t="str">
        <f t="array" ref="A245">IF(C245&lt;&gt;0,SUM(($C$11:C245&lt;&gt;0)*1),"")</f>
        <v/>
      </c>
      <c r="B245" s="315"/>
      <c r="C245" s="315"/>
      <c r="D245" s="315"/>
      <c r="E245" s="433"/>
      <c r="F245" s="371"/>
      <c r="G245" s="373"/>
      <c r="H245" s="373"/>
      <c r="I245" s="63" t="str">
        <f t="shared" si="219"/>
        <v/>
      </c>
      <c r="J245" s="317">
        <f t="shared" si="181"/>
        <v>0</v>
      </c>
      <c r="K245" s="317">
        <f t="shared" si="182"/>
        <v>0</v>
      </c>
      <c r="L245" s="317">
        <f t="shared" si="193"/>
        <v>0</v>
      </c>
      <c r="M245" s="317">
        <f t="shared" si="194"/>
        <v>0</v>
      </c>
      <c r="N245" s="317">
        <f t="shared" si="174"/>
        <v>0</v>
      </c>
      <c r="O245" s="317">
        <f t="shared" si="175"/>
        <v>0</v>
      </c>
      <c r="P245" s="317">
        <f t="shared" si="195"/>
        <v>0</v>
      </c>
      <c r="Q245" s="317">
        <f t="shared" si="196"/>
        <v>0</v>
      </c>
      <c r="R245" s="317">
        <f t="shared" si="197"/>
        <v>0</v>
      </c>
      <c r="S245" s="317">
        <f t="shared" si="198"/>
        <v>0</v>
      </c>
      <c r="T245" s="317">
        <f t="shared" si="176"/>
        <v>0</v>
      </c>
      <c r="U245" s="317">
        <f t="shared" si="177"/>
        <v>0</v>
      </c>
      <c r="V245" s="317">
        <f t="shared" si="199"/>
        <v>0</v>
      </c>
      <c r="W245" s="317">
        <f t="shared" si="200"/>
        <v>0</v>
      </c>
      <c r="X245" s="317">
        <f t="shared" si="201"/>
        <v>0</v>
      </c>
      <c r="Y245" s="317">
        <f t="shared" si="202"/>
        <v>0</v>
      </c>
      <c r="Z245" s="317">
        <f t="shared" si="183"/>
        <v>0</v>
      </c>
      <c r="AA245" s="317">
        <f t="shared" si="184"/>
        <v>0</v>
      </c>
      <c r="AB245" s="317">
        <f t="shared" si="203"/>
        <v>0</v>
      </c>
      <c r="AC245" s="317">
        <f t="shared" si="204"/>
        <v>0</v>
      </c>
      <c r="AD245" s="317">
        <f t="shared" si="185"/>
        <v>0</v>
      </c>
      <c r="AE245" s="317">
        <f t="shared" si="186"/>
        <v>0</v>
      </c>
      <c r="AF245" s="317">
        <f t="shared" si="178"/>
        <v>0</v>
      </c>
      <c r="AG245" s="317">
        <f t="shared" si="179"/>
        <v>0</v>
      </c>
      <c r="AH245" s="317">
        <f t="shared" si="205"/>
        <v>0</v>
      </c>
      <c r="AI245" s="317">
        <f t="shared" si="206"/>
        <v>0</v>
      </c>
      <c r="AJ245" s="317">
        <f t="shared" si="207"/>
        <v>0</v>
      </c>
      <c r="AK245" s="317">
        <f t="shared" si="208"/>
        <v>0</v>
      </c>
      <c r="AL245" s="317">
        <f t="shared" si="209"/>
        <v>0</v>
      </c>
      <c r="AM245" s="317">
        <f t="shared" si="210"/>
        <v>0</v>
      </c>
      <c r="AN245" s="317">
        <f t="shared" si="211"/>
        <v>0</v>
      </c>
      <c r="AO245" s="317">
        <f t="shared" si="212"/>
        <v>0</v>
      </c>
      <c r="AP245" s="317">
        <f t="shared" si="213"/>
        <v>0</v>
      </c>
      <c r="AQ245" s="317">
        <f t="shared" si="214"/>
        <v>0</v>
      </c>
      <c r="AR245" s="317">
        <f t="shared" si="187"/>
        <v>0</v>
      </c>
      <c r="AS245" s="317">
        <f t="shared" si="188"/>
        <v>0</v>
      </c>
      <c r="AT245" s="317">
        <f t="shared" si="215"/>
        <v>0</v>
      </c>
      <c r="AU245" s="317">
        <f t="shared" si="216"/>
        <v>0</v>
      </c>
      <c r="AV245" s="317">
        <f t="shared" si="217"/>
        <v>0</v>
      </c>
      <c r="AW245" s="317">
        <f t="shared" si="218"/>
        <v>0</v>
      </c>
      <c r="AX245" s="317">
        <f t="shared" si="189"/>
        <v>0</v>
      </c>
      <c r="AY245" s="317">
        <f t="shared" si="190"/>
        <v>0</v>
      </c>
      <c r="AZ245" s="317">
        <f t="shared" si="191"/>
        <v>0</v>
      </c>
      <c r="BA245" s="317">
        <f t="shared" si="192"/>
        <v>0</v>
      </c>
    </row>
    <row r="246" spans="1:53" s="314" customFormat="1" ht="16.5" customHeight="1">
      <c r="A246" s="63" t="str">
        <f t="array" ref="A246">IF(C246&lt;&gt;0,SUM(($C$11:C246&lt;&gt;0)*1),"")</f>
        <v/>
      </c>
      <c r="B246" s="315"/>
      <c r="C246" s="315"/>
      <c r="D246" s="315"/>
      <c r="E246" s="433"/>
      <c r="F246" s="371"/>
      <c r="G246" s="373"/>
      <c r="H246" s="373"/>
      <c r="I246" s="63" t="str">
        <f t="shared" si="219"/>
        <v/>
      </c>
      <c r="J246" s="317">
        <f t="shared" si="181"/>
        <v>0</v>
      </c>
      <c r="K246" s="317">
        <f t="shared" si="182"/>
        <v>0</v>
      </c>
      <c r="L246" s="317">
        <f t="shared" si="193"/>
        <v>0</v>
      </c>
      <c r="M246" s="317">
        <f t="shared" si="194"/>
        <v>0</v>
      </c>
      <c r="N246" s="317">
        <f t="shared" si="174"/>
        <v>0</v>
      </c>
      <c r="O246" s="317">
        <f t="shared" si="175"/>
        <v>0</v>
      </c>
      <c r="P246" s="317">
        <f t="shared" si="195"/>
        <v>0</v>
      </c>
      <c r="Q246" s="317">
        <f t="shared" si="196"/>
        <v>0</v>
      </c>
      <c r="R246" s="317">
        <f t="shared" si="197"/>
        <v>0</v>
      </c>
      <c r="S246" s="317">
        <f t="shared" si="198"/>
        <v>0</v>
      </c>
      <c r="T246" s="317">
        <f t="shared" si="176"/>
        <v>0</v>
      </c>
      <c r="U246" s="317">
        <f t="shared" si="177"/>
        <v>0</v>
      </c>
      <c r="V246" s="317">
        <f t="shared" si="199"/>
        <v>0</v>
      </c>
      <c r="W246" s="317">
        <f t="shared" si="200"/>
        <v>0</v>
      </c>
      <c r="X246" s="317">
        <f t="shared" si="201"/>
        <v>0</v>
      </c>
      <c r="Y246" s="317">
        <f t="shared" si="202"/>
        <v>0</v>
      </c>
      <c r="Z246" s="317">
        <f t="shared" si="183"/>
        <v>0</v>
      </c>
      <c r="AA246" s="317">
        <f t="shared" si="184"/>
        <v>0</v>
      </c>
      <c r="AB246" s="317">
        <f t="shared" si="203"/>
        <v>0</v>
      </c>
      <c r="AC246" s="317">
        <f t="shared" si="204"/>
        <v>0</v>
      </c>
      <c r="AD246" s="317">
        <f t="shared" si="185"/>
        <v>0</v>
      </c>
      <c r="AE246" s="317">
        <f t="shared" si="186"/>
        <v>0</v>
      </c>
      <c r="AF246" s="317">
        <f t="shared" si="178"/>
        <v>0</v>
      </c>
      <c r="AG246" s="317">
        <f t="shared" si="179"/>
        <v>0</v>
      </c>
      <c r="AH246" s="317">
        <f t="shared" si="205"/>
        <v>0</v>
      </c>
      <c r="AI246" s="317">
        <f t="shared" si="206"/>
        <v>0</v>
      </c>
      <c r="AJ246" s="317">
        <f t="shared" si="207"/>
        <v>0</v>
      </c>
      <c r="AK246" s="317">
        <f t="shared" si="208"/>
        <v>0</v>
      </c>
      <c r="AL246" s="317">
        <f t="shared" si="209"/>
        <v>0</v>
      </c>
      <c r="AM246" s="317">
        <f t="shared" si="210"/>
        <v>0</v>
      </c>
      <c r="AN246" s="317">
        <f t="shared" si="211"/>
        <v>0</v>
      </c>
      <c r="AO246" s="317">
        <f t="shared" si="212"/>
        <v>0</v>
      </c>
      <c r="AP246" s="317">
        <f t="shared" si="213"/>
        <v>0</v>
      </c>
      <c r="AQ246" s="317">
        <f t="shared" si="214"/>
        <v>0</v>
      </c>
      <c r="AR246" s="317">
        <f t="shared" si="187"/>
        <v>0</v>
      </c>
      <c r="AS246" s="317">
        <f t="shared" si="188"/>
        <v>0</v>
      </c>
      <c r="AT246" s="317">
        <f t="shared" si="215"/>
        <v>0</v>
      </c>
      <c r="AU246" s="317">
        <f t="shared" si="216"/>
        <v>0</v>
      </c>
      <c r="AV246" s="317">
        <f t="shared" si="217"/>
        <v>0</v>
      </c>
      <c r="AW246" s="317">
        <f t="shared" si="218"/>
        <v>0</v>
      </c>
      <c r="AX246" s="317">
        <f t="shared" si="189"/>
        <v>0</v>
      </c>
      <c r="AY246" s="317">
        <f t="shared" si="190"/>
        <v>0</v>
      </c>
      <c r="AZ246" s="317">
        <f t="shared" si="191"/>
        <v>0</v>
      </c>
      <c r="BA246" s="317">
        <f t="shared" si="192"/>
        <v>0</v>
      </c>
    </row>
    <row r="247" spans="1:53" s="314" customFormat="1" ht="16.5" customHeight="1">
      <c r="A247" s="63" t="str">
        <f t="array" ref="A247">IF(C247&lt;&gt;0,SUM(($C$11:C247&lt;&gt;0)*1),"")</f>
        <v/>
      </c>
      <c r="B247" s="315"/>
      <c r="C247" s="315"/>
      <c r="D247" s="315"/>
      <c r="E247" s="433"/>
      <c r="F247" s="371"/>
      <c r="G247" s="373"/>
      <c r="H247" s="373"/>
      <c r="I247" s="63" t="str">
        <f t="shared" si="219"/>
        <v/>
      </c>
      <c r="J247" s="317">
        <f t="shared" si="181"/>
        <v>0</v>
      </c>
      <c r="K247" s="317">
        <f t="shared" si="182"/>
        <v>0</v>
      </c>
      <c r="L247" s="317">
        <f t="shared" si="193"/>
        <v>0</v>
      </c>
      <c r="M247" s="317">
        <f t="shared" si="194"/>
        <v>0</v>
      </c>
      <c r="N247" s="317">
        <f t="shared" si="174"/>
        <v>0</v>
      </c>
      <c r="O247" s="317">
        <f t="shared" si="175"/>
        <v>0</v>
      </c>
      <c r="P247" s="317">
        <f t="shared" si="195"/>
        <v>0</v>
      </c>
      <c r="Q247" s="317">
        <f t="shared" si="196"/>
        <v>0</v>
      </c>
      <c r="R247" s="317">
        <f t="shared" si="197"/>
        <v>0</v>
      </c>
      <c r="S247" s="317">
        <f t="shared" si="198"/>
        <v>0</v>
      </c>
      <c r="T247" s="317">
        <f t="shared" si="176"/>
        <v>0</v>
      </c>
      <c r="U247" s="317">
        <f t="shared" si="177"/>
        <v>0</v>
      </c>
      <c r="V247" s="317">
        <f t="shared" si="199"/>
        <v>0</v>
      </c>
      <c r="W247" s="317">
        <f t="shared" si="200"/>
        <v>0</v>
      </c>
      <c r="X247" s="317">
        <f t="shared" si="201"/>
        <v>0</v>
      </c>
      <c r="Y247" s="317">
        <f t="shared" si="202"/>
        <v>0</v>
      </c>
      <c r="Z247" s="317">
        <f t="shared" si="183"/>
        <v>0</v>
      </c>
      <c r="AA247" s="317">
        <f t="shared" si="184"/>
        <v>0</v>
      </c>
      <c r="AB247" s="317">
        <f t="shared" si="203"/>
        <v>0</v>
      </c>
      <c r="AC247" s="317">
        <f t="shared" si="204"/>
        <v>0</v>
      </c>
      <c r="AD247" s="317">
        <f t="shared" si="185"/>
        <v>0</v>
      </c>
      <c r="AE247" s="317">
        <f t="shared" si="186"/>
        <v>0</v>
      </c>
      <c r="AF247" s="317">
        <f t="shared" si="178"/>
        <v>0</v>
      </c>
      <c r="AG247" s="317">
        <f t="shared" si="179"/>
        <v>0</v>
      </c>
      <c r="AH247" s="317">
        <f t="shared" si="205"/>
        <v>0</v>
      </c>
      <c r="AI247" s="317">
        <f t="shared" si="206"/>
        <v>0</v>
      </c>
      <c r="AJ247" s="317">
        <f t="shared" si="207"/>
        <v>0</v>
      </c>
      <c r="AK247" s="317">
        <f t="shared" si="208"/>
        <v>0</v>
      </c>
      <c r="AL247" s="317">
        <f t="shared" si="209"/>
        <v>0</v>
      </c>
      <c r="AM247" s="317">
        <f t="shared" si="210"/>
        <v>0</v>
      </c>
      <c r="AN247" s="317">
        <f t="shared" si="211"/>
        <v>0</v>
      </c>
      <c r="AO247" s="317">
        <f t="shared" si="212"/>
        <v>0</v>
      </c>
      <c r="AP247" s="317">
        <f t="shared" si="213"/>
        <v>0</v>
      </c>
      <c r="AQ247" s="317">
        <f t="shared" si="214"/>
        <v>0</v>
      </c>
      <c r="AR247" s="317">
        <f t="shared" si="187"/>
        <v>0</v>
      </c>
      <c r="AS247" s="317">
        <f t="shared" si="188"/>
        <v>0</v>
      </c>
      <c r="AT247" s="317">
        <f t="shared" si="215"/>
        <v>0</v>
      </c>
      <c r="AU247" s="317">
        <f t="shared" si="216"/>
        <v>0</v>
      </c>
      <c r="AV247" s="317">
        <f t="shared" si="217"/>
        <v>0</v>
      </c>
      <c r="AW247" s="317">
        <f t="shared" si="218"/>
        <v>0</v>
      </c>
      <c r="AX247" s="317">
        <f t="shared" si="189"/>
        <v>0</v>
      </c>
      <c r="AY247" s="317">
        <f t="shared" si="190"/>
        <v>0</v>
      </c>
      <c r="AZ247" s="317">
        <f t="shared" si="191"/>
        <v>0</v>
      </c>
      <c r="BA247" s="317">
        <f t="shared" si="192"/>
        <v>0</v>
      </c>
    </row>
    <row r="248" spans="1:53" s="314" customFormat="1" ht="16.5" customHeight="1">
      <c r="A248" s="63" t="str">
        <f t="array" ref="A248">IF(C248&lt;&gt;0,SUM(($C$11:C248&lt;&gt;0)*1),"")</f>
        <v/>
      </c>
      <c r="B248" s="315"/>
      <c r="C248" s="315"/>
      <c r="D248" s="315"/>
      <c r="E248" s="433"/>
      <c r="F248" s="371"/>
      <c r="G248" s="373"/>
      <c r="H248" s="373"/>
      <c r="I248" s="63" t="str">
        <f t="shared" si="219"/>
        <v/>
      </c>
      <c r="J248" s="317">
        <f t="shared" si="181"/>
        <v>0</v>
      </c>
      <c r="K248" s="317">
        <f t="shared" si="182"/>
        <v>0</v>
      </c>
      <c r="L248" s="317">
        <f t="shared" si="193"/>
        <v>0</v>
      </c>
      <c r="M248" s="317">
        <f t="shared" si="194"/>
        <v>0</v>
      </c>
      <c r="N248" s="317">
        <f t="shared" si="174"/>
        <v>0</v>
      </c>
      <c r="O248" s="317">
        <f t="shared" si="175"/>
        <v>0</v>
      </c>
      <c r="P248" s="317">
        <f t="shared" si="195"/>
        <v>0</v>
      </c>
      <c r="Q248" s="317">
        <f t="shared" si="196"/>
        <v>0</v>
      </c>
      <c r="R248" s="317">
        <f t="shared" si="197"/>
        <v>0</v>
      </c>
      <c r="S248" s="317">
        <f t="shared" si="198"/>
        <v>0</v>
      </c>
      <c r="T248" s="317">
        <f t="shared" si="176"/>
        <v>0</v>
      </c>
      <c r="U248" s="317">
        <f t="shared" si="177"/>
        <v>0</v>
      </c>
      <c r="V248" s="317">
        <f t="shared" si="199"/>
        <v>0</v>
      </c>
      <c r="W248" s="317">
        <f t="shared" si="200"/>
        <v>0</v>
      </c>
      <c r="X248" s="317">
        <f t="shared" si="201"/>
        <v>0</v>
      </c>
      <c r="Y248" s="317">
        <f t="shared" si="202"/>
        <v>0</v>
      </c>
      <c r="Z248" s="317">
        <f t="shared" si="183"/>
        <v>0</v>
      </c>
      <c r="AA248" s="317">
        <f t="shared" si="184"/>
        <v>0</v>
      </c>
      <c r="AB248" s="317">
        <f t="shared" si="203"/>
        <v>0</v>
      </c>
      <c r="AC248" s="317">
        <f t="shared" si="204"/>
        <v>0</v>
      </c>
      <c r="AD248" s="317">
        <f t="shared" si="185"/>
        <v>0</v>
      </c>
      <c r="AE248" s="317">
        <f t="shared" si="186"/>
        <v>0</v>
      </c>
      <c r="AF248" s="317">
        <f t="shared" si="178"/>
        <v>0</v>
      </c>
      <c r="AG248" s="317">
        <f t="shared" si="179"/>
        <v>0</v>
      </c>
      <c r="AH248" s="317">
        <f t="shared" si="205"/>
        <v>0</v>
      </c>
      <c r="AI248" s="317">
        <f t="shared" si="206"/>
        <v>0</v>
      </c>
      <c r="AJ248" s="317">
        <f t="shared" si="207"/>
        <v>0</v>
      </c>
      <c r="AK248" s="317">
        <f t="shared" si="208"/>
        <v>0</v>
      </c>
      <c r="AL248" s="317">
        <f t="shared" si="209"/>
        <v>0</v>
      </c>
      <c r="AM248" s="317">
        <f t="shared" si="210"/>
        <v>0</v>
      </c>
      <c r="AN248" s="317">
        <f t="shared" si="211"/>
        <v>0</v>
      </c>
      <c r="AO248" s="317">
        <f t="shared" si="212"/>
        <v>0</v>
      </c>
      <c r="AP248" s="317">
        <f t="shared" si="213"/>
        <v>0</v>
      </c>
      <c r="AQ248" s="317">
        <f t="shared" si="214"/>
        <v>0</v>
      </c>
      <c r="AR248" s="317">
        <f t="shared" si="187"/>
        <v>0</v>
      </c>
      <c r="AS248" s="317">
        <f t="shared" si="188"/>
        <v>0</v>
      </c>
      <c r="AT248" s="317">
        <f t="shared" si="215"/>
        <v>0</v>
      </c>
      <c r="AU248" s="317">
        <f t="shared" si="216"/>
        <v>0</v>
      </c>
      <c r="AV248" s="317">
        <f t="shared" si="217"/>
        <v>0</v>
      </c>
      <c r="AW248" s="317">
        <f t="shared" si="218"/>
        <v>0</v>
      </c>
      <c r="AX248" s="317">
        <f t="shared" si="189"/>
        <v>0</v>
      </c>
      <c r="AY248" s="317">
        <f t="shared" si="190"/>
        <v>0</v>
      </c>
      <c r="AZ248" s="317">
        <f t="shared" si="191"/>
        <v>0</v>
      </c>
      <c r="BA248" s="317">
        <f t="shared" si="192"/>
        <v>0</v>
      </c>
    </row>
    <row r="249" spans="1:53" s="314" customFormat="1" ht="16.5" customHeight="1">
      <c r="A249" s="63" t="str">
        <f t="array" ref="A249">IF(C249&lt;&gt;0,SUM(($C$11:C249&lt;&gt;0)*1),"")</f>
        <v/>
      </c>
      <c r="B249" s="315"/>
      <c r="C249" s="315"/>
      <c r="D249" s="315"/>
      <c r="E249" s="433"/>
      <c r="F249" s="371"/>
      <c r="G249" s="373"/>
      <c r="H249" s="373"/>
      <c r="I249" s="63" t="str">
        <f t="shared" si="219"/>
        <v/>
      </c>
      <c r="J249" s="317">
        <f t="shared" si="181"/>
        <v>0</v>
      </c>
      <c r="K249" s="317">
        <f t="shared" si="182"/>
        <v>0</v>
      </c>
      <c r="L249" s="317">
        <f t="shared" si="193"/>
        <v>0</v>
      </c>
      <c r="M249" s="317">
        <f t="shared" si="194"/>
        <v>0</v>
      </c>
      <c r="N249" s="317">
        <f t="shared" si="174"/>
        <v>0</v>
      </c>
      <c r="O249" s="317">
        <f t="shared" si="175"/>
        <v>0</v>
      </c>
      <c r="P249" s="317">
        <f t="shared" si="195"/>
        <v>0</v>
      </c>
      <c r="Q249" s="317">
        <f t="shared" si="196"/>
        <v>0</v>
      </c>
      <c r="R249" s="317">
        <f t="shared" si="197"/>
        <v>0</v>
      </c>
      <c r="S249" s="317">
        <f t="shared" si="198"/>
        <v>0</v>
      </c>
      <c r="T249" s="317">
        <f t="shared" si="176"/>
        <v>0</v>
      </c>
      <c r="U249" s="317">
        <f t="shared" si="177"/>
        <v>0</v>
      </c>
      <c r="V249" s="317">
        <f t="shared" si="199"/>
        <v>0</v>
      </c>
      <c r="W249" s="317">
        <f t="shared" si="200"/>
        <v>0</v>
      </c>
      <c r="X249" s="317">
        <f t="shared" si="201"/>
        <v>0</v>
      </c>
      <c r="Y249" s="317">
        <f t="shared" si="202"/>
        <v>0</v>
      </c>
      <c r="Z249" s="317">
        <f t="shared" si="183"/>
        <v>0</v>
      </c>
      <c r="AA249" s="317">
        <f t="shared" si="184"/>
        <v>0</v>
      </c>
      <c r="AB249" s="317">
        <f t="shared" si="203"/>
        <v>0</v>
      </c>
      <c r="AC249" s="317">
        <f t="shared" si="204"/>
        <v>0</v>
      </c>
      <c r="AD249" s="317">
        <f t="shared" si="185"/>
        <v>0</v>
      </c>
      <c r="AE249" s="317">
        <f t="shared" si="186"/>
        <v>0</v>
      </c>
      <c r="AF249" s="317">
        <f t="shared" si="178"/>
        <v>0</v>
      </c>
      <c r="AG249" s="317">
        <f t="shared" si="179"/>
        <v>0</v>
      </c>
      <c r="AH249" s="317">
        <f t="shared" si="205"/>
        <v>0</v>
      </c>
      <c r="AI249" s="317">
        <f t="shared" si="206"/>
        <v>0</v>
      </c>
      <c r="AJ249" s="317">
        <f t="shared" si="207"/>
        <v>0</v>
      </c>
      <c r="AK249" s="317">
        <f t="shared" si="208"/>
        <v>0</v>
      </c>
      <c r="AL249" s="317">
        <f t="shared" si="209"/>
        <v>0</v>
      </c>
      <c r="AM249" s="317">
        <f t="shared" si="210"/>
        <v>0</v>
      </c>
      <c r="AN249" s="317">
        <f t="shared" si="211"/>
        <v>0</v>
      </c>
      <c r="AO249" s="317">
        <f t="shared" si="212"/>
        <v>0</v>
      </c>
      <c r="AP249" s="317">
        <f t="shared" si="213"/>
        <v>0</v>
      </c>
      <c r="AQ249" s="317">
        <f t="shared" si="214"/>
        <v>0</v>
      </c>
      <c r="AR249" s="317">
        <f t="shared" si="187"/>
        <v>0</v>
      </c>
      <c r="AS249" s="317">
        <f t="shared" si="188"/>
        <v>0</v>
      </c>
      <c r="AT249" s="317">
        <f t="shared" si="215"/>
        <v>0</v>
      </c>
      <c r="AU249" s="317">
        <f t="shared" si="216"/>
        <v>0</v>
      </c>
      <c r="AV249" s="317">
        <f t="shared" si="217"/>
        <v>0</v>
      </c>
      <c r="AW249" s="317">
        <f t="shared" si="218"/>
        <v>0</v>
      </c>
      <c r="AX249" s="317">
        <f t="shared" si="189"/>
        <v>0</v>
      </c>
      <c r="AY249" s="317">
        <f t="shared" si="190"/>
        <v>0</v>
      </c>
      <c r="AZ249" s="317">
        <f t="shared" si="191"/>
        <v>0</v>
      </c>
      <c r="BA249" s="317">
        <f t="shared" si="192"/>
        <v>0</v>
      </c>
    </row>
    <row r="250" spans="1:53" s="314" customFormat="1" ht="16.5" customHeight="1">
      <c r="A250" s="63" t="str">
        <f t="array" ref="A250">IF(C250&lt;&gt;0,SUM(($C$11:C250&lt;&gt;0)*1),"")</f>
        <v/>
      </c>
      <c r="B250" s="315"/>
      <c r="C250" s="315"/>
      <c r="D250" s="315"/>
      <c r="E250" s="433"/>
      <c r="F250" s="371"/>
      <c r="G250" s="373"/>
      <c r="H250" s="373"/>
      <c r="I250" s="63" t="str">
        <f t="shared" si="219"/>
        <v/>
      </c>
      <c r="J250" s="317">
        <f t="shared" si="181"/>
        <v>0</v>
      </c>
      <c r="K250" s="317">
        <f t="shared" si="182"/>
        <v>0</v>
      </c>
      <c r="L250" s="317">
        <f t="shared" si="193"/>
        <v>0</v>
      </c>
      <c r="M250" s="317">
        <f t="shared" si="194"/>
        <v>0</v>
      </c>
      <c r="N250" s="317">
        <f t="shared" si="174"/>
        <v>0</v>
      </c>
      <c r="O250" s="317">
        <f t="shared" si="175"/>
        <v>0</v>
      </c>
      <c r="P250" s="317">
        <f t="shared" si="195"/>
        <v>0</v>
      </c>
      <c r="Q250" s="317">
        <f t="shared" si="196"/>
        <v>0</v>
      </c>
      <c r="R250" s="317">
        <f t="shared" si="197"/>
        <v>0</v>
      </c>
      <c r="S250" s="317">
        <f t="shared" si="198"/>
        <v>0</v>
      </c>
      <c r="T250" s="317">
        <f t="shared" si="176"/>
        <v>0</v>
      </c>
      <c r="U250" s="317">
        <f t="shared" si="177"/>
        <v>0</v>
      </c>
      <c r="V250" s="317">
        <f t="shared" si="199"/>
        <v>0</v>
      </c>
      <c r="W250" s="317">
        <f t="shared" si="200"/>
        <v>0</v>
      </c>
      <c r="X250" s="317">
        <f t="shared" si="201"/>
        <v>0</v>
      </c>
      <c r="Y250" s="317">
        <f t="shared" si="202"/>
        <v>0</v>
      </c>
      <c r="Z250" s="317">
        <f t="shared" si="183"/>
        <v>0</v>
      </c>
      <c r="AA250" s="317">
        <f t="shared" si="184"/>
        <v>0</v>
      </c>
      <c r="AB250" s="317">
        <f t="shared" si="203"/>
        <v>0</v>
      </c>
      <c r="AC250" s="317">
        <f t="shared" si="204"/>
        <v>0</v>
      </c>
      <c r="AD250" s="317">
        <f t="shared" si="185"/>
        <v>0</v>
      </c>
      <c r="AE250" s="317">
        <f t="shared" si="186"/>
        <v>0</v>
      </c>
      <c r="AF250" s="317">
        <f t="shared" si="178"/>
        <v>0</v>
      </c>
      <c r="AG250" s="317">
        <f t="shared" si="179"/>
        <v>0</v>
      </c>
      <c r="AH250" s="317">
        <f t="shared" si="205"/>
        <v>0</v>
      </c>
      <c r="AI250" s="317">
        <f t="shared" si="206"/>
        <v>0</v>
      </c>
      <c r="AJ250" s="317">
        <f t="shared" si="207"/>
        <v>0</v>
      </c>
      <c r="AK250" s="317">
        <f t="shared" si="208"/>
        <v>0</v>
      </c>
      <c r="AL250" s="317">
        <f t="shared" si="209"/>
        <v>0</v>
      </c>
      <c r="AM250" s="317">
        <f t="shared" si="210"/>
        <v>0</v>
      </c>
      <c r="AN250" s="317">
        <f t="shared" si="211"/>
        <v>0</v>
      </c>
      <c r="AO250" s="317">
        <f t="shared" si="212"/>
        <v>0</v>
      </c>
      <c r="AP250" s="317">
        <f t="shared" si="213"/>
        <v>0</v>
      </c>
      <c r="AQ250" s="317">
        <f t="shared" si="214"/>
        <v>0</v>
      </c>
      <c r="AR250" s="317">
        <f t="shared" si="187"/>
        <v>0</v>
      </c>
      <c r="AS250" s="317">
        <f t="shared" si="188"/>
        <v>0</v>
      </c>
      <c r="AT250" s="317">
        <f t="shared" si="215"/>
        <v>0</v>
      </c>
      <c r="AU250" s="317">
        <f t="shared" si="216"/>
        <v>0</v>
      </c>
      <c r="AV250" s="317">
        <f t="shared" si="217"/>
        <v>0</v>
      </c>
      <c r="AW250" s="317">
        <f t="shared" si="218"/>
        <v>0</v>
      </c>
      <c r="AX250" s="317">
        <f t="shared" si="189"/>
        <v>0</v>
      </c>
      <c r="AY250" s="317">
        <f t="shared" si="190"/>
        <v>0</v>
      </c>
      <c r="AZ250" s="317">
        <f t="shared" si="191"/>
        <v>0</v>
      </c>
      <c r="BA250" s="317">
        <f t="shared" si="192"/>
        <v>0</v>
      </c>
    </row>
    <row r="251" spans="1:53" s="314" customFormat="1" ht="16.5" customHeight="1">
      <c r="A251" s="63" t="str">
        <f t="array" ref="A251">IF(C251&lt;&gt;0,SUM(($C$11:C251&lt;&gt;0)*1),"")</f>
        <v/>
      </c>
      <c r="B251" s="315"/>
      <c r="C251" s="315"/>
      <c r="D251" s="315"/>
      <c r="E251" s="433"/>
      <c r="F251" s="371"/>
      <c r="G251" s="373"/>
      <c r="H251" s="373"/>
      <c r="I251" s="63" t="str">
        <f t="shared" si="219"/>
        <v/>
      </c>
      <c r="J251" s="317">
        <f t="shared" si="181"/>
        <v>0</v>
      </c>
      <c r="K251" s="317">
        <f t="shared" si="182"/>
        <v>0</v>
      </c>
      <c r="L251" s="317">
        <f t="shared" si="193"/>
        <v>0</v>
      </c>
      <c r="M251" s="317">
        <f t="shared" si="194"/>
        <v>0</v>
      </c>
      <c r="N251" s="317">
        <f t="shared" si="174"/>
        <v>0</v>
      </c>
      <c r="O251" s="317">
        <f t="shared" si="175"/>
        <v>0</v>
      </c>
      <c r="P251" s="317">
        <f t="shared" si="195"/>
        <v>0</v>
      </c>
      <c r="Q251" s="317">
        <f t="shared" si="196"/>
        <v>0</v>
      </c>
      <c r="R251" s="317">
        <f t="shared" si="197"/>
        <v>0</v>
      </c>
      <c r="S251" s="317">
        <f t="shared" si="198"/>
        <v>0</v>
      </c>
      <c r="T251" s="317">
        <f t="shared" si="176"/>
        <v>0</v>
      </c>
      <c r="U251" s="317">
        <f t="shared" si="177"/>
        <v>0</v>
      </c>
      <c r="V251" s="317">
        <f t="shared" si="199"/>
        <v>0</v>
      </c>
      <c r="W251" s="317">
        <f t="shared" si="200"/>
        <v>0</v>
      </c>
      <c r="X251" s="317">
        <f t="shared" si="201"/>
        <v>0</v>
      </c>
      <c r="Y251" s="317">
        <f t="shared" si="202"/>
        <v>0</v>
      </c>
      <c r="Z251" s="317">
        <f t="shared" si="183"/>
        <v>0</v>
      </c>
      <c r="AA251" s="317">
        <f t="shared" si="184"/>
        <v>0</v>
      </c>
      <c r="AB251" s="317">
        <f t="shared" si="203"/>
        <v>0</v>
      </c>
      <c r="AC251" s="317">
        <f t="shared" si="204"/>
        <v>0</v>
      </c>
      <c r="AD251" s="317">
        <f t="shared" si="185"/>
        <v>0</v>
      </c>
      <c r="AE251" s="317">
        <f t="shared" si="186"/>
        <v>0</v>
      </c>
      <c r="AF251" s="317">
        <f t="shared" si="178"/>
        <v>0</v>
      </c>
      <c r="AG251" s="317">
        <f t="shared" si="179"/>
        <v>0</v>
      </c>
      <c r="AH251" s="317">
        <f t="shared" si="205"/>
        <v>0</v>
      </c>
      <c r="AI251" s="317">
        <f t="shared" si="206"/>
        <v>0</v>
      </c>
      <c r="AJ251" s="317">
        <f t="shared" si="207"/>
        <v>0</v>
      </c>
      <c r="AK251" s="317">
        <f t="shared" si="208"/>
        <v>0</v>
      </c>
      <c r="AL251" s="317">
        <f t="shared" si="209"/>
        <v>0</v>
      </c>
      <c r="AM251" s="317">
        <f t="shared" si="210"/>
        <v>0</v>
      </c>
      <c r="AN251" s="317">
        <f t="shared" si="211"/>
        <v>0</v>
      </c>
      <c r="AO251" s="317">
        <f t="shared" si="212"/>
        <v>0</v>
      </c>
      <c r="AP251" s="317">
        <f t="shared" si="213"/>
        <v>0</v>
      </c>
      <c r="AQ251" s="317">
        <f t="shared" si="214"/>
        <v>0</v>
      </c>
      <c r="AR251" s="317">
        <f t="shared" si="187"/>
        <v>0</v>
      </c>
      <c r="AS251" s="317">
        <f t="shared" si="188"/>
        <v>0</v>
      </c>
      <c r="AT251" s="317">
        <f t="shared" si="215"/>
        <v>0</v>
      </c>
      <c r="AU251" s="317">
        <f t="shared" si="216"/>
        <v>0</v>
      </c>
      <c r="AV251" s="317">
        <f t="shared" si="217"/>
        <v>0</v>
      </c>
      <c r="AW251" s="317">
        <f t="shared" si="218"/>
        <v>0</v>
      </c>
      <c r="AX251" s="317">
        <f t="shared" si="189"/>
        <v>0</v>
      </c>
      <c r="AY251" s="317">
        <f t="shared" si="190"/>
        <v>0</v>
      </c>
      <c r="AZ251" s="317">
        <f t="shared" si="191"/>
        <v>0</v>
      </c>
      <c r="BA251" s="317">
        <f t="shared" si="192"/>
        <v>0</v>
      </c>
    </row>
    <row r="252" spans="1:53" s="314" customFormat="1" ht="16.5" customHeight="1">
      <c r="A252" s="63" t="str">
        <f t="array" ref="A252">IF(C252&lt;&gt;0,SUM(($C$11:C252&lt;&gt;0)*1),"")</f>
        <v/>
      </c>
      <c r="B252" s="315"/>
      <c r="C252" s="315"/>
      <c r="D252" s="315"/>
      <c r="E252" s="433"/>
      <c r="F252" s="371"/>
      <c r="G252" s="373"/>
      <c r="H252" s="373"/>
      <c r="I252" s="63" t="str">
        <f t="shared" si="219"/>
        <v/>
      </c>
      <c r="J252" s="317">
        <f t="shared" si="181"/>
        <v>0</v>
      </c>
      <c r="K252" s="317">
        <f t="shared" si="182"/>
        <v>0</v>
      </c>
      <c r="L252" s="317">
        <f t="shared" si="193"/>
        <v>0</v>
      </c>
      <c r="M252" s="317">
        <f t="shared" si="194"/>
        <v>0</v>
      </c>
      <c r="N252" s="317">
        <f t="shared" si="174"/>
        <v>0</v>
      </c>
      <c r="O252" s="317">
        <f t="shared" si="175"/>
        <v>0</v>
      </c>
      <c r="P252" s="317">
        <f t="shared" si="195"/>
        <v>0</v>
      </c>
      <c r="Q252" s="317">
        <f t="shared" si="196"/>
        <v>0</v>
      </c>
      <c r="R252" s="317">
        <f t="shared" si="197"/>
        <v>0</v>
      </c>
      <c r="S252" s="317">
        <f t="shared" si="198"/>
        <v>0</v>
      </c>
      <c r="T252" s="317">
        <f t="shared" si="176"/>
        <v>0</v>
      </c>
      <c r="U252" s="317">
        <f t="shared" si="177"/>
        <v>0</v>
      </c>
      <c r="V252" s="317">
        <f t="shared" si="199"/>
        <v>0</v>
      </c>
      <c r="W252" s="317">
        <f t="shared" si="200"/>
        <v>0</v>
      </c>
      <c r="X252" s="317">
        <f t="shared" si="201"/>
        <v>0</v>
      </c>
      <c r="Y252" s="317">
        <f t="shared" si="202"/>
        <v>0</v>
      </c>
      <c r="Z252" s="317">
        <f t="shared" si="183"/>
        <v>0</v>
      </c>
      <c r="AA252" s="317">
        <f t="shared" si="184"/>
        <v>0</v>
      </c>
      <c r="AB252" s="317">
        <f t="shared" si="203"/>
        <v>0</v>
      </c>
      <c r="AC252" s="317">
        <f t="shared" si="204"/>
        <v>0</v>
      </c>
      <c r="AD252" s="317">
        <f t="shared" si="185"/>
        <v>0</v>
      </c>
      <c r="AE252" s="317">
        <f t="shared" si="186"/>
        <v>0</v>
      </c>
      <c r="AF252" s="317">
        <f t="shared" si="178"/>
        <v>0</v>
      </c>
      <c r="AG252" s="317">
        <f t="shared" si="179"/>
        <v>0</v>
      </c>
      <c r="AH252" s="317">
        <f t="shared" si="205"/>
        <v>0</v>
      </c>
      <c r="AI252" s="317">
        <f t="shared" si="206"/>
        <v>0</v>
      </c>
      <c r="AJ252" s="317">
        <f t="shared" si="207"/>
        <v>0</v>
      </c>
      <c r="AK252" s="317">
        <f t="shared" si="208"/>
        <v>0</v>
      </c>
      <c r="AL252" s="317">
        <f t="shared" si="209"/>
        <v>0</v>
      </c>
      <c r="AM252" s="317">
        <f t="shared" si="210"/>
        <v>0</v>
      </c>
      <c r="AN252" s="317">
        <f t="shared" si="211"/>
        <v>0</v>
      </c>
      <c r="AO252" s="317">
        <f t="shared" si="212"/>
        <v>0</v>
      </c>
      <c r="AP252" s="317">
        <f t="shared" si="213"/>
        <v>0</v>
      </c>
      <c r="AQ252" s="317">
        <f t="shared" si="214"/>
        <v>0</v>
      </c>
      <c r="AR252" s="317">
        <f t="shared" si="187"/>
        <v>0</v>
      </c>
      <c r="AS252" s="317">
        <f t="shared" si="188"/>
        <v>0</v>
      </c>
      <c r="AT252" s="317">
        <f t="shared" si="215"/>
        <v>0</v>
      </c>
      <c r="AU252" s="317">
        <f t="shared" si="216"/>
        <v>0</v>
      </c>
      <c r="AV252" s="317">
        <f t="shared" si="217"/>
        <v>0</v>
      </c>
      <c r="AW252" s="317">
        <f t="shared" si="218"/>
        <v>0</v>
      </c>
      <c r="AX252" s="317">
        <f t="shared" si="189"/>
        <v>0</v>
      </c>
      <c r="AY252" s="317">
        <f t="shared" si="190"/>
        <v>0</v>
      </c>
      <c r="AZ252" s="317">
        <f t="shared" si="191"/>
        <v>0</v>
      </c>
      <c r="BA252" s="317">
        <f t="shared" si="192"/>
        <v>0</v>
      </c>
    </row>
    <row r="253" spans="1:53" s="314" customFormat="1" ht="16.5" customHeight="1">
      <c r="A253" s="63" t="str">
        <f t="array" ref="A253">IF(C253&lt;&gt;0,SUM(($C$11:C253&lt;&gt;0)*1),"")</f>
        <v/>
      </c>
      <c r="B253" s="315"/>
      <c r="C253" s="315"/>
      <c r="D253" s="315"/>
      <c r="E253" s="433"/>
      <c r="F253" s="371"/>
      <c r="G253" s="373"/>
      <c r="H253" s="373"/>
      <c r="I253" s="63" t="str">
        <f t="shared" si="219"/>
        <v/>
      </c>
      <c r="J253" s="317">
        <f t="shared" si="181"/>
        <v>0</v>
      </c>
      <c r="K253" s="317">
        <f t="shared" si="182"/>
        <v>0</v>
      </c>
      <c r="L253" s="317">
        <f t="shared" si="193"/>
        <v>0</v>
      </c>
      <c r="M253" s="317">
        <f t="shared" si="194"/>
        <v>0</v>
      </c>
      <c r="N253" s="317">
        <f t="shared" si="174"/>
        <v>0</v>
      </c>
      <c r="O253" s="317">
        <f t="shared" si="175"/>
        <v>0</v>
      </c>
      <c r="P253" s="317">
        <f t="shared" si="195"/>
        <v>0</v>
      </c>
      <c r="Q253" s="317">
        <f t="shared" si="196"/>
        <v>0</v>
      </c>
      <c r="R253" s="317">
        <f t="shared" si="197"/>
        <v>0</v>
      </c>
      <c r="S253" s="317">
        <f t="shared" si="198"/>
        <v>0</v>
      </c>
      <c r="T253" s="317">
        <f t="shared" si="176"/>
        <v>0</v>
      </c>
      <c r="U253" s="317">
        <f t="shared" si="177"/>
        <v>0</v>
      </c>
      <c r="V253" s="317">
        <f t="shared" si="199"/>
        <v>0</v>
      </c>
      <c r="W253" s="317">
        <f t="shared" si="200"/>
        <v>0</v>
      </c>
      <c r="X253" s="317">
        <f t="shared" si="201"/>
        <v>0</v>
      </c>
      <c r="Y253" s="317">
        <f t="shared" si="202"/>
        <v>0</v>
      </c>
      <c r="Z253" s="317">
        <f t="shared" si="183"/>
        <v>0</v>
      </c>
      <c r="AA253" s="317">
        <f t="shared" si="184"/>
        <v>0</v>
      </c>
      <c r="AB253" s="317">
        <f t="shared" si="203"/>
        <v>0</v>
      </c>
      <c r="AC253" s="317">
        <f t="shared" si="204"/>
        <v>0</v>
      </c>
      <c r="AD253" s="317">
        <f t="shared" si="185"/>
        <v>0</v>
      </c>
      <c r="AE253" s="317">
        <f t="shared" si="186"/>
        <v>0</v>
      </c>
      <c r="AF253" s="317">
        <f t="shared" si="178"/>
        <v>0</v>
      </c>
      <c r="AG253" s="317">
        <f t="shared" si="179"/>
        <v>0</v>
      </c>
      <c r="AH253" s="317">
        <f t="shared" si="205"/>
        <v>0</v>
      </c>
      <c r="AI253" s="317">
        <f t="shared" si="206"/>
        <v>0</v>
      </c>
      <c r="AJ253" s="317">
        <f t="shared" si="207"/>
        <v>0</v>
      </c>
      <c r="AK253" s="317">
        <f t="shared" si="208"/>
        <v>0</v>
      </c>
      <c r="AL253" s="317">
        <f t="shared" si="209"/>
        <v>0</v>
      </c>
      <c r="AM253" s="317">
        <f t="shared" si="210"/>
        <v>0</v>
      </c>
      <c r="AN253" s="317">
        <f t="shared" si="211"/>
        <v>0</v>
      </c>
      <c r="AO253" s="317">
        <f t="shared" si="212"/>
        <v>0</v>
      </c>
      <c r="AP253" s="317">
        <f t="shared" si="213"/>
        <v>0</v>
      </c>
      <c r="AQ253" s="317">
        <f t="shared" si="214"/>
        <v>0</v>
      </c>
      <c r="AR253" s="317">
        <f t="shared" si="187"/>
        <v>0</v>
      </c>
      <c r="AS253" s="317">
        <f t="shared" si="188"/>
        <v>0</v>
      </c>
      <c r="AT253" s="317">
        <f t="shared" si="215"/>
        <v>0</v>
      </c>
      <c r="AU253" s="317">
        <f t="shared" si="216"/>
        <v>0</v>
      </c>
      <c r="AV253" s="317">
        <f t="shared" si="217"/>
        <v>0</v>
      </c>
      <c r="AW253" s="317">
        <f t="shared" si="218"/>
        <v>0</v>
      </c>
      <c r="AX253" s="317">
        <f t="shared" si="189"/>
        <v>0</v>
      </c>
      <c r="AY253" s="317">
        <f t="shared" si="190"/>
        <v>0</v>
      </c>
      <c r="AZ253" s="317">
        <f t="shared" si="191"/>
        <v>0</v>
      </c>
      <c r="BA253" s="317">
        <f t="shared" si="192"/>
        <v>0</v>
      </c>
    </row>
    <row r="254" spans="1:53" s="314" customFormat="1" ht="16.5" customHeight="1">
      <c r="A254" s="63" t="str">
        <f t="array" ref="A254">IF(C254&lt;&gt;0,SUM(($C$11:C254&lt;&gt;0)*1),"")</f>
        <v/>
      </c>
      <c r="B254" s="315"/>
      <c r="C254" s="315"/>
      <c r="D254" s="315"/>
      <c r="E254" s="433"/>
      <c r="F254" s="371"/>
      <c r="G254" s="373"/>
      <c r="H254" s="373"/>
      <c r="I254" s="63" t="str">
        <f t="shared" si="219"/>
        <v/>
      </c>
      <c r="J254" s="317">
        <f t="shared" si="181"/>
        <v>0</v>
      </c>
      <c r="K254" s="317">
        <f t="shared" si="182"/>
        <v>0</v>
      </c>
      <c r="L254" s="317">
        <f t="shared" si="193"/>
        <v>0</v>
      </c>
      <c r="M254" s="317">
        <f t="shared" si="194"/>
        <v>0</v>
      </c>
      <c r="N254" s="317">
        <f t="shared" si="174"/>
        <v>0</v>
      </c>
      <c r="O254" s="317">
        <f t="shared" si="175"/>
        <v>0</v>
      </c>
      <c r="P254" s="317">
        <f t="shared" si="195"/>
        <v>0</v>
      </c>
      <c r="Q254" s="317">
        <f t="shared" si="196"/>
        <v>0</v>
      </c>
      <c r="R254" s="317">
        <f t="shared" si="197"/>
        <v>0</v>
      </c>
      <c r="S254" s="317">
        <f t="shared" si="198"/>
        <v>0</v>
      </c>
      <c r="T254" s="317">
        <f t="shared" si="176"/>
        <v>0</v>
      </c>
      <c r="U254" s="317">
        <f t="shared" si="177"/>
        <v>0</v>
      </c>
      <c r="V254" s="317">
        <f t="shared" si="199"/>
        <v>0</v>
      </c>
      <c r="W254" s="317">
        <f t="shared" si="200"/>
        <v>0</v>
      </c>
      <c r="X254" s="317">
        <f t="shared" si="201"/>
        <v>0</v>
      </c>
      <c r="Y254" s="317">
        <f t="shared" si="202"/>
        <v>0</v>
      </c>
      <c r="Z254" s="317">
        <f t="shared" si="183"/>
        <v>0</v>
      </c>
      <c r="AA254" s="317">
        <f t="shared" si="184"/>
        <v>0</v>
      </c>
      <c r="AB254" s="317">
        <f t="shared" si="203"/>
        <v>0</v>
      </c>
      <c r="AC254" s="317">
        <f t="shared" si="204"/>
        <v>0</v>
      </c>
      <c r="AD254" s="317">
        <f t="shared" si="185"/>
        <v>0</v>
      </c>
      <c r="AE254" s="317">
        <f t="shared" si="186"/>
        <v>0</v>
      </c>
      <c r="AF254" s="317">
        <f t="shared" si="178"/>
        <v>0</v>
      </c>
      <c r="AG254" s="317">
        <f t="shared" si="179"/>
        <v>0</v>
      </c>
      <c r="AH254" s="317">
        <f t="shared" si="205"/>
        <v>0</v>
      </c>
      <c r="AI254" s="317">
        <f t="shared" si="206"/>
        <v>0</v>
      </c>
      <c r="AJ254" s="317">
        <f t="shared" si="207"/>
        <v>0</v>
      </c>
      <c r="AK254" s="317">
        <f t="shared" si="208"/>
        <v>0</v>
      </c>
      <c r="AL254" s="317">
        <f t="shared" si="209"/>
        <v>0</v>
      </c>
      <c r="AM254" s="317">
        <f t="shared" si="210"/>
        <v>0</v>
      </c>
      <c r="AN254" s="317">
        <f t="shared" si="211"/>
        <v>0</v>
      </c>
      <c r="AO254" s="317">
        <f t="shared" si="212"/>
        <v>0</v>
      </c>
      <c r="AP254" s="317">
        <f t="shared" si="213"/>
        <v>0</v>
      </c>
      <c r="AQ254" s="317">
        <f t="shared" si="214"/>
        <v>0</v>
      </c>
      <c r="AR254" s="317">
        <f t="shared" si="187"/>
        <v>0</v>
      </c>
      <c r="AS254" s="317">
        <f t="shared" si="188"/>
        <v>0</v>
      </c>
      <c r="AT254" s="317">
        <f t="shared" si="215"/>
        <v>0</v>
      </c>
      <c r="AU254" s="317">
        <f t="shared" si="216"/>
        <v>0</v>
      </c>
      <c r="AV254" s="317">
        <f t="shared" si="217"/>
        <v>0</v>
      </c>
      <c r="AW254" s="317">
        <f t="shared" si="218"/>
        <v>0</v>
      </c>
      <c r="AX254" s="317">
        <f t="shared" si="189"/>
        <v>0</v>
      </c>
      <c r="AY254" s="317">
        <f t="shared" si="190"/>
        <v>0</v>
      </c>
      <c r="AZ254" s="317">
        <f t="shared" si="191"/>
        <v>0</v>
      </c>
      <c r="BA254" s="317">
        <f t="shared" si="192"/>
        <v>0</v>
      </c>
    </row>
    <row r="255" spans="1:53" s="314" customFormat="1" ht="16.5" customHeight="1">
      <c r="A255" s="63" t="str">
        <f t="array" ref="A255">IF(C255&lt;&gt;0,SUM(($C$11:C255&lt;&gt;0)*1),"")</f>
        <v/>
      </c>
      <c r="B255" s="315"/>
      <c r="C255" s="315"/>
      <c r="D255" s="315"/>
      <c r="E255" s="433"/>
      <c r="F255" s="371"/>
      <c r="G255" s="373"/>
      <c r="H255" s="373"/>
      <c r="I255" s="63" t="str">
        <f t="shared" si="219"/>
        <v/>
      </c>
      <c r="J255" s="317">
        <f t="shared" si="181"/>
        <v>0</v>
      </c>
      <c r="K255" s="317">
        <f t="shared" si="182"/>
        <v>0</v>
      </c>
      <c r="L255" s="317">
        <f t="shared" si="193"/>
        <v>0</v>
      </c>
      <c r="M255" s="317">
        <f t="shared" si="194"/>
        <v>0</v>
      </c>
      <c r="N255" s="317">
        <f t="shared" si="174"/>
        <v>0</v>
      </c>
      <c r="O255" s="317">
        <f t="shared" si="175"/>
        <v>0</v>
      </c>
      <c r="P255" s="317">
        <f t="shared" si="195"/>
        <v>0</v>
      </c>
      <c r="Q255" s="317">
        <f t="shared" si="196"/>
        <v>0</v>
      </c>
      <c r="R255" s="317">
        <f t="shared" si="197"/>
        <v>0</v>
      </c>
      <c r="S255" s="317">
        <f t="shared" si="198"/>
        <v>0</v>
      </c>
      <c r="T255" s="317">
        <f t="shared" si="176"/>
        <v>0</v>
      </c>
      <c r="U255" s="317">
        <f t="shared" si="177"/>
        <v>0</v>
      </c>
      <c r="V255" s="317">
        <f t="shared" si="199"/>
        <v>0</v>
      </c>
      <c r="W255" s="317">
        <f t="shared" si="200"/>
        <v>0</v>
      </c>
      <c r="X255" s="317">
        <f t="shared" si="201"/>
        <v>0</v>
      </c>
      <c r="Y255" s="317">
        <f t="shared" si="202"/>
        <v>0</v>
      </c>
      <c r="Z255" s="317">
        <f t="shared" si="183"/>
        <v>0</v>
      </c>
      <c r="AA255" s="317">
        <f t="shared" si="184"/>
        <v>0</v>
      </c>
      <c r="AB255" s="317">
        <f t="shared" si="203"/>
        <v>0</v>
      </c>
      <c r="AC255" s="317">
        <f t="shared" si="204"/>
        <v>0</v>
      </c>
      <c r="AD255" s="317">
        <f t="shared" si="185"/>
        <v>0</v>
      </c>
      <c r="AE255" s="317">
        <f t="shared" si="186"/>
        <v>0</v>
      </c>
      <c r="AF255" s="317">
        <f t="shared" si="178"/>
        <v>0</v>
      </c>
      <c r="AG255" s="317">
        <f t="shared" si="179"/>
        <v>0</v>
      </c>
      <c r="AH255" s="317">
        <f t="shared" si="205"/>
        <v>0</v>
      </c>
      <c r="AI255" s="317">
        <f t="shared" si="206"/>
        <v>0</v>
      </c>
      <c r="AJ255" s="317">
        <f t="shared" si="207"/>
        <v>0</v>
      </c>
      <c r="AK255" s="317">
        <f t="shared" si="208"/>
        <v>0</v>
      </c>
      <c r="AL255" s="317">
        <f t="shared" si="209"/>
        <v>0</v>
      </c>
      <c r="AM255" s="317">
        <f t="shared" si="210"/>
        <v>0</v>
      </c>
      <c r="AN255" s="317">
        <f t="shared" si="211"/>
        <v>0</v>
      </c>
      <c r="AO255" s="317">
        <f t="shared" si="212"/>
        <v>0</v>
      </c>
      <c r="AP255" s="317">
        <f t="shared" si="213"/>
        <v>0</v>
      </c>
      <c r="AQ255" s="317">
        <f t="shared" si="214"/>
        <v>0</v>
      </c>
      <c r="AR255" s="317">
        <f t="shared" si="187"/>
        <v>0</v>
      </c>
      <c r="AS255" s="317">
        <f t="shared" si="188"/>
        <v>0</v>
      </c>
      <c r="AT255" s="317">
        <f t="shared" si="215"/>
        <v>0</v>
      </c>
      <c r="AU255" s="317">
        <f t="shared" si="216"/>
        <v>0</v>
      </c>
      <c r="AV255" s="317">
        <f t="shared" si="217"/>
        <v>0</v>
      </c>
      <c r="AW255" s="317">
        <f t="shared" si="218"/>
        <v>0</v>
      </c>
      <c r="AX255" s="317">
        <f t="shared" si="189"/>
        <v>0</v>
      </c>
      <c r="AY255" s="317">
        <f t="shared" si="190"/>
        <v>0</v>
      </c>
      <c r="AZ255" s="317">
        <f t="shared" si="191"/>
        <v>0</v>
      </c>
      <c r="BA255" s="317">
        <f t="shared" si="192"/>
        <v>0</v>
      </c>
    </row>
    <row r="256" spans="1:53" s="314" customFormat="1" ht="16.5" customHeight="1">
      <c r="A256" s="63" t="str">
        <f t="array" ref="A256">IF(C256&lt;&gt;0,SUM(($C$11:C256&lt;&gt;0)*1),"")</f>
        <v/>
      </c>
      <c r="B256" s="315"/>
      <c r="C256" s="315"/>
      <c r="D256" s="315"/>
      <c r="E256" s="433"/>
      <c r="F256" s="371"/>
      <c r="G256" s="373"/>
      <c r="H256" s="373"/>
      <c r="I256" s="63" t="str">
        <f t="shared" si="219"/>
        <v/>
      </c>
      <c r="J256" s="317">
        <f t="shared" si="181"/>
        <v>0</v>
      </c>
      <c r="K256" s="317">
        <f t="shared" si="182"/>
        <v>0</v>
      </c>
      <c r="L256" s="317">
        <f t="shared" si="193"/>
        <v>0</v>
      </c>
      <c r="M256" s="317">
        <f t="shared" si="194"/>
        <v>0</v>
      </c>
      <c r="N256" s="317">
        <f t="shared" si="174"/>
        <v>0</v>
      </c>
      <c r="O256" s="317">
        <f t="shared" si="175"/>
        <v>0</v>
      </c>
      <c r="P256" s="317">
        <f t="shared" si="195"/>
        <v>0</v>
      </c>
      <c r="Q256" s="317">
        <f t="shared" si="196"/>
        <v>0</v>
      </c>
      <c r="R256" s="317">
        <f t="shared" si="197"/>
        <v>0</v>
      </c>
      <c r="S256" s="317">
        <f t="shared" si="198"/>
        <v>0</v>
      </c>
      <c r="T256" s="317">
        <f t="shared" si="176"/>
        <v>0</v>
      </c>
      <c r="U256" s="317">
        <f t="shared" si="177"/>
        <v>0</v>
      </c>
      <c r="V256" s="317">
        <f t="shared" si="199"/>
        <v>0</v>
      </c>
      <c r="W256" s="317">
        <f t="shared" si="200"/>
        <v>0</v>
      </c>
      <c r="X256" s="317">
        <f t="shared" si="201"/>
        <v>0</v>
      </c>
      <c r="Y256" s="317">
        <f t="shared" si="202"/>
        <v>0</v>
      </c>
      <c r="Z256" s="317">
        <f t="shared" si="183"/>
        <v>0</v>
      </c>
      <c r="AA256" s="317">
        <f t="shared" si="184"/>
        <v>0</v>
      </c>
      <c r="AB256" s="317">
        <f t="shared" si="203"/>
        <v>0</v>
      </c>
      <c r="AC256" s="317">
        <f t="shared" si="204"/>
        <v>0</v>
      </c>
      <c r="AD256" s="317">
        <f t="shared" si="185"/>
        <v>0</v>
      </c>
      <c r="AE256" s="317">
        <f t="shared" si="186"/>
        <v>0</v>
      </c>
      <c r="AF256" s="317">
        <f t="shared" si="178"/>
        <v>0</v>
      </c>
      <c r="AG256" s="317">
        <f t="shared" si="179"/>
        <v>0</v>
      </c>
      <c r="AH256" s="317">
        <f t="shared" si="205"/>
        <v>0</v>
      </c>
      <c r="AI256" s="317">
        <f t="shared" si="206"/>
        <v>0</v>
      </c>
      <c r="AJ256" s="317">
        <f t="shared" si="207"/>
        <v>0</v>
      </c>
      <c r="AK256" s="317">
        <f t="shared" si="208"/>
        <v>0</v>
      </c>
      <c r="AL256" s="317">
        <f t="shared" si="209"/>
        <v>0</v>
      </c>
      <c r="AM256" s="317">
        <f t="shared" si="210"/>
        <v>0</v>
      </c>
      <c r="AN256" s="317">
        <f t="shared" si="211"/>
        <v>0</v>
      </c>
      <c r="AO256" s="317">
        <f t="shared" si="212"/>
        <v>0</v>
      </c>
      <c r="AP256" s="317">
        <f t="shared" si="213"/>
        <v>0</v>
      </c>
      <c r="AQ256" s="317">
        <f t="shared" si="214"/>
        <v>0</v>
      </c>
      <c r="AR256" s="317">
        <f t="shared" si="187"/>
        <v>0</v>
      </c>
      <c r="AS256" s="317">
        <f t="shared" si="188"/>
        <v>0</v>
      </c>
      <c r="AT256" s="317">
        <f t="shared" si="215"/>
        <v>0</v>
      </c>
      <c r="AU256" s="317">
        <f t="shared" si="216"/>
        <v>0</v>
      </c>
      <c r="AV256" s="317">
        <f t="shared" si="217"/>
        <v>0</v>
      </c>
      <c r="AW256" s="317">
        <f t="shared" si="218"/>
        <v>0</v>
      </c>
      <c r="AX256" s="317">
        <f t="shared" si="189"/>
        <v>0</v>
      </c>
      <c r="AY256" s="317">
        <f t="shared" si="190"/>
        <v>0</v>
      </c>
      <c r="AZ256" s="317">
        <f t="shared" si="191"/>
        <v>0</v>
      </c>
      <c r="BA256" s="317">
        <f t="shared" si="192"/>
        <v>0</v>
      </c>
    </row>
    <row r="257" spans="1:53" s="314" customFormat="1" ht="16.5" customHeight="1">
      <c r="A257" s="63" t="str">
        <f t="array" ref="A257">IF(C257&lt;&gt;0,SUM(($C$11:C257&lt;&gt;0)*1),"")</f>
        <v/>
      </c>
      <c r="B257" s="315"/>
      <c r="C257" s="315"/>
      <c r="D257" s="315"/>
      <c r="E257" s="433"/>
      <c r="F257" s="371"/>
      <c r="G257" s="373"/>
      <c r="H257" s="373"/>
      <c r="I257" s="63" t="str">
        <f t="shared" si="219"/>
        <v/>
      </c>
      <c r="J257" s="317">
        <f t="shared" si="181"/>
        <v>0</v>
      </c>
      <c r="K257" s="317">
        <f t="shared" si="182"/>
        <v>0</v>
      </c>
      <c r="L257" s="317">
        <f t="shared" si="193"/>
        <v>0</v>
      </c>
      <c r="M257" s="317">
        <f t="shared" si="194"/>
        <v>0</v>
      </c>
      <c r="N257" s="317">
        <f t="shared" si="174"/>
        <v>0</v>
      </c>
      <c r="O257" s="317">
        <f t="shared" si="175"/>
        <v>0</v>
      </c>
      <c r="P257" s="317">
        <f t="shared" si="195"/>
        <v>0</v>
      </c>
      <c r="Q257" s="317">
        <f t="shared" si="196"/>
        <v>0</v>
      </c>
      <c r="R257" s="317">
        <f t="shared" si="197"/>
        <v>0</v>
      </c>
      <c r="S257" s="317">
        <f t="shared" si="198"/>
        <v>0</v>
      </c>
      <c r="T257" s="317">
        <f t="shared" si="176"/>
        <v>0</v>
      </c>
      <c r="U257" s="317">
        <f t="shared" si="177"/>
        <v>0</v>
      </c>
      <c r="V257" s="317">
        <f t="shared" si="199"/>
        <v>0</v>
      </c>
      <c r="W257" s="317">
        <f t="shared" si="200"/>
        <v>0</v>
      </c>
      <c r="X257" s="317">
        <f t="shared" si="201"/>
        <v>0</v>
      </c>
      <c r="Y257" s="317">
        <f t="shared" si="202"/>
        <v>0</v>
      </c>
      <c r="Z257" s="317">
        <f t="shared" si="183"/>
        <v>0</v>
      </c>
      <c r="AA257" s="317">
        <f t="shared" si="184"/>
        <v>0</v>
      </c>
      <c r="AB257" s="317">
        <f t="shared" si="203"/>
        <v>0</v>
      </c>
      <c r="AC257" s="317">
        <f t="shared" si="204"/>
        <v>0</v>
      </c>
      <c r="AD257" s="317">
        <f t="shared" si="185"/>
        <v>0</v>
      </c>
      <c r="AE257" s="317">
        <f t="shared" si="186"/>
        <v>0</v>
      </c>
      <c r="AF257" s="317">
        <f t="shared" si="178"/>
        <v>0</v>
      </c>
      <c r="AG257" s="317">
        <f t="shared" si="179"/>
        <v>0</v>
      </c>
      <c r="AH257" s="317">
        <f t="shared" si="205"/>
        <v>0</v>
      </c>
      <c r="AI257" s="317">
        <f t="shared" si="206"/>
        <v>0</v>
      </c>
      <c r="AJ257" s="317">
        <f t="shared" si="207"/>
        <v>0</v>
      </c>
      <c r="AK257" s="317">
        <f t="shared" si="208"/>
        <v>0</v>
      </c>
      <c r="AL257" s="317">
        <f t="shared" si="209"/>
        <v>0</v>
      </c>
      <c r="AM257" s="317">
        <f t="shared" si="210"/>
        <v>0</v>
      </c>
      <c r="AN257" s="317">
        <f t="shared" si="211"/>
        <v>0</v>
      </c>
      <c r="AO257" s="317">
        <f t="shared" si="212"/>
        <v>0</v>
      </c>
      <c r="AP257" s="317">
        <f t="shared" si="213"/>
        <v>0</v>
      </c>
      <c r="AQ257" s="317">
        <f t="shared" si="214"/>
        <v>0</v>
      </c>
      <c r="AR257" s="317">
        <f t="shared" si="187"/>
        <v>0</v>
      </c>
      <c r="AS257" s="317">
        <f t="shared" si="188"/>
        <v>0</v>
      </c>
      <c r="AT257" s="317">
        <f t="shared" si="215"/>
        <v>0</v>
      </c>
      <c r="AU257" s="317">
        <f t="shared" si="216"/>
        <v>0</v>
      </c>
      <c r="AV257" s="317">
        <f t="shared" si="217"/>
        <v>0</v>
      </c>
      <c r="AW257" s="317">
        <f t="shared" si="218"/>
        <v>0</v>
      </c>
      <c r="AX257" s="317">
        <f t="shared" si="189"/>
        <v>0</v>
      </c>
      <c r="AY257" s="317">
        <f t="shared" si="190"/>
        <v>0</v>
      </c>
      <c r="AZ257" s="317">
        <f t="shared" si="191"/>
        <v>0</v>
      </c>
      <c r="BA257" s="317">
        <f t="shared" si="192"/>
        <v>0</v>
      </c>
    </row>
    <row r="258" spans="1:53" s="314" customFormat="1" ht="16.5" customHeight="1">
      <c r="A258" s="63" t="str">
        <f t="array" ref="A258">IF(C258&lt;&gt;0,SUM(($C$11:C258&lt;&gt;0)*1),"")</f>
        <v/>
      </c>
      <c r="B258" s="315"/>
      <c r="C258" s="315"/>
      <c r="D258" s="315"/>
      <c r="E258" s="433"/>
      <c r="F258" s="371"/>
      <c r="G258" s="373"/>
      <c r="H258" s="373"/>
      <c r="I258" s="63" t="str">
        <f t="shared" si="219"/>
        <v/>
      </c>
      <c r="J258" s="317">
        <f t="shared" si="181"/>
        <v>0</v>
      </c>
      <c r="K258" s="317">
        <f t="shared" si="182"/>
        <v>0</v>
      </c>
      <c r="L258" s="317">
        <f t="shared" si="193"/>
        <v>0</v>
      </c>
      <c r="M258" s="317">
        <f t="shared" si="194"/>
        <v>0</v>
      </c>
      <c r="N258" s="317">
        <f t="shared" si="174"/>
        <v>0</v>
      </c>
      <c r="O258" s="317">
        <f t="shared" si="175"/>
        <v>0</v>
      </c>
      <c r="P258" s="317">
        <f t="shared" si="195"/>
        <v>0</v>
      </c>
      <c r="Q258" s="317">
        <f t="shared" si="196"/>
        <v>0</v>
      </c>
      <c r="R258" s="317">
        <f t="shared" si="197"/>
        <v>0</v>
      </c>
      <c r="S258" s="317">
        <f t="shared" si="198"/>
        <v>0</v>
      </c>
      <c r="T258" s="317">
        <f t="shared" si="176"/>
        <v>0</v>
      </c>
      <c r="U258" s="317">
        <f t="shared" si="177"/>
        <v>0</v>
      </c>
      <c r="V258" s="317">
        <f t="shared" si="199"/>
        <v>0</v>
      </c>
      <c r="W258" s="317">
        <f t="shared" si="200"/>
        <v>0</v>
      </c>
      <c r="X258" s="317">
        <f t="shared" si="201"/>
        <v>0</v>
      </c>
      <c r="Y258" s="317">
        <f t="shared" si="202"/>
        <v>0</v>
      </c>
      <c r="Z258" s="317">
        <f t="shared" si="183"/>
        <v>0</v>
      </c>
      <c r="AA258" s="317">
        <f t="shared" si="184"/>
        <v>0</v>
      </c>
      <c r="AB258" s="317">
        <f t="shared" si="203"/>
        <v>0</v>
      </c>
      <c r="AC258" s="317">
        <f t="shared" si="204"/>
        <v>0</v>
      </c>
      <c r="AD258" s="317">
        <f t="shared" si="185"/>
        <v>0</v>
      </c>
      <c r="AE258" s="317">
        <f t="shared" si="186"/>
        <v>0</v>
      </c>
      <c r="AF258" s="317">
        <f t="shared" si="178"/>
        <v>0</v>
      </c>
      <c r="AG258" s="317">
        <f t="shared" si="179"/>
        <v>0</v>
      </c>
      <c r="AH258" s="317">
        <f t="shared" si="205"/>
        <v>0</v>
      </c>
      <c r="AI258" s="317">
        <f t="shared" si="206"/>
        <v>0</v>
      </c>
      <c r="AJ258" s="317">
        <f t="shared" si="207"/>
        <v>0</v>
      </c>
      <c r="AK258" s="317">
        <f t="shared" si="208"/>
        <v>0</v>
      </c>
      <c r="AL258" s="317">
        <f t="shared" si="209"/>
        <v>0</v>
      </c>
      <c r="AM258" s="317">
        <f t="shared" si="210"/>
        <v>0</v>
      </c>
      <c r="AN258" s="317">
        <f t="shared" si="211"/>
        <v>0</v>
      </c>
      <c r="AO258" s="317">
        <f t="shared" si="212"/>
        <v>0</v>
      </c>
      <c r="AP258" s="317">
        <f t="shared" si="213"/>
        <v>0</v>
      </c>
      <c r="AQ258" s="317">
        <f t="shared" si="214"/>
        <v>0</v>
      </c>
      <c r="AR258" s="317">
        <f t="shared" si="187"/>
        <v>0</v>
      </c>
      <c r="AS258" s="317">
        <f t="shared" si="188"/>
        <v>0</v>
      </c>
      <c r="AT258" s="317">
        <f t="shared" si="215"/>
        <v>0</v>
      </c>
      <c r="AU258" s="317">
        <f t="shared" si="216"/>
        <v>0</v>
      </c>
      <c r="AV258" s="317">
        <f t="shared" si="217"/>
        <v>0</v>
      </c>
      <c r="AW258" s="317">
        <f t="shared" si="218"/>
        <v>0</v>
      </c>
      <c r="AX258" s="317">
        <f t="shared" si="189"/>
        <v>0</v>
      </c>
      <c r="AY258" s="317">
        <f t="shared" si="190"/>
        <v>0</v>
      </c>
      <c r="AZ258" s="317">
        <f t="shared" si="191"/>
        <v>0</v>
      </c>
      <c r="BA258" s="317">
        <f t="shared" si="192"/>
        <v>0</v>
      </c>
    </row>
    <row r="259" spans="1:53" s="314" customFormat="1" ht="16.5" customHeight="1">
      <c r="A259" s="63" t="str">
        <f t="array" ref="A259">IF(C259&lt;&gt;0,SUM(($C$11:C259&lt;&gt;0)*1),"")</f>
        <v/>
      </c>
      <c r="B259" s="315"/>
      <c r="C259" s="315"/>
      <c r="D259" s="315"/>
      <c r="E259" s="433"/>
      <c r="F259" s="371"/>
      <c r="G259" s="373"/>
      <c r="H259" s="373"/>
      <c r="I259" s="63" t="str">
        <f t="shared" si="219"/>
        <v/>
      </c>
      <c r="J259" s="317">
        <f t="shared" si="181"/>
        <v>0</v>
      </c>
      <c r="K259" s="317">
        <f t="shared" si="182"/>
        <v>0</v>
      </c>
      <c r="L259" s="317">
        <f t="shared" si="193"/>
        <v>0</v>
      </c>
      <c r="M259" s="317">
        <f t="shared" si="194"/>
        <v>0</v>
      </c>
      <c r="N259" s="317">
        <f t="shared" si="174"/>
        <v>0</v>
      </c>
      <c r="O259" s="317">
        <f t="shared" si="175"/>
        <v>0</v>
      </c>
      <c r="P259" s="317">
        <f t="shared" si="195"/>
        <v>0</v>
      </c>
      <c r="Q259" s="317">
        <f t="shared" si="196"/>
        <v>0</v>
      </c>
      <c r="R259" s="317">
        <f t="shared" si="197"/>
        <v>0</v>
      </c>
      <c r="S259" s="317">
        <f t="shared" si="198"/>
        <v>0</v>
      </c>
      <c r="T259" s="317">
        <f t="shared" si="176"/>
        <v>0</v>
      </c>
      <c r="U259" s="317">
        <f t="shared" si="177"/>
        <v>0</v>
      </c>
      <c r="V259" s="317">
        <f t="shared" si="199"/>
        <v>0</v>
      </c>
      <c r="W259" s="317">
        <f t="shared" si="200"/>
        <v>0</v>
      </c>
      <c r="X259" s="317">
        <f t="shared" si="201"/>
        <v>0</v>
      </c>
      <c r="Y259" s="317">
        <f t="shared" si="202"/>
        <v>0</v>
      </c>
      <c r="Z259" s="317">
        <f t="shared" si="183"/>
        <v>0</v>
      </c>
      <c r="AA259" s="317">
        <f t="shared" si="184"/>
        <v>0</v>
      </c>
      <c r="AB259" s="317">
        <f t="shared" si="203"/>
        <v>0</v>
      </c>
      <c r="AC259" s="317">
        <f t="shared" si="204"/>
        <v>0</v>
      </c>
      <c r="AD259" s="317">
        <f t="shared" si="185"/>
        <v>0</v>
      </c>
      <c r="AE259" s="317">
        <f t="shared" si="186"/>
        <v>0</v>
      </c>
      <c r="AF259" s="317">
        <f t="shared" si="178"/>
        <v>0</v>
      </c>
      <c r="AG259" s="317">
        <f t="shared" si="179"/>
        <v>0</v>
      </c>
      <c r="AH259" s="317">
        <f t="shared" si="205"/>
        <v>0</v>
      </c>
      <c r="AI259" s="317">
        <f t="shared" si="206"/>
        <v>0</v>
      </c>
      <c r="AJ259" s="317">
        <f t="shared" si="207"/>
        <v>0</v>
      </c>
      <c r="AK259" s="317">
        <f t="shared" si="208"/>
        <v>0</v>
      </c>
      <c r="AL259" s="317">
        <f t="shared" si="209"/>
        <v>0</v>
      </c>
      <c r="AM259" s="317">
        <f t="shared" si="210"/>
        <v>0</v>
      </c>
      <c r="AN259" s="317">
        <f t="shared" si="211"/>
        <v>0</v>
      </c>
      <c r="AO259" s="317">
        <f t="shared" si="212"/>
        <v>0</v>
      </c>
      <c r="AP259" s="317">
        <f t="shared" si="213"/>
        <v>0</v>
      </c>
      <c r="AQ259" s="317">
        <f t="shared" si="214"/>
        <v>0</v>
      </c>
      <c r="AR259" s="317">
        <f t="shared" si="187"/>
        <v>0</v>
      </c>
      <c r="AS259" s="317">
        <f t="shared" si="188"/>
        <v>0</v>
      </c>
      <c r="AT259" s="317">
        <f t="shared" si="215"/>
        <v>0</v>
      </c>
      <c r="AU259" s="317">
        <f t="shared" si="216"/>
        <v>0</v>
      </c>
      <c r="AV259" s="317">
        <f t="shared" si="217"/>
        <v>0</v>
      </c>
      <c r="AW259" s="317">
        <f t="shared" si="218"/>
        <v>0</v>
      </c>
      <c r="AX259" s="317">
        <f t="shared" si="189"/>
        <v>0</v>
      </c>
      <c r="AY259" s="317">
        <f t="shared" si="190"/>
        <v>0</v>
      </c>
      <c r="AZ259" s="317">
        <f t="shared" si="191"/>
        <v>0</v>
      </c>
      <c r="BA259" s="317">
        <f t="shared" si="192"/>
        <v>0</v>
      </c>
    </row>
    <row r="260" spans="1:53" s="314" customFormat="1" ht="16.5" customHeight="1">
      <c r="A260" s="63" t="str">
        <f t="array" ref="A260">IF(C260&lt;&gt;0,SUM(($C$11:C260&lt;&gt;0)*1),"")</f>
        <v/>
      </c>
      <c r="B260" s="315"/>
      <c r="C260" s="315"/>
      <c r="D260" s="315"/>
      <c r="E260" s="433"/>
      <c r="F260" s="371"/>
      <c r="G260" s="373"/>
      <c r="H260" s="373"/>
      <c r="I260" s="63" t="str">
        <f t="shared" si="219"/>
        <v/>
      </c>
      <c r="J260" s="317">
        <f t="shared" si="181"/>
        <v>0</v>
      </c>
      <c r="K260" s="317">
        <f t="shared" si="182"/>
        <v>0</v>
      </c>
      <c r="L260" s="317">
        <f t="shared" si="193"/>
        <v>0</v>
      </c>
      <c r="M260" s="317">
        <f t="shared" si="194"/>
        <v>0</v>
      </c>
      <c r="N260" s="317">
        <f t="shared" si="174"/>
        <v>0</v>
      </c>
      <c r="O260" s="317">
        <f t="shared" si="175"/>
        <v>0</v>
      </c>
      <c r="P260" s="317">
        <f t="shared" si="195"/>
        <v>0</v>
      </c>
      <c r="Q260" s="317">
        <f t="shared" si="196"/>
        <v>0</v>
      </c>
      <c r="R260" s="317">
        <f t="shared" si="197"/>
        <v>0</v>
      </c>
      <c r="S260" s="317">
        <f t="shared" si="198"/>
        <v>0</v>
      </c>
      <c r="T260" s="317">
        <f t="shared" si="176"/>
        <v>0</v>
      </c>
      <c r="U260" s="317">
        <f t="shared" si="177"/>
        <v>0</v>
      </c>
      <c r="V260" s="317">
        <f t="shared" si="199"/>
        <v>0</v>
      </c>
      <c r="W260" s="317">
        <f t="shared" si="200"/>
        <v>0</v>
      </c>
      <c r="X260" s="317">
        <f t="shared" si="201"/>
        <v>0</v>
      </c>
      <c r="Y260" s="317">
        <f t="shared" si="202"/>
        <v>0</v>
      </c>
      <c r="Z260" s="317">
        <f t="shared" si="183"/>
        <v>0</v>
      </c>
      <c r="AA260" s="317">
        <f t="shared" si="184"/>
        <v>0</v>
      </c>
      <c r="AB260" s="317">
        <f t="shared" si="203"/>
        <v>0</v>
      </c>
      <c r="AC260" s="317">
        <f t="shared" si="204"/>
        <v>0</v>
      </c>
      <c r="AD260" s="317">
        <f t="shared" si="185"/>
        <v>0</v>
      </c>
      <c r="AE260" s="317">
        <f t="shared" si="186"/>
        <v>0</v>
      </c>
      <c r="AF260" s="317">
        <f t="shared" si="178"/>
        <v>0</v>
      </c>
      <c r="AG260" s="317">
        <f t="shared" si="179"/>
        <v>0</v>
      </c>
      <c r="AH260" s="317">
        <f t="shared" si="205"/>
        <v>0</v>
      </c>
      <c r="AI260" s="317">
        <f t="shared" si="206"/>
        <v>0</v>
      </c>
      <c r="AJ260" s="317">
        <f t="shared" si="207"/>
        <v>0</v>
      </c>
      <c r="AK260" s="317">
        <f t="shared" si="208"/>
        <v>0</v>
      </c>
      <c r="AL260" s="317">
        <f t="shared" si="209"/>
        <v>0</v>
      </c>
      <c r="AM260" s="317">
        <f t="shared" si="210"/>
        <v>0</v>
      </c>
      <c r="AN260" s="317">
        <f t="shared" si="211"/>
        <v>0</v>
      </c>
      <c r="AO260" s="317">
        <f t="shared" si="212"/>
        <v>0</v>
      </c>
      <c r="AP260" s="317">
        <f t="shared" si="213"/>
        <v>0</v>
      </c>
      <c r="AQ260" s="317">
        <f t="shared" si="214"/>
        <v>0</v>
      </c>
      <c r="AR260" s="317">
        <f t="shared" si="187"/>
        <v>0</v>
      </c>
      <c r="AS260" s="317">
        <f t="shared" si="188"/>
        <v>0</v>
      </c>
      <c r="AT260" s="317">
        <f t="shared" si="215"/>
        <v>0</v>
      </c>
      <c r="AU260" s="317">
        <f t="shared" si="216"/>
        <v>0</v>
      </c>
      <c r="AV260" s="317">
        <f t="shared" si="217"/>
        <v>0</v>
      </c>
      <c r="AW260" s="317">
        <f t="shared" si="218"/>
        <v>0</v>
      </c>
      <c r="AX260" s="317">
        <f t="shared" si="189"/>
        <v>0</v>
      </c>
      <c r="AY260" s="317">
        <f t="shared" si="190"/>
        <v>0</v>
      </c>
      <c r="AZ260" s="317">
        <f t="shared" si="191"/>
        <v>0</v>
      </c>
      <c r="BA260" s="317">
        <f t="shared" si="192"/>
        <v>0</v>
      </c>
    </row>
    <row r="261" spans="1:53" s="314" customFormat="1" ht="16.5" customHeight="1">
      <c r="A261" s="63" t="str">
        <f t="array" ref="A261">IF(C261&lt;&gt;0,SUM(($C$11:C261&lt;&gt;0)*1),"")</f>
        <v/>
      </c>
      <c r="B261" s="315"/>
      <c r="C261" s="315"/>
      <c r="D261" s="315"/>
      <c r="E261" s="433"/>
      <c r="F261" s="371"/>
      <c r="G261" s="373"/>
      <c r="H261" s="373"/>
      <c r="I261" s="63" t="str">
        <f t="shared" si="219"/>
        <v/>
      </c>
      <c r="J261" s="317">
        <f t="shared" si="181"/>
        <v>0</v>
      </c>
      <c r="K261" s="317">
        <f t="shared" si="182"/>
        <v>0</v>
      </c>
      <c r="L261" s="317">
        <f t="shared" si="193"/>
        <v>0</v>
      </c>
      <c r="M261" s="317">
        <f t="shared" si="194"/>
        <v>0</v>
      </c>
      <c r="N261" s="317">
        <f t="shared" si="174"/>
        <v>0</v>
      </c>
      <c r="O261" s="317">
        <f t="shared" si="175"/>
        <v>0</v>
      </c>
      <c r="P261" s="317">
        <f t="shared" si="195"/>
        <v>0</v>
      </c>
      <c r="Q261" s="317">
        <f t="shared" si="196"/>
        <v>0</v>
      </c>
      <c r="R261" s="317">
        <f t="shared" si="197"/>
        <v>0</v>
      </c>
      <c r="S261" s="317">
        <f t="shared" si="198"/>
        <v>0</v>
      </c>
      <c r="T261" s="317">
        <f t="shared" si="176"/>
        <v>0</v>
      </c>
      <c r="U261" s="317">
        <f t="shared" si="177"/>
        <v>0</v>
      </c>
      <c r="V261" s="317">
        <f t="shared" si="199"/>
        <v>0</v>
      </c>
      <c r="W261" s="317">
        <f t="shared" si="200"/>
        <v>0</v>
      </c>
      <c r="X261" s="317">
        <f t="shared" si="201"/>
        <v>0</v>
      </c>
      <c r="Y261" s="317">
        <f t="shared" si="202"/>
        <v>0</v>
      </c>
      <c r="Z261" s="317">
        <f t="shared" si="183"/>
        <v>0</v>
      </c>
      <c r="AA261" s="317">
        <f t="shared" si="184"/>
        <v>0</v>
      </c>
      <c r="AB261" s="317">
        <f t="shared" si="203"/>
        <v>0</v>
      </c>
      <c r="AC261" s="317">
        <f t="shared" si="204"/>
        <v>0</v>
      </c>
      <c r="AD261" s="317">
        <f t="shared" si="185"/>
        <v>0</v>
      </c>
      <c r="AE261" s="317">
        <f t="shared" si="186"/>
        <v>0</v>
      </c>
      <c r="AF261" s="317">
        <f t="shared" si="178"/>
        <v>0</v>
      </c>
      <c r="AG261" s="317">
        <f t="shared" si="179"/>
        <v>0</v>
      </c>
      <c r="AH261" s="317">
        <f t="shared" si="205"/>
        <v>0</v>
      </c>
      <c r="AI261" s="317">
        <f t="shared" si="206"/>
        <v>0</v>
      </c>
      <c r="AJ261" s="317">
        <f t="shared" si="207"/>
        <v>0</v>
      </c>
      <c r="AK261" s="317">
        <f t="shared" si="208"/>
        <v>0</v>
      </c>
      <c r="AL261" s="317">
        <f t="shared" si="209"/>
        <v>0</v>
      </c>
      <c r="AM261" s="317">
        <f t="shared" si="210"/>
        <v>0</v>
      </c>
      <c r="AN261" s="317">
        <f t="shared" si="211"/>
        <v>0</v>
      </c>
      <c r="AO261" s="317">
        <f t="shared" si="212"/>
        <v>0</v>
      </c>
      <c r="AP261" s="317">
        <f t="shared" si="213"/>
        <v>0</v>
      </c>
      <c r="AQ261" s="317">
        <f t="shared" si="214"/>
        <v>0</v>
      </c>
      <c r="AR261" s="317">
        <f t="shared" si="187"/>
        <v>0</v>
      </c>
      <c r="AS261" s="317">
        <f t="shared" si="188"/>
        <v>0</v>
      </c>
      <c r="AT261" s="317">
        <f t="shared" si="215"/>
        <v>0</v>
      </c>
      <c r="AU261" s="317">
        <f t="shared" si="216"/>
        <v>0</v>
      </c>
      <c r="AV261" s="317">
        <f t="shared" si="217"/>
        <v>0</v>
      </c>
      <c r="AW261" s="317">
        <f t="shared" si="218"/>
        <v>0</v>
      </c>
      <c r="AX261" s="317">
        <f t="shared" si="189"/>
        <v>0</v>
      </c>
      <c r="AY261" s="317">
        <f t="shared" si="190"/>
        <v>0</v>
      </c>
      <c r="AZ261" s="317">
        <f t="shared" si="191"/>
        <v>0</v>
      </c>
      <c r="BA261" s="317">
        <f t="shared" si="192"/>
        <v>0</v>
      </c>
    </row>
    <row r="262" spans="1:53" s="314" customFormat="1" ht="16.5" customHeight="1">
      <c r="A262" s="63" t="str">
        <f t="array" ref="A262">IF(C262&lt;&gt;0,SUM(($C$11:C262&lt;&gt;0)*1),"")</f>
        <v/>
      </c>
      <c r="B262" s="315"/>
      <c r="C262" s="315"/>
      <c r="D262" s="315"/>
      <c r="E262" s="433"/>
      <c r="F262" s="371"/>
      <c r="G262" s="373"/>
      <c r="H262" s="373"/>
      <c r="I262" s="63" t="str">
        <f t="shared" si="219"/>
        <v/>
      </c>
      <c r="J262" s="317">
        <f t="shared" si="181"/>
        <v>0</v>
      </c>
      <c r="K262" s="317">
        <f t="shared" si="182"/>
        <v>0</v>
      </c>
      <c r="L262" s="317">
        <f t="shared" si="193"/>
        <v>0</v>
      </c>
      <c r="M262" s="317">
        <f t="shared" si="194"/>
        <v>0</v>
      </c>
      <c r="N262" s="317">
        <f t="shared" si="174"/>
        <v>0</v>
      </c>
      <c r="O262" s="317">
        <f t="shared" si="175"/>
        <v>0</v>
      </c>
      <c r="P262" s="317">
        <f t="shared" si="195"/>
        <v>0</v>
      </c>
      <c r="Q262" s="317">
        <f t="shared" si="196"/>
        <v>0</v>
      </c>
      <c r="R262" s="317">
        <f t="shared" si="197"/>
        <v>0</v>
      </c>
      <c r="S262" s="317">
        <f t="shared" si="198"/>
        <v>0</v>
      </c>
      <c r="T262" s="317">
        <f t="shared" si="176"/>
        <v>0</v>
      </c>
      <c r="U262" s="317">
        <f t="shared" si="177"/>
        <v>0</v>
      </c>
      <c r="V262" s="317">
        <f t="shared" si="199"/>
        <v>0</v>
      </c>
      <c r="W262" s="317">
        <f t="shared" si="200"/>
        <v>0</v>
      </c>
      <c r="X262" s="317">
        <f t="shared" si="201"/>
        <v>0</v>
      </c>
      <c r="Y262" s="317">
        <f t="shared" si="202"/>
        <v>0</v>
      </c>
      <c r="Z262" s="317">
        <f t="shared" si="183"/>
        <v>0</v>
      </c>
      <c r="AA262" s="317">
        <f t="shared" si="184"/>
        <v>0</v>
      </c>
      <c r="AB262" s="317">
        <f t="shared" si="203"/>
        <v>0</v>
      </c>
      <c r="AC262" s="317">
        <f t="shared" si="204"/>
        <v>0</v>
      </c>
      <c r="AD262" s="317">
        <f t="shared" si="185"/>
        <v>0</v>
      </c>
      <c r="AE262" s="317">
        <f t="shared" si="186"/>
        <v>0</v>
      </c>
      <c r="AF262" s="317">
        <f t="shared" si="178"/>
        <v>0</v>
      </c>
      <c r="AG262" s="317">
        <f t="shared" si="179"/>
        <v>0</v>
      </c>
      <c r="AH262" s="317">
        <f t="shared" si="205"/>
        <v>0</v>
      </c>
      <c r="AI262" s="317">
        <f t="shared" si="206"/>
        <v>0</v>
      </c>
      <c r="AJ262" s="317">
        <f t="shared" si="207"/>
        <v>0</v>
      </c>
      <c r="AK262" s="317">
        <f t="shared" si="208"/>
        <v>0</v>
      </c>
      <c r="AL262" s="317">
        <f t="shared" si="209"/>
        <v>0</v>
      </c>
      <c r="AM262" s="317">
        <f t="shared" si="210"/>
        <v>0</v>
      </c>
      <c r="AN262" s="317">
        <f t="shared" si="211"/>
        <v>0</v>
      </c>
      <c r="AO262" s="317">
        <f t="shared" si="212"/>
        <v>0</v>
      </c>
      <c r="AP262" s="317">
        <f t="shared" si="213"/>
        <v>0</v>
      </c>
      <c r="AQ262" s="317">
        <f t="shared" si="214"/>
        <v>0</v>
      </c>
      <c r="AR262" s="317">
        <f t="shared" si="187"/>
        <v>0</v>
      </c>
      <c r="AS262" s="317">
        <f t="shared" si="188"/>
        <v>0</v>
      </c>
      <c r="AT262" s="317">
        <f t="shared" si="215"/>
        <v>0</v>
      </c>
      <c r="AU262" s="317">
        <f t="shared" si="216"/>
        <v>0</v>
      </c>
      <c r="AV262" s="317">
        <f t="shared" si="217"/>
        <v>0</v>
      </c>
      <c r="AW262" s="317">
        <f t="shared" si="218"/>
        <v>0</v>
      </c>
      <c r="AX262" s="317">
        <f t="shared" si="189"/>
        <v>0</v>
      </c>
      <c r="AY262" s="317">
        <f t="shared" si="190"/>
        <v>0</v>
      </c>
      <c r="AZ262" s="317">
        <f t="shared" si="191"/>
        <v>0</v>
      </c>
      <c r="BA262" s="317">
        <f t="shared" si="192"/>
        <v>0</v>
      </c>
    </row>
    <row r="263" spans="1:53" s="314" customFormat="1" ht="16.5" customHeight="1">
      <c r="A263" s="63" t="str">
        <f t="array" ref="A263">IF(C263&lt;&gt;0,SUM(($C$11:C263&lt;&gt;0)*1),"")</f>
        <v/>
      </c>
      <c r="B263" s="315"/>
      <c r="C263" s="315"/>
      <c r="D263" s="315"/>
      <c r="E263" s="433"/>
      <c r="F263" s="371"/>
      <c r="G263" s="373"/>
      <c r="H263" s="373"/>
      <c r="I263" s="63" t="str">
        <f t="shared" si="219"/>
        <v/>
      </c>
      <c r="J263" s="317">
        <f t="shared" si="181"/>
        <v>0</v>
      </c>
      <c r="K263" s="317">
        <f t="shared" si="182"/>
        <v>0</v>
      </c>
      <c r="L263" s="317">
        <f t="shared" si="193"/>
        <v>0</v>
      </c>
      <c r="M263" s="317">
        <f t="shared" si="194"/>
        <v>0</v>
      </c>
      <c r="N263" s="317">
        <f t="shared" si="174"/>
        <v>0</v>
      </c>
      <c r="O263" s="317">
        <f t="shared" si="175"/>
        <v>0</v>
      </c>
      <c r="P263" s="317">
        <f t="shared" si="195"/>
        <v>0</v>
      </c>
      <c r="Q263" s="317">
        <f t="shared" si="196"/>
        <v>0</v>
      </c>
      <c r="R263" s="317">
        <f t="shared" si="197"/>
        <v>0</v>
      </c>
      <c r="S263" s="317">
        <f t="shared" si="198"/>
        <v>0</v>
      </c>
      <c r="T263" s="317">
        <f t="shared" si="176"/>
        <v>0</v>
      </c>
      <c r="U263" s="317">
        <f t="shared" si="177"/>
        <v>0</v>
      </c>
      <c r="V263" s="317">
        <f t="shared" si="199"/>
        <v>0</v>
      </c>
      <c r="W263" s="317">
        <f t="shared" si="200"/>
        <v>0</v>
      </c>
      <c r="X263" s="317">
        <f t="shared" si="201"/>
        <v>0</v>
      </c>
      <c r="Y263" s="317">
        <f t="shared" si="202"/>
        <v>0</v>
      </c>
      <c r="Z263" s="317">
        <f t="shared" si="183"/>
        <v>0</v>
      </c>
      <c r="AA263" s="317">
        <f t="shared" si="184"/>
        <v>0</v>
      </c>
      <c r="AB263" s="317">
        <f t="shared" si="203"/>
        <v>0</v>
      </c>
      <c r="AC263" s="317">
        <f t="shared" si="204"/>
        <v>0</v>
      </c>
      <c r="AD263" s="317">
        <f t="shared" si="185"/>
        <v>0</v>
      </c>
      <c r="AE263" s="317">
        <f t="shared" si="186"/>
        <v>0</v>
      </c>
      <c r="AF263" s="317">
        <f t="shared" si="178"/>
        <v>0</v>
      </c>
      <c r="AG263" s="317">
        <f t="shared" si="179"/>
        <v>0</v>
      </c>
      <c r="AH263" s="317">
        <f t="shared" si="205"/>
        <v>0</v>
      </c>
      <c r="AI263" s="317">
        <f t="shared" si="206"/>
        <v>0</v>
      </c>
      <c r="AJ263" s="317">
        <f t="shared" si="207"/>
        <v>0</v>
      </c>
      <c r="AK263" s="317">
        <f t="shared" si="208"/>
        <v>0</v>
      </c>
      <c r="AL263" s="317">
        <f t="shared" si="209"/>
        <v>0</v>
      </c>
      <c r="AM263" s="317">
        <f t="shared" si="210"/>
        <v>0</v>
      </c>
      <c r="AN263" s="317">
        <f t="shared" si="211"/>
        <v>0</v>
      </c>
      <c r="AO263" s="317">
        <f t="shared" si="212"/>
        <v>0</v>
      </c>
      <c r="AP263" s="317">
        <f t="shared" si="213"/>
        <v>0</v>
      </c>
      <c r="AQ263" s="317">
        <f t="shared" si="214"/>
        <v>0</v>
      </c>
      <c r="AR263" s="317">
        <f t="shared" si="187"/>
        <v>0</v>
      </c>
      <c r="AS263" s="317">
        <f t="shared" si="188"/>
        <v>0</v>
      </c>
      <c r="AT263" s="317">
        <f t="shared" si="215"/>
        <v>0</v>
      </c>
      <c r="AU263" s="317">
        <f t="shared" si="216"/>
        <v>0</v>
      </c>
      <c r="AV263" s="317">
        <f t="shared" si="217"/>
        <v>0</v>
      </c>
      <c r="AW263" s="317">
        <f t="shared" si="218"/>
        <v>0</v>
      </c>
      <c r="AX263" s="317">
        <f t="shared" si="189"/>
        <v>0</v>
      </c>
      <c r="AY263" s="317">
        <f t="shared" si="190"/>
        <v>0</v>
      </c>
      <c r="AZ263" s="317">
        <f t="shared" si="191"/>
        <v>0</v>
      </c>
      <c r="BA263" s="317">
        <f t="shared" si="192"/>
        <v>0</v>
      </c>
    </row>
    <row r="264" spans="1:53" s="314" customFormat="1" ht="16.5" customHeight="1">
      <c r="A264" s="63" t="str">
        <f t="array" ref="A264">IF(C264&lt;&gt;0,SUM(($C$11:C264&lt;&gt;0)*1),"")</f>
        <v/>
      </c>
      <c r="B264" s="315"/>
      <c r="C264" s="315"/>
      <c r="D264" s="315"/>
      <c r="E264" s="433"/>
      <c r="F264" s="371"/>
      <c r="G264" s="373"/>
      <c r="H264" s="373"/>
      <c r="I264" s="63" t="str">
        <f t="shared" si="219"/>
        <v/>
      </c>
      <c r="J264" s="317">
        <f t="shared" si="181"/>
        <v>0</v>
      </c>
      <c r="K264" s="317">
        <f t="shared" si="182"/>
        <v>0</v>
      </c>
      <c r="L264" s="317">
        <f t="shared" si="193"/>
        <v>0</v>
      </c>
      <c r="M264" s="317">
        <f t="shared" si="194"/>
        <v>0</v>
      </c>
      <c r="N264" s="317">
        <f t="shared" si="174"/>
        <v>0</v>
      </c>
      <c r="O264" s="317">
        <f t="shared" si="175"/>
        <v>0</v>
      </c>
      <c r="P264" s="317">
        <f t="shared" si="195"/>
        <v>0</v>
      </c>
      <c r="Q264" s="317">
        <f t="shared" si="196"/>
        <v>0</v>
      </c>
      <c r="R264" s="317">
        <f t="shared" si="197"/>
        <v>0</v>
      </c>
      <c r="S264" s="317">
        <f t="shared" si="198"/>
        <v>0</v>
      </c>
      <c r="T264" s="317">
        <f t="shared" si="176"/>
        <v>0</v>
      </c>
      <c r="U264" s="317">
        <f t="shared" si="177"/>
        <v>0</v>
      </c>
      <c r="V264" s="317">
        <f t="shared" si="199"/>
        <v>0</v>
      </c>
      <c r="W264" s="317">
        <f t="shared" si="200"/>
        <v>0</v>
      </c>
      <c r="X264" s="317">
        <f t="shared" si="201"/>
        <v>0</v>
      </c>
      <c r="Y264" s="317">
        <f t="shared" si="202"/>
        <v>0</v>
      </c>
      <c r="Z264" s="317">
        <f t="shared" si="183"/>
        <v>0</v>
      </c>
      <c r="AA264" s="317">
        <f t="shared" si="184"/>
        <v>0</v>
      </c>
      <c r="AB264" s="317">
        <f t="shared" si="203"/>
        <v>0</v>
      </c>
      <c r="AC264" s="317">
        <f t="shared" si="204"/>
        <v>0</v>
      </c>
      <c r="AD264" s="317">
        <f t="shared" si="185"/>
        <v>0</v>
      </c>
      <c r="AE264" s="317">
        <f t="shared" si="186"/>
        <v>0</v>
      </c>
      <c r="AF264" s="317">
        <f t="shared" si="178"/>
        <v>0</v>
      </c>
      <c r="AG264" s="317">
        <f t="shared" si="179"/>
        <v>0</v>
      </c>
      <c r="AH264" s="317">
        <f t="shared" si="205"/>
        <v>0</v>
      </c>
      <c r="AI264" s="317">
        <f t="shared" si="206"/>
        <v>0</v>
      </c>
      <c r="AJ264" s="317">
        <f t="shared" si="207"/>
        <v>0</v>
      </c>
      <c r="AK264" s="317">
        <f t="shared" si="208"/>
        <v>0</v>
      </c>
      <c r="AL264" s="317">
        <f t="shared" si="209"/>
        <v>0</v>
      </c>
      <c r="AM264" s="317">
        <f t="shared" si="210"/>
        <v>0</v>
      </c>
      <c r="AN264" s="317">
        <f t="shared" si="211"/>
        <v>0</v>
      </c>
      <c r="AO264" s="317">
        <f t="shared" si="212"/>
        <v>0</v>
      </c>
      <c r="AP264" s="317">
        <f t="shared" si="213"/>
        <v>0</v>
      </c>
      <c r="AQ264" s="317">
        <f t="shared" si="214"/>
        <v>0</v>
      </c>
      <c r="AR264" s="317">
        <f t="shared" si="187"/>
        <v>0</v>
      </c>
      <c r="AS264" s="317">
        <f t="shared" si="188"/>
        <v>0</v>
      </c>
      <c r="AT264" s="317">
        <f t="shared" si="215"/>
        <v>0</v>
      </c>
      <c r="AU264" s="317">
        <f t="shared" si="216"/>
        <v>0</v>
      </c>
      <c r="AV264" s="317">
        <f t="shared" si="217"/>
        <v>0</v>
      </c>
      <c r="AW264" s="317">
        <f t="shared" si="218"/>
        <v>0</v>
      </c>
      <c r="AX264" s="317">
        <f t="shared" si="189"/>
        <v>0</v>
      </c>
      <c r="AY264" s="317">
        <f t="shared" si="190"/>
        <v>0</v>
      </c>
      <c r="AZ264" s="317">
        <f t="shared" si="191"/>
        <v>0</v>
      </c>
      <c r="BA264" s="317">
        <f t="shared" si="192"/>
        <v>0</v>
      </c>
    </row>
    <row r="265" spans="1:53" s="314" customFormat="1" ht="16.5" customHeight="1">
      <c r="A265" s="63" t="str">
        <f t="array" ref="A265">IF(C265&lt;&gt;0,SUM(($C$11:C265&lt;&gt;0)*1),"")</f>
        <v/>
      </c>
      <c r="B265" s="315"/>
      <c r="C265" s="315"/>
      <c r="D265" s="315"/>
      <c r="E265" s="433"/>
      <c r="F265" s="371"/>
      <c r="G265" s="373"/>
      <c r="H265" s="373"/>
      <c r="I265" s="63" t="str">
        <f t="shared" si="219"/>
        <v/>
      </c>
      <c r="J265" s="317">
        <f t="shared" si="181"/>
        <v>0</v>
      </c>
      <c r="K265" s="317">
        <f t="shared" si="182"/>
        <v>0</v>
      </c>
      <c r="L265" s="317">
        <f t="shared" si="193"/>
        <v>0</v>
      </c>
      <c r="M265" s="317">
        <f t="shared" si="194"/>
        <v>0</v>
      </c>
      <c r="N265" s="317">
        <f t="shared" si="174"/>
        <v>0</v>
      </c>
      <c r="O265" s="317">
        <f t="shared" si="175"/>
        <v>0</v>
      </c>
      <c r="P265" s="317">
        <f t="shared" si="195"/>
        <v>0</v>
      </c>
      <c r="Q265" s="317">
        <f t="shared" si="196"/>
        <v>0</v>
      </c>
      <c r="R265" s="317">
        <f t="shared" si="197"/>
        <v>0</v>
      </c>
      <c r="S265" s="317">
        <f t="shared" si="198"/>
        <v>0</v>
      </c>
      <c r="T265" s="317">
        <f t="shared" si="176"/>
        <v>0</v>
      </c>
      <c r="U265" s="317">
        <f t="shared" si="177"/>
        <v>0</v>
      </c>
      <c r="V265" s="317">
        <f t="shared" si="199"/>
        <v>0</v>
      </c>
      <c r="W265" s="317">
        <f t="shared" si="200"/>
        <v>0</v>
      </c>
      <c r="X265" s="317">
        <f t="shared" si="201"/>
        <v>0</v>
      </c>
      <c r="Y265" s="317">
        <f t="shared" si="202"/>
        <v>0</v>
      </c>
      <c r="Z265" s="317">
        <f t="shared" si="183"/>
        <v>0</v>
      </c>
      <c r="AA265" s="317">
        <f t="shared" si="184"/>
        <v>0</v>
      </c>
      <c r="AB265" s="317">
        <f t="shared" si="203"/>
        <v>0</v>
      </c>
      <c r="AC265" s="317">
        <f t="shared" si="204"/>
        <v>0</v>
      </c>
      <c r="AD265" s="317">
        <f t="shared" si="185"/>
        <v>0</v>
      </c>
      <c r="AE265" s="317">
        <f t="shared" si="186"/>
        <v>0</v>
      </c>
      <c r="AF265" s="317">
        <f t="shared" si="178"/>
        <v>0</v>
      </c>
      <c r="AG265" s="317">
        <f t="shared" si="179"/>
        <v>0</v>
      </c>
      <c r="AH265" s="317">
        <f t="shared" si="205"/>
        <v>0</v>
      </c>
      <c r="AI265" s="317">
        <f t="shared" si="206"/>
        <v>0</v>
      </c>
      <c r="AJ265" s="317">
        <f t="shared" si="207"/>
        <v>0</v>
      </c>
      <c r="AK265" s="317">
        <f t="shared" si="208"/>
        <v>0</v>
      </c>
      <c r="AL265" s="317">
        <f t="shared" si="209"/>
        <v>0</v>
      </c>
      <c r="AM265" s="317">
        <f t="shared" si="210"/>
        <v>0</v>
      </c>
      <c r="AN265" s="317">
        <f t="shared" si="211"/>
        <v>0</v>
      </c>
      <c r="AO265" s="317">
        <f t="shared" si="212"/>
        <v>0</v>
      </c>
      <c r="AP265" s="317">
        <f t="shared" si="213"/>
        <v>0</v>
      </c>
      <c r="AQ265" s="317">
        <f t="shared" si="214"/>
        <v>0</v>
      </c>
      <c r="AR265" s="317">
        <f t="shared" si="187"/>
        <v>0</v>
      </c>
      <c r="AS265" s="317">
        <f t="shared" si="188"/>
        <v>0</v>
      </c>
      <c r="AT265" s="317">
        <f t="shared" si="215"/>
        <v>0</v>
      </c>
      <c r="AU265" s="317">
        <f t="shared" si="216"/>
        <v>0</v>
      </c>
      <c r="AV265" s="317">
        <f t="shared" si="217"/>
        <v>0</v>
      </c>
      <c r="AW265" s="317">
        <f t="shared" si="218"/>
        <v>0</v>
      </c>
      <c r="AX265" s="317">
        <f t="shared" si="189"/>
        <v>0</v>
      </c>
      <c r="AY265" s="317">
        <f t="shared" si="190"/>
        <v>0</v>
      </c>
      <c r="AZ265" s="317">
        <f t="shared" si="191"/>
        <v>0</v>
      </c>
      <c r="BA265" s="317">
        <f t="shared" si="192"/>
        <v>0</v>
      </c>
    </row>
    <row r="266" spans="1:53" s="314" customFormat="1" ht="16.5" customHeight="1">
      <c r="A266" s="63" t="str">
        <f t="array" ref="A266">IF(C266&lt;&gt;0,SUM(($C$11:C266&lt;&gt;0)*1),"")</f>
        <v/>
      </c>
      <c r="B266" s="315"/>
      <c r="C266" s="315"/>
      <c r="D266" s="315"/>
      <c r="E266" s="433"/>
      <c r="F266" s="371"/>
      <c r="G266" s="373"/>
      <c r="H266" s="373"/>
      <c r="I266" s="63" t="str">
        <f t="shared" si="219"/>
        <v/>
      </c>
      <c r="J266" s="317">
        <f t="shared" si="181"/>
        <v>0</v>
      </c>
      <c r="K266" s="317">
        <f t="shared" si="182"/>
        <v>0</v>
      </c>
      <c r="L266" s="317">
        <f t="shared" si="193"/>
        <v>0</v>
      </c>
      <c r="M266" s="317">
        <f t="shared" si="194"/>
        <v>0</v>
      </c>
      <c r="N266" s="317">
        <f t="shared" si="174"/>
        <v>0</v>
      </c>
      <c r="O266" s="317">
        <f t="shared" si="175"/>
        <v>0</v>
      </c>
      <c r="P266" s="317">
        <f t="shared" si="195"/>
        <v>0</v>
      </c>
      <c r="Q266" s="317">
        <f t="shared" si="196"/>
        <v>0</v>
      </c>
      <c r="R266" s="317">
        <f t="shared" si="197"/>
        <v>0</v>
      </c>
      <c r="S266" s="317">
        <f t="shared" si="198"/>
        <v>0</v>
      </c>
      <c r="T266" s="317">
        <f t="shared" si="176"/>
        <v>0</v>
      </c>
      <c r="U266" s="317">
        <f t="shared" si="177"/>
        <v>0</v>
      </c>
      <c r="V266" s="317">
        <f t="shared" si="199"/>
        <v>0</v>
      </c>
      <c r="W266" s="317">
        <f t="shared" si="200"/>
        <v>0</v>
      </c>
      <c r="X266" s="317">
        <f t="shared" si="201"/>
        <v>0</v>
      </c>
      <c r="Y266" s="317">
        <f t="shared" si="202"/>
        <v>0</v>
      </c>
      <c r="Z266" s="317">
        <f t="shared" si="183"/>
        <v>0</v>
      </c>
      <c r="AA266" s="317">
        <f t="shared" si="184"/>
        <v>0</v>
      </c>
      <c r="AB266" s="317">
        <f t="shared" si="203"/>
        <v>0</v>
      </c>
      <c r="AC266" s="317">
        <f t="shared" si="204"/>
        <v>0</v>
      </c>
      <c r="AD266" s="317">
        <f t="shared" si="185"/>
        <v>0</v>
      </c>
      <c r="AE266" s="317">
        <f t="shared" si="186"/>
        <v>0</v>
      </c>
      <c r="AF266" s="317">
        <f t="shared" si="178"/>
        <v>0</v>
      </c>
      <c r="AG266" s="317">
        <f t="shared" si="179"/>
        <v>0</v>
      </c>
      <c r="AH266" s="317">
        <f t="shared" si="205"/>
        <v>0</v>
      </c>
      <c r="AI266" s="317">
        <f t="shared" si="206"/>
        <v>0</v>
      </c>
      <c r="AJ266" s="317">
        <f t="shared" si="207"/>
        <v>0</v>
      </c>
      <c r="AK266" s="317">
        <f t="shared" si="208"/>
        <v>0</v>
      </c>
      <c r="AL266" s="317">
        <f t="shared" si="209"/>
        <v>0</v>
      </c>
      <c r="AM266" s="317">
        <f t="shared" si="210"/>
        <v>0</v>
      </c>
      <c r="AN266" s="317">
        <f t="shared" si="211"/>
        <v>0</v>
      </c>
      <c r="AO266" s="317">
        <f t="shared" si="212"/>
        <v>0</v>
      </c>
      <c r="AP266" s="317">
        <f t="shared" si="213"/>
        <v>0</v>
      </c>
      <c r="AQ266" s="317">
        <f t="shared" si="214"/>
        <v>0</v>
      </c>
      <c r="AR266" s="317">
        <f t="shared" si="187"/>
        <v>0</v>
      </c>
      <c r="AS266" s="317">
        <f t="shared" si="188"/>
        <v>0</v>
      </c>
      <c r="AT266" s="317">
        <f t="shared" si="215"/>
        <v>0</v>
      </c>
      <c r="AU266" s="317">
        <f t="shared" si="216"/>
        <v>0</v>
      </c>
      <c r="AV266" s="317">
        <f t="shared" si="217"/>
        <v>0</v>
      </c>
      <c r="AW266" s="317">
        <f t="shared" si="218"/>
        <v>0</v>
      </c>
      <c r="AX266" s="317">
        <f t="shared" si="189"/>
        <v>0</v>
      </c>
      <c r="AY266" s="317">
        <f t="shared" si="190"/>
        <v>0</v>
      </c>
      <c r="AZ266" s="317">
        <f t="shared" si="191"/>
        <v>0</v>
      </c>
      <c r="BA266" s="317">
        <f t="shared" si="192"/>
        <v>0</v>
      </c>
    </row>
    <row r="267" spans="1:53" s="314" customFormat="1" ht="16.5" customHeight="1">
      <c r="A267" s="63" t="str">
        <f t="array" ref="A267">IF(C267&lt;&gt;0,SUM(($C$11:C267&lt;&gt;0)*1),"")</f>
        <v/>
      </c>
      <c r="B267" s="315"/>
      <c r="C267" s="315"/>
      <c r="D267" s="315"/>
      <c r="E267" s="433"/>
      <c r="F267" s="371"/>
      <c r="G267" s="373"/>
      <c r="H267" s="373"/>
      <c r="I267" s="63" t="str">
        <f t="shared" si="219"/>
        <v/>
      </c>
      <c r="J267" s="317">
        <f t="shared" si="181"/>
        <v>0</v>
      </c>
      <c r="K267" s="317">
        <f t="shared" si="182"/>
        <v>0</v>
      </c>
      <c r="L267" s="317">
        <f t="shared" si="193"/>
        <v>0</v>
      </c>
      <c r="M267" s="317">
        <f t="shared" si="194"/>
        <v>0</v>
      </c>
      <c r="N267" s="317">
        <f t="shared" si="174"/>
        <v>0</v>
      </c>
      <c r="O267" s="317">
        <f t="shared" si="175"/>
        <v>0</v>
      </c>
      <c r="P267" s="317">
        <f t="shared" si="195"/>
        <v>0</v>
      </c>
      <c r="Q267" s="317">
        <f t="shared" si="196"/>
        <v>0</v>
      </c>
      <c r="R267" s="317">
        <f t="shared" si="197"/>
        <v>0</v>
      </c>
      <c r="S267" s="317">
        <f t="shared" si="198"/>
        <v>0</v>
      </c>
      <c r="T267" s="317">
        <f t="shared" si="176"/>
        <v>0</v>
      </c>
      <c r="U267" s="317">
        <f t="shared" si="177"/>
        <v>0</v>
      </c>
      <c r="V267" s="317">
        <f t="shared" si="199"/>
        <v>0</v>
      </c>
      <c r="W267" s="317">
        <f t="shared" si="200"/>
        <v>0</v>
      </c>
      <c r="X267" s="317">
        <f t="shared" si="201"/>
        <v>0</v>
      </c>
      <c r="Y267" s="317">
        <f t="shared" si="202"/>
        <v>0</v>
      </c>
      <c r="Z267" s="317">
        <f t="shared" si="183"/>
        <v>0</v>
      </c>
      <c r="AA267" s="317">
        <f t="shared" si="184"/>
        <v>0</v>
      </c>
      <c r="AB267" s="317">
        <f t="shared" si="203"/>
        <v>0</v>
      </c>
      <c r="AC267" s="317">
        <f t="shared" si="204"/>
        <v>0</v>
      </c>
      <c r="AD267" s="317">
        <f t="shared" si="185"/>
        <v>0</v>
      </c>
      <c r="AE267" s="317">
        <f t="shared" si="186"/>
        <v>0</v>
      </c>
      <c r="AF267" s="317">
        <f t="shared" si="178"/>
        <v>0</v>
      </c>
      <c r="AG267" s="317">
        <f t="shared" si="179"/>
        <v>0</v>
      </c>
      <c r="AH267" s="317">
        <f t="shared" si="205"/>
        <v>0</v>
      </c>
      <c r="AI267" s="317">
        <f t="shared" si="206"/>
        <v>0</v>
      </c>
      <c r="AJ267" s="317">
        <f t="shared" si="207"/>
        <v>0</v>
      </c>
      <c r="AK267" s="317">
        <f t="shared" si="208"/>
        <v>0</v>
      </c>
      <c r="AL267" s="317">
        <f t="shared" si="209"/>
        <v>0</v>
      </c>
      <c r="AM267" s="317">
        <f t="shared" si="210"/>
        <v>0</v>
      </c>
      <c r="AN267" s="317">
        <f t="shared" si="211"/>
        <v>0</v>
      </c>
      <c r="AO267" s="317">
        <f t="shared" si="212"/>
        <v>0</v>
      </c>
      <c r="AP267" s="317">
        <f t="shared" si="213"/>
        <v>0</v>
      </c>
      <c r="AQ267" s="317">
        <f t="shared" si="214"/>
        <v>0</v>
      </c>
      <c r="AR267" s="317">
        <f t="shared" si="187"/>
        <v>0</v>
      </c>
      <c r="AS267" s="317">
        <f t="shared" si="188"/>
        <v>0</v>
      </c>
      <c r="AT267" s="317">
        <f t="shared" si="215"/>
        <v>0</v>
      </c>
      <c r="AU267" s="317">
        <f t="shared" si="216"/>
        <v>0</v>
      </c>
      <c r="AV267" s="317">
        <f t="shared" si="217"/>
        <v>0</v>
      </c>
      <c r="AW267" s="317">
        <f t="shared" si="218"/>
        <v>0</v>
      </c>
      <c r="AX267" s="317">
        <f t="shared" si="189"/>
        <v>0</v>
      </c>
      <c r="AY267" s="317">
        <f t="shared" si="190"/>
        <v>0</v>
      </c>
      <c r="AZ267" s="317">
        <f t="shared" si="191"/>
        <v>0</v>
      </c>
      <c r="BA267" s="317">
        <f t="shared" si="192"/>
        <v>0</v>
      </c>
    </row>
    <row r="268" spans="1:53" s="314" customFormat="1" ht="16.5" customHeight="1">
      <c r="A268" s="63" t="str">
        <f t="array" ref="A268">IF(C268&lt;&gt;0,SUM(($C$11:C268&lt;&gt;0)*1),"")</f>
        <v/>
      </c>
      <c r="B268" s="315"/>
      <c r="C268" s="315"/>
      <c r="D268" s="315"/>
      <c r="E268" s="433"/>
      <c r="F268" s="371"/>
      <c r="G268" s="373"/>
      <c r="H268" s="373"/>
      <c r="I268" s="63" t="str">
        <f t="shared" si="219"/>
        <v/>
      </c>
      <c r="J268" s="317">
        <f t="shared" si="181"/>
        <v>0</v>
      </c>
      <c r="K268" s="317">
        <f t="shared" si="182"/>
        <v>0</v>
      </c>
      <c r="L268" s="317">
        <f t="shared" si="193"/>
        <v>0</v>
      </c>
      <c r="M268" s="317">
        <f t="shared" si="194"/>
        <v>0</v>
      </c>
      <c r="N268" s="317">
        <f t="shared" ref="N268:N331" si="220">IF($G268="1122",$F268,0)</f>
        <v>0</v>
      </c>
      <c r="O268" s="317">
        <f t="shared" ref="O268:O331" si="221">IF($H268="1122",$F268,0)</f>
        <v>0</v>
      </c>
      <c r="P268" s="317">
        <f t="shared" si="195"/>
        <v>0</v>
      </c>
      <c r="Q268" s="317">
        <f t="shared" si="196"/>
        <v>0</v>
      </c>
      <c r="R268" s="317">
        <f t="shared" si="197"/>
        <v>0</v>
      </c>
      <c r="S268" s="317">
        <f t="shared" si="198"/>
        <v>0</v>
      </c>
      <c r="T268" s="317">
        <f t="shared" ref="T268:T348" si="222">IF($G268="2412",$F268,0)</f>
        <v>0</v>
      </c>
      <c r="U268" s="317">
        <f t="shared" ref="U268:U348" si="223">IF($H268="2412",$F268,0)</f>
        <v>0</v>
      </c>
      <c r="V268" s="317">
        <f t="shared" si="199"/>
        <v>0</v>
      </c>
      <c r="W268" s="317">
        <f t="shared" si="200"/>
        <v>0</v>
      </c>
      <c r="X268" s="317">
        <f t="shared" si="201"/>
        <v>0</v>
      </c>
      <c r="Y268" s="317">
        <f t="shared" si="202"/>
        <v>0</v>
      </c>
      <c r="Z268" s="317">
        <f t="shared" si="183"/>
        <v>0</v>
      </c>
      <c r="AA268" s="317">
        <f t="shared" si="184"/>
        <v>0</v>
      </c>
      <c r="AB268" s="317">
        <f t="shared" si="203"/>
        <v>0</v>
      </c>
      <c r="AC268" s="317">
        <f t="shared" si="204"/>
        <v>0</v>
      </c>
      <c r="AD268" s="317">
        <f t="shared" si="185"/>
        <v>0</v>
      </c>
      <c r="AE268" s="317">
        <f t="shared" si="186"/>
        <v>0</v>
      </c>
      <c r="AF268" s="317">
        <f t="shared" ref="AF268:AF331" si="224">IF($G268="3412",$F268,0)</f>
        <v>0</v>
      </c>
      <c r="AG268" s="317">
        <f t="shared" ref="AG268:AG331" si="225">IF($H268="3412",$F268,0)</f>
        <v>0</v>
      </c>
      <c r="AH268" s="317">
        <f t="shared" si="205"/>
        <v>0</v>
      </c>
      <c r="AI268" s="317">
        <f t="shared" si="206"/>
        <v>0</v>
      </c>
      <c r="AJ268" s="317">
        <f t="shared" si="207"/>
        <v>0</v>
      </c>
      <c r="AK268" s="317">
        <f t="shared" si="208"/>
        <v>0</v>
      </c>
      <c r="AL268" s="317">
        <f t="shared" si="209"/>
        <v>0</v>
      </c>
      <c r="AM268" s="317">
        <f t="shared" si="210"/>
        <v>0</v>
      </c>
      <c r="AN268" s="317">
        <f t="shared" si="211"/>
        <v>0</v>
      </c>
      <c r="AO268" s="317">
        <f t="shared" si="212"/>
        <v>0</v>
      </c>
      <c r="AP268" s="317">
        <f t="shared" si="213"/>
        <v>0</v>
      </c>
      <c r="AQ268" s="317">
        <f t="shared" si="214"/>
        <v>0</v>
      </c>
      <c r="AR268" s="317">
        <f t="shared" si="187"/>
        <v>0</v>
      </c>
      <c r="AS268" s="317">
        <f t="shared" si="188"/>
        <v>0</v>
      </c>
      <c r="AT268" s="317">
        <f t="shared" si="215"/>
        <v>0</v>
      </c>
      <c r="AU268" s="317">
        <f t="shared" si="216"/>
        <v>0</v>
      </c>
      <c r="AV268" s="317">
        <f t="shared" si="217"/>
        <v>0</v>
      </c>
      <c r="AW268" s="317">
        <f t="shared" si="218"/>
        <v>0</v>
      </c>
      <c r="AX268" s="317">
        <f t="shared" si="189"/>
        <v>0</v>
      </c>
      <c r="AY268" s="317">
        <f t="shared" si="190"/>
        <v>0</v>
      </c>
      <c r="AZ268" s="317">
        <f t="shared" si="191"/>
        <v>0</v>
      </c>
      <c r="BA268" s="317">
        <f t="shared" si="192"/>
        <v>0</v>
      </c>
    </row>
    <row r="269" spans="1:53" s="314" customFormat="1" ht="16.5" customHeight="1">
      <c r="A269" s="63" t="str">
        <f t="array" ref="A269">IF(C269&lt;&gt;0,SUM(($C$11:C269&lt;&gt;0)*1),"")</f>
        <v/>
      </c>
      <c r="B269" s="315"/>
      <c r="C269" s="315"/>
      <c r="D269" s="315"/>
      <c r="E269" s="433"/>
      <c r="F269" s="371"/>
      <c r="G269" s="373"/>
      <c r="H269" s="373"/>
      <c r="I269" s="63" t="str">
        <f t="shared" si="219"/>
        <v/>
      </c>
      <c r="J269" s="317">
        <f t="shared" si="181"/>
        <v>0</v>
      </c>
      <c r="K269" s="317">
        <f t="shared" si="182"/>
        <v>0</v>
      </c>
      <c r="L269" s="317">
        <f t="shared" si="193"/>
        <v>0</v>
      </c>
      <c r="M269" s="317">
        <f t="shared" si="194"/>
        <v>0</v>
      </c>
      <c r="N269" s="317">
        <f t="shared" si="220"/>
        <v>0</v>
      </c>
      <c r="O269" s="317">
        <f t="shared" si="221"/>
        <v>0</v>
      </c>
      <c r="P269" s="317">
        <f t="shared" si="195"/>
        <v>0</v>
      </c>
      <c r="Q269" s="317">
        <f t="shared" si="196"/>
        <v>0</v>
      </c>
      <c r="R269" s="317">
        <f t="shared" si="197"/>
        <v>0</v>
      </c>
      <c r="S269" s="317">
        <f t="shared" si="198"/>
        <v>0</v>
      </c>
      <c r="T269" s="317">
        <f t="shared" si="222"/>
        <v>0</v>
      </c>
      <c r="U269" s="317">
        <f t="shared" si="223"/>
        <v>0</v>
      </c>
      <c r="V269" s="317">
        <f t="shared" si="199"/>
        <v>0</v>
      </c>
      <c r="W269" s="317">
        <f t="shared" si="200"/>
        <v>0</v>
      </c>
      <c r="X269" s="317">
        <f t="shared" si="201"/>
        <v>0</v>
      </c>
      <c r="Y269" s="317">
        <f t="shared" si="202"/>
        <v>0</v>
      </c>
      <c r="Z269" s="317">
        <f t="shared" si="183"/>
        <v>0</v>
      </c>
      <c r="AA269" s="317">
        <f t="shared" si="184"/>
        <v>0</v>
      </c>
      <c r="AB269" s="317">
        <f t="shared" si="203"/>
        <v>0</v>
      </c>
      <c r="AC269" s="317">
        <f t="shared" si="204"/>
        <v>0</v>
      </c>
      <c r="AD269" s="317">
        <f t="shared" si="185"/>
        <v>0</v>
      </c>
      <c r="AE269" s="317">
        <f t="shared" si="186"/>
        <v>0</v>
      </c>
      <c r="AF269" s="317">
        <f t="shared" si="224"/>
        <v>0</v>
      </c>
      <c r="AG269" s="317">
        <f t="shared" si="225"/>
        <v>0</v>
      </c>
      <c r="AH269" s="317">
        <f t="shared" si="205"/>
        <v>0</v>
      </c>
      <c r="AI269" s="317">
        <f t="shared" si="206"/>
        <v>0</v>
      </c>
      <c r="AJ269" s="317">
        <f t="shared" si="207"/>
        <v>0</v>
      </c>
      <c r="AK269" s="317">
        <f t="shared" si="208"/>
        <v>0</v>
      </c>
      <c r="AL269" s="317">
        <f t="shared" si="209"/>
        <v>0</v>
      </c>
      <c r="AM269" s="317">
        <f t="shared" si="210"/>
        <v>0</v>
      </c>
      <c r="AN269" s="317">
        <f t="shared" si="211"/>
        <v>0</v>
      </c>
      <c r="AO269" s="317">
        <f t="shared" si="212"/>
        <v>0</v>
      </c>
      <c r="AP269" s="317">
        <f t="shared" si="213"/>
        <v>0</v>
      </c>
      <c r="AQ269" s="317">
        <f t="shared" si="214"/>
        <v>0</v>
      </c>
      <c r="AR269" s="317">
        <f t="shared" si="187"/>
        <v>0</v>
      </c>
      <c r="AS269" s="317">
        <f t="shared" si="188"/>
        <v>0</v>
      </c>
      <c r="AT269" s="317">
        <f t="shared" si="215"/>
        <v>0</v>
      </c>
      <c r="AU269" s="317">
        <f t="shared" si="216"/>
        <v>0</v>
      </c>
      <c r="AV269" s="317">
        <f t="shared" si="217"/>
        <v>0</v>
      </c>
      <c r="AW269" s="317">
        <f t="shared" si="218"/>
        <v>0</v>
      </c>
      <c r="AX269" s="317">
        <f t="shared" si="189"/>
        <v>0</v>
      </c>
      <c r="AY269" s="317">
        <f t="shared" si="190"/>
        <v>0</v>
      </c>
      <c r="AZ269" s="317">
        <f t="shared" si="191"/>
        <v>0</v>
      </c>
      <c r="BA269" s="317">
        <f t="shared" si="192"/>
        <v>0</v>
      </c>
    </row>
    <row r="270" spans="1:53" s="314" customFormat="1" ht="16.5" customHeight="1">
      <c r="A270" s="63" t="str">
        <f t="array" ref="A270">IF(C270&lt;&gt;0,SUM(($C$11:C270&lt;&gt;0)*1),"")</f>
        <v/>
      </c>
      <c r="B270" s="315"/>
      <c r="C270" s="315"/>
      <c r="D270" s="315"/>
      <c r="E270" s="433"/>
      <c r="F270" s="371"/>
      <c r="G270" s="373"/>
      <c r="H270" s="373"/>
      <c r="I270" s="63" t="str">
        <f t="shared" si="219"/>
        <v/>
      </c>
      <c r="J270" s="317">
        <f t="shared" si="181"/>
        <v>0</v>
      </c>
      <c r="K270" s="317">
        <f t="shared" si="182"/>
        <v>0</v>
      </c>
      <c r="L270" s="317">
        <f t="shared" si="193"/>
        <v>0</v>
      </c>
      <c r="M270" s="317">
        <f t="shared" si="194"/>
        <v>0</v>
      </c>
      <c r="N270" s="317">
        <f t="shared" si="220"/>
        <v>0</v>
      </c>
      <c r="O270" s="317">
        <f t="shared" si="221"/>
        <v>0</v>
      </c>
      <c r="P270" s="317">
        <f t="shared" si="195"/>
        <v>0</v>
      </c>
      <c r="Q270" s="317">
        <f t="shared" si="196"/>
        <v>0</v>
      </c>
      <c r="R270" s="317">
        <f t="shared" si="197"/>
        <v>0</v>
      </c>
      <c r="S270" s="317">
        <f t="shared" si="198"/>
        <v>0</v>
      </c>
      <c r="T270" s="317">
        <f t="shared" si="222"/>
        <v>0</v>
      </c>
      <c r="U270" s="317">
        <f t="shared" si="223"/>
        <v>0</v>
      </c>
      <c r="V270" s="317">
        <f t="shared" si="199"/>
        <v>0</v>
      </c>
      <c r="W270" s="317">
        <f t="shared" si="200"/>
        <v>0</v>
      </c>
      <c r="X270" s="317">
        <f t="shared" si="201"/>
        <v>0</v>
      </c>
      <c r="Y270" s="317">
        <f t="shared" si="202"/>
        <v>0</v>
      </c>
      <c r="Z270" s="317">
        <f t="shared" si="183"/>
        <v>0</v>
      </c>
      <c r="AA270" s="317">
        <f t="shared" si="184"/>
        <v>0</v>
      </c>
      <c r="AB270" s="317">
        <f t="shared" si="203"/>
        <v>0</v>
      </c>
      <c r="AC270" s="317">
        <f t="shared" si="204"/>
        <v>0</v>
      </c>
      <c r="AD270" s="317">
        <f t="shared" si="185"/>
        <v>0</v>
      </c>
      <c r="AE270" s="317">
        <f t="shared" si="186"/>
        <v>0</v>
      </c>
      <c r="AF270" s="317">
        <f t="shared" si="224"/>
        <v>0</v>
      </c>
      <c r="AG270" s="317">
        <f t="shared" si="225"/>
        <v>0</v>
      </c>
      <c r="AH270" s="317">
        <f t="shared" si="205"/>
        <v>0</v>
      </c>
      <c r="AI270" s="317">
        <f t="shared" si="206"/>
        <v>0</v>
      </c>
      <c r="AJ270" s="317">
        <f t="shared" si="207"/>
        <v>0</v>
      </c>
      <c r="AK270" s="317">
        <f t="shared" si="208"/>
        <v>0</v>
      </c>
      <c r="AL270" s="317">
        <f t="shared" si="209"/>
        <v>0</v>
      </c>
      <c r="AM270" s="317">
        <f t="shared" si="210"/>
        <v>0</v>
      </c>
      <c r="AN270" s="317">
        <f t="shared" si="211"/>
        <v>0</v>
      </c>
      <c r="AO270" s="317">
        <f t="shared" si="212"/>
        <v>0</v>
      </c>
      <c r="AP270" s="317">
        <f t="shared" si="213"/>
        <v>0</v>
      </c>
      <c r="AQ270" s="317">
        <f t="shared" si="214"/>
        <v>0</v>
      </c>
      <c r="AR270" s="317">
        <f t="shared" si="187"/>
        <v>0</v>
      </c>
      <c r="AS270" s="317">
        <f t="shared" si="188"/>
        <v>0</v>
      </c>
      <c r="AT270" s="317">
        <f t="shared" si="215"/>
        <v>0</v>
      </c>
      <c r="AU270" s="317">
        <f t="shared" si="216"/>
        <v>0</v>
      </c>
      <c r="AV270" s="317">
        <f t="shared" si="217"/>
        <v>0</v>
      </c>
      <c r="AW270" s="317">
        <f t="shared" si="218"/>
        <v>0</v>
      </c>
      <c r="AX270" s="317">
        <f t="shared" si="189"/>
        <v>0</v>
      </c>
      <c r="AY270" s="317">
        <f t="shared" si="190"/>
        <v>0</v>
      </c>
      <c r="AZ270" s="317">
        <f t="shared" si="191"/>
        <v>0</v>
      </c>
      <c r="BA270" s="317">
        <f t="shared" si="192"/>
        <v>0</v>
      </c>
    </row>
    <row r="271" spans="1:53" s="314" customFormat="1" ht="16.5" customHeight="1">
      <c r="A271" s="63" t="str">
        <f t="array" ref="A271">IF(C271&lt;&gt;0,SUM(($C$11:C271&lt;&gt;0)*1),"")</f>
        <v/>
      </c>
      <c r="B271" s="315"/>
      <c r="C271" s="315"/>
      <c r="D271" s="315"/>
      <c r="E271" s="433"/>
      <c r="F271" s="371"/>
      <c r="G271" s="373"/>
      <c r="H271" s="373"/>
      <c r="I271" s="63" t="str">
        <f t="shared" si="219"/>
        <v/>
      </c>
      <c r="J271" s="317">
        <f t="shared" ref="J271:J348" si="226">IF($G271="1111",$F271,0)</f>
        <v>0</v>
      </c>
      <c r="K271" s="317">
        <f t="shared" ref="K271:K348" si="227">IF($H271="1111",$F271,0)</f>
        <v>0</v>
      </c>
      <c r="L271" s="317">
        <f t="shared" si="193"/>
        <v>0</v>
      </c>
      <c r="M271" s="317">
        <f t="shared" si="194"/>
        <v>0</v>
      </c>
      <c r="N271" s="317">
        <f t="shared" si="220"/>
        <v>0</v>
      </c>
      <c r="O271" s="317">
        <f t="shared" si="221"/>
        <v>0</v>
      </c>
      <c r="P271" s="317">
        <f t="shared" si="195"/>
        <v>0</v>
      </c>
      <c r="Q271" s="317">
        <f t="shared" si="196"/>
        <v>0</v>
      </c>
      <c r="R271" s="317">
        <f t="shared" si="197"/>
        <v>0</v>
      </c>
      <c r="S271" s="317">
        <f t="shared" si="198"/>
        <v>0</v>
      </c>
      <c r="T271" s="317">
        <f t="shared" si="222"/>
        <v>0</v>
      </c>
      <c r="U271" s="317">
        <f t="shared" si="223"/>
        <v>0</v>
      </c>
      <c r="V271" s="317">
        <f t="shared" si="199"/>
        <v>0</v>
      </c>
      <c r="W271" s="317">
        <f t="shared" si="200"/>
        <v>0</v>
      </c>
      <c r="X271" s="317">
        <f t="shared" si="201"/>
        <v>0</v>
      </c>
      <c r="Y271" s="317">
        <f t="shared" si="202"/>
        <v>0</v>
      </c>
      <c r="Z271" s="317">
        <f t="shared" ref="Z271:Z348" si="228">IF($G271="33382",$F271,0)</f>
        <v>0</v>
      </c>
      <c r="AA271" s="317">
        <f t="shared" ref="AA271:AA348" si="229">IF($H271="33382",$F271,0)</f>
        <v>0</v>
      </c>
      <c r="AB271" s="317">
        <f t="shared" si="203"/>
        <v>0</v>
      </c>
      <c r="AC271" s="317">
        <f t="shared" si="204"/>
        <v>0</v>
      </c>
      <c r="AD271" s="317">
        <f t="shared" ref="AD271:AD348" si="230">IF($G271="3411",$F271,0)</f>
        <v>0</v>
      </c>
      <c r="AE271" s="317">
        <f t="shared" ref="AE271:AE348" si="231">IF($H271="3411",$F271,0)</f>
        <v>0</v>
      </c>
      <c r="AF271" s="317">
        <f t="shared" si="224"/>
        <v>0</v>
      </c>
      <c r="AG271" s="317">
        <f t="shared" si="225"/>
        <v>0</v>
      </c>
      <c r="AH271" s="317">
        <f t="shared" si="205"/>
        <v>0</v>
      </c>
      <c r="AI271" s="317">
        <f t="shared" si="206"/>
        <v>0</v>
      </c>
      <c r="AJ271" s="317">
        <f t="shared" si="207"/>
        <v>0</v>
      </c>
      <c r="AK271" s="317">
        <f t="shared" si="208"/>
        <v>0</v>
      </c>
      <c r="AL271" s="317">
        <f t="shared" si="209"/>
        <v>0</v>
      </c>
      <c r="AM271" s="317">
        <f t="shared" si="210"/>
        <v>0</v>
      </c>
      <c r="AN271" s="317">
        <f t="shared" si="211"/>
        <v>0</v>
      </c>
      <c r="AO271" s="317">
        <f t="shared" si="212"/>
        <v>0</v>
      </c>
      <c r="AP271" s="317">
        <f t="shared" si="213"/>
        <v>0</v>
      </c>
      <c r="AQ271" s="317">
        <f t="shared" si="214"/>
        <v>0</v>
      </c>
      <c r="AR271" s="317">
        <f t="shared" ref="AR271:AR348" si="232">IF($G271="642",$F271,0)</f>
        <v>0</v>
      </c>
      <c r="AS271" s="317">
        <f t="shared" ref="AS271:AS348" si="233">IF($H271="642",$F271,0)</f>
        <v>0</v>
      </c>
      <c r="AT271" s="317">
        <f t="shared" si="215"/>
        <v>0</v>
      </c>
      <c r="AU271" s="317">
        <f t="shared" si="216"/>
        <v>0</v>
      </c>
      <c r="AV271" s="317">
        <f t="shared" si="217"/>
        <v>0</v>
      </c>
      <c r="AW271" s="317">
        <f t="shared" si="218"/>
        <v>0</v>
      </c>
      <c r="AX271" s="317">
        <f t="shared" ref="AX271:AX348" si="234">IF($G271="821",$F271,0)</f>
        <v>0</v>
      </c>
      <c r="AY271" s="317">
        <f t="shared" ref="AY271:AY348" si="235">IF($H271="821",$F271,0)</f>
        <v>0</v>
      </c>
      <c r="AZ271" s="317">
        <f t="shared" ref="AZ271:AZ348" si="236">IF($G271="911",$F271,0)</f>
        <v>0</v>
      </c>
      <c r="BA271" s="317">
        <f t="shared" ref="BA271:BA348" si="237">IF($H271="911",$F271,0)</f>
        <v>0</v>
      </c>
    </row>
    <row r="272" spans="1:53" s="314" customFormat="1" ht="16.5" customHeight="1">
      <c r="A272" s="63" t="str">
        <f t="array" ref="A272">IF(C272&lt;&gt;0,SUM(($C$11:C272&lt;&gt;0)*1),"")</f>
        <v/>
      </c>
      <c r="B272" s="315"/>
      <c r="C272" s="315"/>
      <c r="D272" s="315"/>
      <c r="E272" s="433"/>
      <c r="F272" s="371"/>
      <c r="G272" s="373"/>
      <c r="H272" s="373"/>
      <c r="I272" s="63" t="str">
        <f t="shared" si="219"/>
        <v/>
      </c>
      <c r="J272" s="317">
        <f t="shared" si="226"/>
        <v>0</v>
      </c>
      <c r="K272" s="317">
        <f t="shared" si="227"/>
        <v>0</v>
      </c>
      <c r="L272" s="317">
        <f t="shared" ref="L272:L348" si="238">IF($G272="1121",$F272,0)</f>
        <v>0</v>
      </c>
      <c r="M272" s="317">
        <f t="shared" ref="M272:M348" si="239">IF($H272="1121",$F272,0)</f>
        <v>0</v>
      </c>
      <c r="N272" s="317">
        <f t="shared" si="220"/>
        <v>0</v>
      </c>
      <c r="O272" s="317">
        <f t="shared" si="221"/>
        <v>0</v>
      </c>
      <c r="P272" s="317">
        <f t="shared" ref="P272:P348" si="240">IF($G272="1331",$F272,0)</f>
        <v>0</v>
      </c>
      <c r="Q272" s="317">
        <f t="shared" ref="Q272:Q348" si="241">IF($H272="1331",$F272,0)</f>
        <v>0</v>
      </c>
      <c r="R272" s="317">
        <f t="shared" ref="R272:R348" si="242">IF($G272="1388",$F272,0)</f>
        <v>0</v>
      </c>
      <c r="S272" s="317">
        <f t="shared" ref="S272:S348" si="243">IF($H272="1388",$F272,0)</f>
        <v>0</v>
      </c>
      <c r="T272" s="317">
        <f t="shared" si="222"/>
        <v>0</v>
      </c>
      <c r="U272" s="317">
        <f t="shared" si="223"/>
        <v>0</v>
      </c>
      <c r="V272" s="317">
        <f t="shared" ref="V272:V348" si="244">IF($G272="331",$F272,0)</f>
        <v>0</v>
      </c>
      <c r="W272" s="317">
        <f t="shared" ref="W272:W348" si="245">IF($H272="331",$F272,0)</f>
        <v>0</v>
      </c>
      <c r="X272" s="317">
        <f t="shared" ref="X272:X348" si="246">IF($G272="3334",$F272,0)</f>
        <v>0</v>
      </c>
      <c r="Y272" s="317">
        <f t="shared" ref="Y272:Y348" si="247">IF($H272="3334",$F272,0)</f>
        <v>0</v>
      </c>
      <c r="Z272" s="317">
        <f t="shared" si="228"/>
        <v>0</v>
      </c>
      <c r="AA272" s="317">
        <f t="shared" si="229"/>
        <v>0</v>
      </c>
      <c r="AB272" s="317">
        <f t="shared" ref="AB272:AB348" si="248">IF($G272="3388",$F272,0)</f>
        <v>0</v>
      </c>
      <c r="AC272" s="317">
        <f t="shared" ref="AC272:AC348" si="249">IF($H272="3388",$F272,0)</f>
        <v>0</v>
      </c>
      <c r="AD272" s="317">
        <f t="shared" si="230"/>
        <v>0</v>
      </c>
      <c r="AE272" s="317">
        <f t="shared" si="231"/>
        <v>0</v>
      </c>
      <c r="AF272" s="317">
        <f t="shared" si="224"/>
        <v>0</v>
      </c>
      <c r="AG272" s="317">
        <f t="shared" si="225"/>
        <v>0</v>
      </c>
      <c r="AH272" s="317">
        <f t="shared" ref="AH272:AH348" si="250">IF($G272="4111",$F272,0)</f>
        <v>0</v>
      </c>
      <c r="AI272" s="317">
        <f t="shared" ref="AI272:AI348" si="251">IF($H272="4111",$F272,0)</f>
        <v>0</v>
      </c>
      <c r="AJ272" s="317">
        <f t="shared" ref="AJ272:AJ348" si="252">IF($G272="4211",$F272,0)</f>
        <v>0</v>
      </c>
      <c r="AK272" s="317">
        <f t="shared" ref="AK272:AK348" si="253">IF($H272="4211",$F272,0)</f>
        <v>0</v>
      </c>
      <c r="AL272" s="317">
        <f t="shared" ref="AL272:AL348" si="254">IF($G272="4212",$F272,0)</f>
        <v>0</v>
      </c>
      <c r="AM272" s="317">
        <f t="shared" ref="AM272:AM348" si="255">IF($H272="4212",$F272,0)</f>
        <v>0</v>
      </c>
      <c r="AN272" s="317">
        <f t="shared" ref="AN272:AN348" si="256">IF($G272="515",$F272,0)</f>
        <v>0</v>
      </c>
      <c r="AO272" s="317">
        <f t="shared" ref="AO272:AO348" si="257">IF($H272="515",$F272,0)</f>
        <v>0</v>
      </c>
      <c r="AP272" s="317">
        <f t="shared" ref="AP272:AP348" si="258">IF($G272="635",$F272,0)</f>
        <v>0</v>
      </c>
      <c r="AQ272" s="317">
        <f t="shared" ref="AQ272:AQ348" si="259">IF($H272="635",$F272,0)</f>
        <v>0</v>
      </c>
      <c r="AR272" s="317">
        <f t="shared" si="232"/>
        <v>0</v>
      </c>
      <c r="AS272" s="317">
        <f t="shared" si="233"/>
        <v>0</v>
      </c>
      <c r="AT272" s="317">
        <f t="shared" ref="AT272:AT348" si="260">IF($G272="711",$F272,0)</f>
        <v>0</v>
      </c>
      <c r="AU272" s="317">
        <f t="shared" ref="AU272:AU348" si="261">IF($H272="711",$F272,0)</f>
        <v>0</v>
      </c>
      <c r="AV272" s="317">
        <f t="shared" ref="AV272:AV348" si="262">IF($G272="811",$F272,0)</f>
        <v>0</v>
      </c>
      <c r="AW272" s="317">
        <f t="shared" ref="AW272:AW348" si="263">IF($H272="811",$F272,0)</f>
        <v>0</v>
      </c>
      <c r="AX272" s="317">
        <f t="shared" si="234"/>
        <v>0</v>
      </c>
      <c r="AY272" s="317">
        <f t="shared" si="235"/>
        <v>0</v>
      </c>
      <c r="AZ272" s="317">
        <f t="shared" si="236"/>
        <v>0</v>
      </c>
      <c r="BA272" s="317">
        <f t="shared" si="237"/>
        <v>0</v>
      </c>
    </row>
    <row r="273" spans="1:53" s="314" customFormat="1" ht="16.5" customHeight="1">
      <c r="A273" s="63" t="str">
        <f t="array" ref="A273">IF(C273&lt;&gt;0,SUM(($C$11:C273&lt;&gt;0)*1),"")</f>
        <v/>
      </c>
      <c r="B273" s="315"/>
      <c r="C273" s="315"/>
      <c r="D273" s="315"/>
      <c r="E273" s="433"/>
      <c r="F273" s="371"/>
      <c r="G273" s="373"/>
      <c r="H273" s="373"/>
      <c r="I273" s="63" t="str">
        <f t="shared" si="219"/>
        <v/>
      </c>
      <c r="J273" s="317">
        <f t="shared" si="226"/>
        <v>0</v>
      </c>
      <c r="K273" s="317">
        <f t="shared" si="227"/>
        <v>0</v>
      </c>
      <c r="L273" s="317">
        <f t="shared" si="238"/>
        <v>0</v>
      </c>
      <c r="M273" s="317">
        <f t="shared" si="239"/>
        <v>0</v>
      </c>
      <c r="N273" s="317">
        <f t="shared" si="220"/>
        <v>0</v>
      </c>
      <c r="O273" s="317">
        <f t="shared" si="221"/>
        <v>0</v>
      </c>
      <c r="P273" s="317">
        <f t="shared" si="240"/>
        <v>0</v>
      </c>
      <c r="Q273" s="317">
        <f t="shared" si="241"/>
        <v>0</v>
      </c>
      <c r="R273" s="317">
        <f t="shared" si="242"/>
        <v>0</v>
      </c>
      <c r="S273" s="317">
        <f t="shared" si="243"/>
        <v>0</v>
      </c>
      <c r="T273" s="317">
        <f t="shared" si="222"/>
        <v>0</v>
      </c>
      <c r="U273" s="317">
        <f t="shared" si="223"/>
        <v>0</v>
      </c>
      <c r="V273" s="317">
        <f t="shared" si="244"/>
        <v>0</v>
      </c>
      <c r="W273" s="317">
        <f t="shared" si="245"/>
        <v>0</v>
      </c>
      <c r="X273" s="317">
        <f t="shared" si="246"/>
        <v>0</v>
      </c>
      <c r="Y273" s="317">
        <f t="shared" si="247"/>
        <v>0</v>
      </c>
      <c r="Z273" s="317">
        <f t="shared" si="228"/>
        <v>0</v>
      </c>
      <c r="AA273" s="317">
        <f t="shared" si="229"/>
        <v>0</v>
      </c>
      <c r="AB273" s="317">
        <f t="shared" si="248"/>
        <v>0</v>
      </c>
      <c r="AC273" s="317">
        <f t="shared" si="249"/>
        <v>0</v>
      </c>
      <c r="AD273" s="317">
        <f t="shared" si="230"/>
        <v>0</v>
      </c>
      <c r="AE273" s="317">
        <f t="shared" si="231"/>
        <v>0</v>
      </c>
      <c r="AF273" s="317">
        <f t="shared" si="224"/>
        <v>0</v>
      </c>
      <c r="AG273" s="317">
        <f t="shared" si="225"/>
        <v>0</v>
      </c>
      <c r="AH273" s="317">
        <f t="shared" si="250"/>
        <v>0</v>
      </c>
      <c r="AI273" s="317">
        <f t="shared" si="251"/>
        <v>0</v>
      </c>
      <c r="AJ273" s="317">
        <f t="shared" si="252"/>
        <v>0</v>
      </c>
      <c r="AK273" s="317">
        <f t="shared" si="253"/>
        <v>0</v>
      </c>
      <c r="AL273" s="317">
        <f t="shared" si="254"/>
        <v>0</v>
      </c>
      <c r="AM273" s="317">
        <f t="shared" si="255"/>
        <v>0</v>
      </c>
      <c r="AN273" s="317">
        <f t="shared" si="256"/>
        <v>0</v>
      </c>
      <c r="AO273" s="317">
        <f t="shared" si="257"/>
        <v>0</v>
      </c>
      <c r="AP273" s="317">
        <f t="shared" si="258"/>
        <v>0</v>
      </c>
      <c r="AQ273" s="317">
        <f t="shared" si="259"/>
        <v>0</v>
      </c>
      <c r="AR273" s="317">
        <f t="shared" si="232"/>
        <v>0</v>
      </c>
      <c r="AS273" s="317">
        <f t="shared" si="233"/>
        <v>0</v>
      </c>
      <c r="AT273" s="317">
        <f t="shared" si="260"/>
        <v>0</v>
      </c>
      <c r="AU273" s="317">
        <f t="shared" si="261"/>
        <v>0</v>
      </c>
      <c r="AV273" s="317">
        <f t="shared" si="262"/>
        <v>0</v>
      </c>
      <c r="AW273" s="317">
        <f t="shared" si="263"/>
        <v>0</v>
      </c>
      <c r="AX273" s="317">
        <f t="shared" si="234"/>
        <v>0</v>
      </c>
      <c r="AY273" s="317">
        <f t="shared" si="235"/>
        <v>0</v>
      </c>
      <c r="AZ273" s="317">
        <f t="shared" si="236"/>
        <v>0</v>
      </c>
      <c r="BA273" s="317">
        <f t="shared" si="237"/>
        <v>0</v>
      </c>
    </row>
    <row r="274" spans="1:53" s="314" customFormat="1" ht="16.5" customHeight="1">
      <c r="A274" s="63" t="str">
        <f t="array" ref="A274">IF(C274&lt;&gt;0,SUM(($C$11:C274&lt;&gt;0)*1),"")</f>
        <v/>
      </c>
      <c r="B274" s="315"/>
      <c r="C274" s="315"/>
      <c r="D274" s="315"/>
      <c r="E274" s="433"/>
      <c r="F274" s="371"/>
      <c r="G274" s="373"/>
      <c r="H274" s="373"/>
      <c r="I274" s="63" t="str">
        <f t="shared" si="219"/>
        <v/>
      </c>
      <c r="J274" s="317">
        <f t="shared" si="226"/>
        <v>0</v>
      </c>
      <c r="K274" s="317">
        <f t="shared" si="227"/>
        <v>0</v>
      </c>
      <c r="L274" s="317">
        <f t="shared" si="238"/>
        <v>0</v>
      </c>
      <c r="M274" s="317">
        <f t="shared" si="239"/>
        <v>0</v>
      </c>
      <c r="N274" s="317">
        <f t="shared" si="220"/>
        <v>0</v>
      </c>
      <c r="O274" s="317">
        <f t="shared" si="221"/>
        <v>0</v>
      </c>
      <c r="P274" s="317">
        <f t="shared" si="240"/>
        <v>0</v>
      </c>
      <c r="Q274" s="317">
        <f t="shared" si="241"/>
        <v>0</v>
      </c>
      <c r="R274" s="317">
        <f t="shared" si="242"/>
        <v>0</v>
      </c>
      <c r="S274" s="317">
        <f t="shared" si="243"/>
        <v>0</v>
      </c>
      <c r="T274" s="317">
        <f t="shared" si="222"/>
        <v>0</v>
      </c>
      <c r="U274" s="317">
        <f t="shared" si="223"/>
        <v>0</v>
      </c>
      <c r="V274" s="317">
        <f t="shared" si="244"/>
        <v>0</v>
      </c>
      <c r="W274" s="317">
        <f t="shared" si="245"/>
        <v>0</v>
      </c>
      <c r="X274" s="317">
        <f t="shared" si="246"/>
        <v>0</v>
      </c>
      <c r="Y274" s="317">
        <f t="shared" si="247"/>
        <v>0</v>
      </c>
      <c r="Z274" s="317">
        <f t="shared" si="228"/>
        <v>0</v>
      </c>
      <c r="AA274" s="317">
        <f t="shared" si="229"/>
        <v>0</v>
      </c>
      <c r="AB274" s="317">
        <f t="shared" si="248"/>
        <v>0</v>
      </c>
      <c r="AC274" s="317">
        <f t="shared" si="249"/>
        <v>0</v>
      </c>
      <c r="AD274" s="317">
        <f t="shared" si="230"/>
        <v>0</v>
      </c>
      <c r="AE274" s="317">
        <f t="shared" si="231"/>
        <v>0</v>
      </c>
      <c r="AF274" s="317">
        <f t="shared" si="224"/>
        <v>0</v>
      </c>
      <c r="AG274" s="317">
        <f t="shared" si="225"/>
        <v>0</v>
      </c>
      <c r="AH274" s="317">
        <f t="shared" si="250"/>
        <v>0</v>
      </c>
      <c r="AI274" s="317">
        <f t="shared" si="251"/>
        <v>0</v>
      </c>
      <c r="AJ274" s="317">
        <f t="shared" si="252"/>
        <v>0</v>
      </c>
      <c r="AK274" s="317">
        <f t="shared" si="253"/>
        <v>0</v>
      </c>
      <c r="AL274" s="317">
        <f t="shared" si="254"/>
        <v>0</v>
      </c>
      <c r="AM274" s="317">
        <f t="shared" si="255"/>
        <v>0</v>
      </c>
      <c r="AN274" s="317">
        <f t="shared" si="256"/>
        <v>0</v>
      </c>
      <c r="AO274" s="317">
        <f t="shared" si="257"/>
        <v>0</v>
      </c>
      <c r="AP274" s="317">
        <f t="shared" si="258"/>
        <v>0</v>
      </c>
      <c r="AQ274" s="317">
        <f t="shared" si="259"/>
        <v>0</v>
      </c>
      <c r="AR274" s="317">
        <f t="shared" si="232"/>
        <v>0</v>
      </c>
      <c r="AS274" s="317">
        <f t="shared" si="233"/>
        <v>0</v>
      </c>
      <c r="AT274" s="317">
        <f t="shared" si="260"/>
        <v>0</v>
      </c>
      <c r="AU274" s="317">
        <f t="shared" si="261"/>
        <v>0</v>
      </c>
      <c r="AV274" s="317">
        <f t="shared" si="262"/>
        <v>0</v>
      </c>
      <c r="AW274" s="317">
        <f t="shared" si="263"/>
        <v>0</v>
      </c>
      <c r="AX274" s="317">
        <f t="shared" si="234"/>
        <v>0</v>
      </c>
      <c r="AY274" s="317">
        <f t="shared" si="235"/>
        <v>0</v>
      </c>
      <c r="AZ274" s="317">
        <f t="shared" si="236"/>
        <v>0</v>
      </c>
      <c r="BA274" s="317">
        <f t="shared" si="237"/>
        <v>0</v>
      </c>
    </row>
    <row r="275" spans="1:53" s="314" customFormat="1" ht="16.5" customHeight="1">
      <c r="A275" s="63" t="str">
        <f t="array" ref="A275">IF(C275&lt;&gt;0,SUM(($C$11:C275&lt;&gt;0)*1),"")</f>
        <v/>
      </c>
      <c r="B275" s="315"/>
      <c r="C275" s="315"/>
      <c r="D275" s="315"/>
      <c r="E275" s="433"/>
      <c r="F275" s="371"/>
      <c r="G275" s="373"/>
      <c r="H275" s="373"/>
      <c r="I275" s="63" t="str">
        <f t="shared" si="219"/>
        <v/>
      </c>
      <c r="J275" s="317">
        <f t="shared" si="226"/>
        <v>0</v>
      </c>
      <c r="K275" s="317">
        <f t="shared" si="227"/>
        <v>0</v>
      </c>
      <c r="L275" s="317">
        <f t="shared" si="238"/>
        <v>0</v>
      </c>
      <c r="M275" s="317">
        <f t="shared" si="239"/>
        <v>0</v>
      </c>
      <c r="N275" s="317">
        <f t="shared" si="220"/>
        <v>0</v>
      </c>
      <c r="O275" s="317">
        <f t="shared" si="221"/>
        <v>0</v>
      </c>
      <c r="P275" s="317">
        <f t="shared" si="240"/>
        <v>0</v>
      </c>
      <c r="Q275" s="317">
        <f t="shared" si="241"/>
        <v>0</v>
      </c>
      <c r="R275" s="317">
        <f t="shared" si="242"/>
        <v>0</v>
      </c>
      <c r="S275" s="317">
        <f t="shared" si="243"/>
        <v>0</v>
      </c>
      <c r="T275" s="317">
        <f t="shared" si="222"/>
        <v>0</v>
      </c>
      <c r="U275" s="317">
        <f t="shared" si="223"/>
        <v>0</v>
      </c>
      <c r="V275" s="317">
        <f t="shared" si="244"/>
        <v>0</v>
      </c>
      <c r="W275" s="317">
        <f t="shared" si="245"/>
        <v>0</v>
      </c>
      <c r="X275" s="317">
        <f t="shared" si="246"/>
        <v>0</v>
      </c>
      <c r="Y275" s="317">
        <f t="shared" si="247"/>
        <v>0</v>
      </c>
      <c r="Z275" s="317">
        <f t="shared" si="228"/>
        <v>0</v>
      </c>
      <c r="AA275" s="317">
        <f t="shared" si="229"/>
        <v>0</v>
      </c>
      <c r="AB275" s="317">
        <f t="shared" si="248"/>
        <v>0</v>
      </c>
      <c r="AC275" s="317">
        <f t="shared" si="249"/>
        <v>0</v>
      </c>
      <c r="AD275" s="317">
        <f t="shared" si="230"/>
        <v>0</v>
      </c>
      <c r="AE275" s="317">
        <f t="shared" si="231"/>
        <v>0</v>
      </c>
      <c r="AF275" s="317">
        <f t="shared" si="224"/>
        <v>0</v>
      </c>
      <c r="AG275" s="317">
        <f t="shared" si="225"/>
        <v>0</v>
      </c>
      <c r="AH275" s="317">
        <f t="shared" si="250"/>
        <v>0</v>
      </c>
      <c r="AI275" s="317">
        <f t="shared" si="251"/>
        <v>0</v>
      </c>
      <c r="AJ275" s="317">
        <f t="shared" si="252"/>
        <v>0</v>
      </c>
      <c r="AK275" s="317">
        <f t="shared" si="253"/>
        <v>0</v>
      </c>
      <c r="AL275" s="317">
        <f t="shared" si="254"/>
        <v>0</v>
      </c>
      <c r="AM275" s="317">
        <f t="shared" si="255"/>
        <v>0</v>
      </c>
      <c r="AN275" s="317">
        <f t="shared" si="256"/>
        <v>0</v>
      </c>
      <c r="AO275" s="317">
        <f t="shared" si="257"/>
        <v>0</v>
      </c>
      <c r="AP275" s="317">
        <f t="shared" si="258"/>
        <v>0</v>
      </c>
      <c r="AQ275" s="317">
        <f t="shared" si="259"/>
        <v>0</v>
      </c>
      <c r="AR275" s="317">
        <f t="shared" si="232"/>
        <v>0</v>
      </c>
      <c r="AS275" s="317">
        <f t="shared" si="233"/>
        <v>0</v>
      </c>
      <c r="AT275" s="317">
        <f t="shared" si="260"/>
        <v>0</v>
      </c>
      <c r="AU275" s="317">
        <f t="shared" si="261"/>
        <v>0</v>
      </c>
      <c r="AV275" s="317">
        <f t="shared" si="262"/>
        <v>0</v>
      </c>
      <c r="AW275" s="317">
        <f t="shared" si="263"/>
        <v>0</v>
      </c>
      <c r="AX275" s="317">
        <f t="shared" si="234"/>
        <v>0</v>
      </c>
      <c r="AY275" s="317">
        <f t="shared" si="235"/>
        <v>0</v>
      </c>
      <c r="AZ275" s="317">
        <f t="shared" si="236"/>
        <v>0</v>
      </c>
      <c r="BA275" s="317">
        <f t="shared" si="237"/>
        <v>0</v>
      </c>
    </row>
    <row r="276" spans="1:53" s="314" customFormat="1" ht="16.5" customHeight="1">
      <c r="A276" s="63" t="str">
        <f t="array" ref="A276">IF(C276&lt;&gt;0,SUM(($C$11:C276&lt;&gt;0)*1),"")</f>
        <v/>
      </c>
      <c r="B276" s="315"/>
      <c r="C276" s="315"/>
      <c r="D276" s="315"/>
      <c r="E276" s="433"/>
      <c r="F276" s="371"/>
      <c r="G276" s="373"/>
      <c r="H276" s="373"/>
      <c r="I276" s="63" t="str">
        <f t="shared" si="219"/>
        <v/>
      </c>
      <c r="J276" s="317">
        <f t="shared" si="226"/>
        <v>0</v>
      </c>
      <c r="K276" s="317">
        <f t="shared" si="227"/>
        <v>0</v>
      </c>
      <c r="L276" s="317">
        <f t="shared" si="238"/>
        <v>0</v>
      </c>
      <c r="M276" s="317">
        <f t="shared" si="239"/>
        <v>0</v>
      </c>
      <c r="N276" s="317">
        <f t="shared" si="220"/>
        <v>0</v>
      </c>
      <c r="O276" s="317">
        <f t="shared" si="221"/>
        <v>0</v>
      </c>
      <c r="P276" s="317">
        <f t="shared" si="240"/>
        <v>0</v>
      </c>
      <c r="Q276" s="317">
        <f t="shared" si="241"/>
        <v>0</v>
      </c>
      <c r="R276" s="317">
        <f t="shared" si="242"/>
        <v>0</v>
      </c>
      <c r="S276" s="317">
        <f t="shared" si="243"/>
        <v>0</v>
      </c>
      <c r="T276" s="317">
        <f t="shared" si="222"/>
        <v>0</v>
      </c>
      <c r="U276" s="317">
        <f t="shared" si="223"/>
        <v>0</v>
      </c>
      <c r="V276" s="317">
        <f t="shared" si="244"/>
        <v>0</v>
      </c>
      <c r="W276" s="317">
        <f t="shared" si="245"/>
        <v>0</v>
      </c>
      <c r="X276" s="317">
        <f t="shared" si="246"/>
        <v>0</v>
      </c>
      <c r="Y276" s="317">
        <f t="shared" si="247"/>
        <v>0</v>
      </c>
      <c r="Z276" s="317">
        <f t="shared" si="228"/>
        <v>0</v>
      </c>
      <c r="AA276" s="317">
        <f t="shared" si="229"/>
        <v>0</v>
      </c>
      <c r="AB276" s="317">
        <f t="shared" si="248"/>
        <v>0</v>
      </c>
      <c r="AC276" s="317">
        <f t="shared" si="249"/>
        <v>0</v>
      </c>
      <c r="AD276" s="317">
        <f t="shared" si="230"/>
        <v>0</v>
      </c>
      <c r="AE276" s="317">
        <f t="shared" si="231"/>
        <v>0</v>
      </c>
      <c r="AF276" s="317">
        <f t="shared" si="224"/>
        <v>0</v>
      </c>
      <c r="AG276" s="317">
        <f t="shared" si="225"/>
        <v>0</v>
      </c>
      <c r="AH276" s="317">
        <f t="shared" si="250"/>
        <v>0</v>
      </c>
      <c r="AI276" s="317">
        <f t="shared" si="251"/>
        <v>0</v>
      </c>
      <c r="AJ276" s="317">
        <f t="shared" si="252"/>
        <v>0</v>
      </c>
      <c r="AK276" s="317">
        <f t="shared" si="253"/>
        <v>0</v>
      </c>
      <c r="AL276" s="317">
        <f t="shared" si="254"/>
        <v>0</v>
      </c>
      <c r="AM276" s="317">
        <f t="shared" si="255"/>
        <v>0</v>
      </c>
      <c r="AN276" s="317">
        <f t="shared" si="256"/>
        <v>0</v>
      </c>
      <c r="AO276" s="317">
        <f t="shared" si="257"/>
        <v>0</v>
      </c>
      <c r="AP276" s="317">
        <f t="shared" si="258"/>
        <v>0</v>
      </c>
      <c r="AQ276" s="317">
        <f t="shared" si="259"/>
        <v>0</v>
      </c>
      <c r="AR276" s="317">
        <f t="shared" si="232"/>
        <v>0</v>
      </c>
      <c r="AS276" s="317">
        <f t="shared" si="233"/>
        <v>0</v>
      </c>
      <c r="AT276" s="317">
        <f t="shared" si="260"/>
        <v>0</v>
      </c>
      <c r="AU276" s="317">
        <f t="shared" si="261"/>
        <v>0</v>
      </c>
      <c r="AV276" s="317">
        <f t="shared" si="262"/>
        <v>0</v>
      </c>
      <c r="AW276" s="317">
        <f t="shared" si="263"/>
        <v>0</v>
      </c>
      <c r="AX276" s="317">
        <f t="shared" si="234"/>
        <v>0</v>
      </c>
      <c r="AY276" s="317">
        <f t="shared" si="235"/>
        <v>0</v>
      </c>
      <c r="AZ276" s="317">
        <f t="shared" si="236"/>
        <v>0</v>
      </c>
      <c r="BA276" s="317">
        <f t="shared" si="237"/>
        <v>0</v>
      </c>
    </row>
    <row r="277" spans="1:53" s="314" customFormat="1" ht="16.5" customHeight="1">
      <c r="A277" s="63" t="str">
        <f t="array" ref="A277">IF(C277&lt;&gt;0,SUM(($C$11:C277&lt;&gt;0)*1),"")</f>
        <v/>
      </c>
      <c r="B277" s="315"/>
      <c r="C277" s="315"/>
      <c r="D277" s="315"/>
      <c r="E277" s="433"/>
      <c r="F277" s="371"/>
      <c r="G277" s="373"/>
      <c r="H277" s="373"/>
      <c r="I277" s="63" t="str">
        <f t="shared" si="219"/>
        <v/>
      </c>
      <c r="J277" s="317">
        <f t="shared" si="226"/>
        <v>0</v>
      </c>
      <c r="K277" s="317">
        <f t="shared" si="227"/>
        <v>0</v>
      </c>
      <c r="L277" s="317">
        <f t="shared" si="238"/>
        <v>0</v>
      </c>
      <c r="M277" s="317">
        <f t="shared" si="239"/>
        <v>0</v>
      </c>
      <c r="N277" s="317">
        <f t="shared" si="220"/>
        <v>0</v>
      </c>
      <c r="O277" s="317">
        <f t="shared" si="221"/>
        <v>0</v>
      </c>
      <c r="P277" s="317">
        <f t="shared" si="240"/>
        <v>0</v>
      </c>
      <c r="Q277" s="317">
        <f t="shared" si="241"/>
        <v>0</v>
      </c>
      <c r="R277" s="317">
        <f t="shared" si="242"/>
        <v>0</v>
      </c>
      <c r="S277" s="317">
        <f t="shared" si="243"/>
        <v>0</v>
      </c>
      <c r="T277" s="317">
        <f t="shared" si="222"/>
        <v>0</v>
      </c>
      <c r="U277" s="317">
        <f t="shared" si="223"/>
        <v>0</v>
      </c>
      <c r="V277" s="317">
        <f t="shared" si="244"/>
        <v>0</v>
      </c>
      <c r="W277" s="317">
        <f t="shared" si="245"/>
        <v>0</v>
      </c>
      <c r="X277" s="317">
        <f t="shared" si="246"/>
        <v>0</v>
      </c>
      <c r="Y277" s="317">
        <f t="shared" si="247"/>
        <v>0</v>
      </c>
      <c r="Z277" s="317">
        <f t="shared" si="228"/>
        <v>0</v>
      </c>
      <c r="AA277" s="317">
        <f t="shared" si="229"/>
        <v>0</v>
      </c>
      <c r="AB277" s="317">
        <f t="shared" si="248"/>
        <v>0</v>
      </c>
      <c r="AC277" s="317">
        <f t="shared" si="249"/>
        <v>0</v>
      </c>
      <c r="AD277" s="317">
        <f t="shared" si="230"/>
        <v>0</v>
      </c>
      <c r="AE277" s="317">
        <f t="shared" si="231"/>
        <v>0</v>
      </c>
      <c r="AF277" s="317">
        <f t="shared" si="224"/>
        <v>0</v>
      </c>
      <c r="AG277" s="317">
        <f t="shared" si="225"/>
        <v>0</v>
      </c>
      <c r="AH277" s="317">
        <f t="shared" si="250"/>
        <v>0</v>
      </c>
      <c r="AI277" s="317">
        <f t="shared" si="251"/>
        <v>0</v>
      </c>
      <c r="AJ277" s="317">
        <f t="shared" si="252"/>
        <v>0</v>
      </c>
      <c r="AK277" s="317">
        <f t="shared" si="253"/>
        <v>0</v>
      </c>
      <c r="AL277" s="317">
        <f t="shared" si="254"/>
        <v>0</v>
      </c>
      <c r="AM277" s="317">
        <f t="shared" si="255"/>
        <v>0</v>
      </c>
      <c r="AN277" s="317">
        <f t="shared" si="256"/>
        <v>0</v>
      </c>
      <c r="AO277" s="317">
        <f t="shared" si="257"/>
        <v>0</v>
      </c>
      <c r="AP277" s="317">
        <f t="shared" si="258"/>
        <v>0</v>
      </c>
      <c r="AQ277" s="317">
        <f t="shared" si="259"/>
        <v>0</v>
      </c>
      <c r="AR277" s="317">
        <f t="shared" si="232"/>
        <v>0</v>
      </c>
      <c r="AS277" s="317">
        <f t="shared" si="233"/>
        <v>0</v>
      </c>
      <c r="AT277" s="317">
        <f t="shared" si="260"/>
        <v>0</v>
      </c>
      <c r="AU277" s="317">
        <f t="shared" si="261"/>
        <v>0</v>
      </c>
      <c r="AV277" s="317">
        <f t="shared" si="262"/>
        <v>0</v>
      </c>
      <c r="AW277" s="317">
        <f t="shared" si="263"/>
        <v>0</v>
      </c>
      <c r="AX277" s="317">
        <f t="shared" si="234"/>
        <v>0</v>
      </c>
      <c r="AY277" s="317">
        <f t="shared" si="235"/>
        <v>0</v>
      </c>
      <c r="AZ277" s="317">
        <f t="shared" si="236"/>
        <v>0</v>
      </c>
      <c r="BA277" s="317">
        <f t="shared" si="237"/>
        <v>0</v>
      </c>
    </row>
    <row r="278" spans="1:53" s="314" customFormat="1" ht="16.5" customHeight="1">
      <c r="A278" s="63" t="str">
        <f t="array" ref="A278">IF(C278&lt;&gt;0,SUM(($C$11:C278&lt;&gt;0)*1),"")</f>
        <v/>
      </c>
      <c r="B278" s="315"/>
      <c r="C278" s="315"/>
      <c r="D278" s="315"/>
      <c r="E278" s="433"/>
      <c r="F278" s="371"/>
      <c r="G278" s="373"/>
      <c r="H278" s="373"/>
      <c r="I278" s="63" t="str">
        <f t="shared" si="219"/>
        <v/>
      </c>
      <c r="J278" s="317">
        <f t="shared" si="226"/>
        <v>0</v>
      </c>
      <c r="K278" s="317">
        <f t="shared" si="227"/>
        <v>0</v>
      </c>
      <c r="L278" s="317">
        <f t="shared" si="238"/>
        <v>0</v>
      </c>
      <c r="M278" s="317">
        <f t="shared" si="239"/>
        <v>0</v>
      </c>
      <c r="N278" s="317">
        <f t="shared" si="220"/>
        <v>0</v>
      </c>
      <c r="O278" s="317">
        <f t="shared" si="221"/>
        <v>0</v>
      </c>
      <c r="P278" s="317">
        <f t="shared" si="240"/>
        <v>0</v>
      </c>
      <c r="Q278" s="317">
        <f t="shared" si="241"/>
        <v>0</v>
      </c>
      <c r="R278" s="317">
        <f t="shared" si="242"/>
        <v>0</v>
      </c>
      <c r="S278" s="317">
        <f t="shared" si="243"/>
        <v>0</v>
      </c>
      <c r="T278" s="317">
        <f t="shared" si="222"/>
        <v>0</v>
      </c>
      <c r="U278" s="317">
        <f t="shared" si="223"/>
        <v>0</v>
      </c>
      <c r="V278" s="317">
        <f t="shared" si="244"/>
        <v>0</v>
      </c>
      <c r="W278" s="317">
        <f t="shared" si="245"/>
        <v>0</v>
      </c>
      <c r="X278" s="317">
        <f t="shared" si="246"/>
        <v>0</v>
      </c>
      <c r="Y278" s="317">
        <f t="shared" si="247"/>
        <v>0</v>
      </c>
      <c r="Z278" s="317">
        <f t="shared" si="228"/>
        <v>0</v>
      </c>
      <c r="AA278" s="317">
        <f t="shared" si="229"/>
        <v>0</v>
      </c>
      <c r="AB278" s="317">
        <f t="shared" si="248"/>
        <v>0</v>
      </c>
      <c r="AC278" s="317">
        <f t="shared" si="249"/>
        <v>0</v>
      </c>
      <c r="AD278" s="317">
        <f t="shared" si="230"/>
        <v>0</v>
      </c>
      <c r="AE278" s="317">
        <f t="shared" si="231"/>
        <v>0</v>
      </c>
      <c r="AF278" s="317">
        <f t="shared" si="224"/>
        <v>0</v>
      </c>
      <c r="AG278" s="317">
        <f t="shared" si="225"/>
        <v>0</v>
      </c>
      <c r="AH278" s="317">
        <f t="shared" si="250"/>
        <v>0</v>
      </c>
      <c r="AI278" s="317">
        <f t="shared" si="251"/>
        <v>0</v>
      </c>
      <c r="AJ278" s="317">
        <f t="shared" si="252"/>
        <v>0</v>
      </c>
      <c r="AK278" s="317">
        <f t="shared" si="253"/>
        <v>0</v>
      </c>
      <c r="AL278" s="317">
        <f t="shared" si="254"/>
        <v>0</v>
      </c>
      <c r="AM278" s="317">
        <f t="shared" si="255"/>
        <v>0</v>
      </c>
      <c r="AN278" s="317">
        <f t="shared" si="256"/>
        <v>0</v>
      </c>
      <c r="AO278" s="317">
        <f t="shared" si="257"/>
        <v>0</v>
      </c>
      <c r="AP278" s="317">
        <f t="shared" si="258"/>
        <v>0</v>
      </c>
      <c r="AQ278" s="317">
        <f t="shared" si="259"/>
        <v>0</v>
      </c>
      <c r="AR278" s="317">
        <f t="shared" si="232"/>
        <v>0</v>
      </c>
      <c r="AS278" s="317">
        <f t="shared" si="233"/>
        <v>0</v>
      </c>
      <c r="AT278" s="317">
        <f t="shared" si="260"/>
        <v>0</v>
      </c>
      <c r="AU278" s="317">
        <f t="shared" si="261"/>
        <v>0</v>
      </c>
      <c r="AV278" s="317">
        <f t="shared" si="262"/>
        <v>0</v>
      </c>
      <c r="AW278" s="317">
        <f t="shared" si="263"/>
        <v>0</v>
      </c>
      <c r="AX278" s="317">
        <f t="shared" si="234"/>
        <v>0</v>
      </c>
      <c r="AY278" s="317">
        <f t="shared" si="235"/>
        <v>0</v>
      </c>
      <c r="AZ278" s="317">
        <f t="shared" si="236"/>
        <v>0</v>
      </c>
      <c r="BA278" s="317">
        <f t="shared" si="237"/>
        <v>0</v>
      </c>
    </row>
    <row r="279" spans="1:53" s="314" customFormat="1" ht="16.5" customHeight="1">
      <c r="A279" s="63" t="str">
        <f t="array" ref="A279">IF(C279&lt;&gt;0,SUM(($C$11:C279&lt;&gt;0)*1),"")</f>
        <v/>
      </c>
      <c r="B279" s="315"/>
      <c r="C279" s="315"/>
      <c r="D279" s="315"/>
      <c r="E279" s="433"/>
      <c r="F279" s="371"/>
      <c r="G279" s="373"/>
      <c r="H279" s="373"/>
      <c r="I279" s="63" t="str">
        <f t="shared" si="219"/>
        <v/>
      </c>
      <c r="J279" s="317">
        <f t="shared" si="226"/>
        <v>0</v>
      </c>
      <c r="K279" s="317">
        <f t="shared" si="227"/>
        <v>0</v>
      </c>
      <c r="L279" s="317">
        <f t="shared" si="238"/>
        <v>0</v>
      </c>
      <c r="M279" s="317">
        <f t="shared" si="239"/>
        <v>0</v>
      </c>
      <c r="N279" s="317">
        <f t="shared" si="220"/>
        <v>0</v>
      </c>
      <c r="O279" s="317">
        <f t="shared" si="221"/>
        <v>0</v>
      </c>
      <c r="P279" s="317">
        <f t="shared" si="240"/>
        <v>0</v>
      </c>
      <c r="Q279" s="317">
        <f t="shared" si="241"/>
        <v>0</v>
      </c>
      <c r="R279" s="317">
        <f t="shared" si="242"/>
        <v>0</v>
      </c>
      <c r="S279" s="317">
        <f t="shared" si="243"/>
        <v>0</v>
      </c>
      <c r="T279" s="317">
        <f t="shared" si="222"/>
        <v>0</v>
      </c>
      <c r="U279" s="317">
        <f t="shared" si="223"/>
        <v>0</v>
      </c>
      <c r="V279" s="317">
        <f t="shared" si="244"/>
        <v>0</v>
      </c>
      <c r="W279" s="317">
        <f t="shared" si="245"/>
        <v>0</v>
      </c>
      <c r="X279" s="317">
        <f t="shared" si="246"/>
        <v>0</v>
      </c>
      <c r="Y279" s="317">
        <f t="shared" si="247"/>
        <v>0</v>
      </c>
      <c r="Z279" s="317">
        <f t="shared" si="228"/>
        <v>0</v>
      </c>
      <c r="AA279" s="317">
        <f t="shared" si="229"/>
        <v>0</v>
      </c>
      <c r="AB279" s="317">
        <f t="shared" si="248"/>
        <v>0</v>
      </c>
      <c r="AC279" s="317">
        <f t="shared" si="249"/>
        <v>0</v>
      </c>
      <c r="AD279" s="317">
        <f t="shared" si="230"/>
        <v>0</v>
      </c>
      <c r="AE279" s="317">
        <f t="shared" si="231"/>
        <v>0</v>
      </c>
      <c r="AF279" s="317">
        <f t="shared" si="224"/>
        <v>0</v>
      </c>
      <c r="AG279" s="317">
        <f t="shared" si="225"/>
        <v>0</v>
      </c>
      <c r="AH279" s="317">
        <f t="shared" si="250"/>
        <v>0</v>
      </c>
      <c r="AI279" s="317">
        <f t="shared" si="251"/>
        <v>0</v>
      </c>
      <c r="AJ279" s="317">
        <f t="shared" si="252"/>
        <v>0</v>
      </c>
      <c r="AK279" s="317">
        <f t="shared" si="253"/>
        <v>0</v>
      </c>
      <c r="AL279" s="317">
        <f t="shared" si="254"/>
        <v>0</v>
      </c>
      <c r="AM279" s="317">
        <f t="shared" si="255"/>
        <v>0</v>
      </c>
      <c r="AN279" s="317">
        <f t="shared" si="256"/>
        <v>0</v>
      </c>
      <c r="AO279" s="317">
        <f t="shared" si="257"/>
        <v>0</v>
      </c>
      <c r="AP279" s="317">
        <f t="shared" si="258"/>
        <v>0</v>
      </c>
      <c r="AQ279" s="317">
        <f t="shared" si="259"/>
        <v>0</v>
      </c>
      <c r="AR279" s="317">
        <f t="shared" si="232"/>
        <v>0</v>
      </c>
      <c r="AS279" s="317">
        <f t="shared" si="233"/>
        <v>0</v>
      </c>
      <c r="AT279" s="317">
        <f t="shared" si="260"/>
        <v>0</v>
      </c>
      <c r="AU279" s="317">
        <f t="shared" si="261"/>
        <v>0</v>
      </c>
      <c r="AV279" s="317">
        <f t="shared" si="262"/>
        <v>0</v>
      </c>
      <c r="AW279" s="317">
        <f t="shared" si="263"/>
        <v>0</v>
      </c>
      <c r="AX279" s="317">
        <f t="shared" si="234"/>
        <v>0</v>
      </c>
      <c r="AY279" s="317">
        <f t="shared" si="235"/>
        <v>0</v>
      </c>
      <c r="AZ279" s="317">
        <f t="shared" si="236"/>
        <v>0</v>
      </c>
      <c r="BA279" s="317">
        <f t="shared" si="237"/>
        <v>0</v>
      </c>
    </row>
    <row r="280" spans="1:53" s="314" customFormat="1" ht="16.5" customHeight="1">
      <c r="A280" s="63" t="str">
        <f t="array" ref="A280">IF(C280&lt;&gt;0,SUM(($C$11:C280&lt;&gt;0)*1),"")</f>
        <v/>
      </c>
      <c r="B280" s="315"/>
      <c r="C280" s="315"/>
      <c r="D280" s="315"/>
      <c r="E280" s="433"/>
      <c r="F280" s="371"/>
      <c r="G280" s="373"/>
      <c r="H280" s="373"/>
      <c r="I280" s="63" t="str">
        <f t="shared" si="219"/>
        <v/>
      </c>
      <c r="J280" s="317">
        <f t="shared" si="226"/>
        <v>0</v>
      </c>
      <c r="K280" s="317">
        <f t="shared" si="227"/>
        <v>0</v>
      </c>
      <c r="L280" s="317">
        <f t="shared" si="238"/>
        <v>0</v>
      </c>
      <c r="M280" s="317">
        <f t="shared" si="239"/>
        <v>0</v>
      </c>
      <c r="N280" s="317">
        <f t="shared" si="220"/>
        <v>0</v>
      </c>
      <c r="O280" s="317">
        <f t="shared" si="221"/>
        <v>0</v>
      </c>
      <c r="P280" s="317">
        <f t="shared" si="240"/>
        <v>0</v>
      </c>
      <c r="Q280" s="317">
        <f t="shared" si="241"/>
        <v>0</v>
      </c>
      <c r="R280" s="317">
        <f t="shared" si="242"/>
        <v>0</v>
      </c>
      <c r="S280" s="317">
        <f t="shared" si="243"/>
        <v>0</v>
      </c>
      <c r="T280" s="317">
        <f t="shared" si="222"/>
        <v>0</v>
      </c>
      <c r="U280" s="317">
        <f t="shared" si="223"/>
        <v>0</v>
      </c>
      <c r="V280" s="317">
        <f t="shared" si="244"/>
        <v>0</v>
      </c>
      <c r="W280" s="317">
        <f t="shared" si="245"/>
        <v>0</v>
      </c>
      <c r="X280" s="317">
        <f t="shared" si="246"/>
        <v>0</v>
      </c>
      <c r="Y280" s="317">
        <f t="shared" si="247"/>
        <v>0</v>
      </c>
      <c r="Z280" s="317">
        <f t="shared" si="228"/>
        <v>0</v>
      </c>
      <c r="AA280" s="317">
        <f t="shared" si="229"/>
        <v>0</v>
      </c>
      <c r="AB280" s="317">
        <f t="shared" si="248"/>
        <v>0</v>
      </c>
      <c r="AC280" s="317">
        <f t="shared" si="249"/>
        <v>0</v>
      </c>
      <c r="AD280" s="317">
        <f t="shared" si="230"/>
        <v>0</v>
      </c>
      <c r="AE280" s="317">
        <f t="shared" si="231"/>
        <v>0</v>
      </c>
      <c r="AF280" s="317">
        <f t="shared" si="224"/>
        <v>0</v>
      </c>
      <c r="AG280" s="317">
        <f t="shared" si="225"/>
        <v>0</v>
      </c>
      <c r="AH280" s="317">
        <f t="shared" si="250"/>
        <v>0</v>
      </c>
      <c r="AI280" s="317">
        <f t="shared" si="251"/>
        <v>0</v>
      </c>
      <c r="AJ280" s="317">
        <f t="shared" si="252"/>
        <v>0</v>
      </c>
      <c r="AK280" s="317">
        <f t="shared" si="253"/>
        <v>0</v>
      </c>
      <c r="AL280" s="317">
        <f t="shared" si="254"/>
        <v>0</v>
      </c>
      <c r="AM280" s="317">
        <f t="shared" si="255"/>
        <v>0</v>
      </c>
      <c r="AN280" s="317">
        <f t="shared" si="256"/>
        <v>0</v>
      </c>
      <c r="AO280" s="317">
        <f t="shared" si="257"/>
        <v>0</v>
      </c>
      <c r="AP280" s="317">
        <f t="shared" si="258"/>
        <v>0</v>
      </c>
      <c r="AQ280" s="317">
        <f t="shared" si="259"/>
        <v>0</v>
      </c>
      <c r="AR280" s="317">
        <f t="shared" si="232"/>
        <v>0</v>
      </c>
      <c r="AS280" s="317">
        <f t="shared" si="233"/>
        <v>0</v>
      </c>
      <c r="AT280" s="317">
        <f t="shared" si="260"/>
        <v>0</v>
      </c>
      <c r="AU280" s="317">
        <f t="shared" si="261"/>
        <v>0</v>
      </c>
      <c r="AV280" s="317">
        <f t="shared" si="262"/>
        <v>0</v>
      </c>
      <c r="AW280" s="317">
        <f t="shared" si="263"/>
        <v>0</v>
      </c>
      <c r="AX280" s="317">
        <f t="shared" si="234"/>
        <v>0</v>
      </c>
      <c r="AY280" s="317">
        <f t="shared" si="235"/>
        <v>0</v>
      </c>
      <c r="AZ280" s="317">
        <f t="shared" si="236"/>
        <v>0</v>
      </c>
      <c r="BA280" s="317">
        <f t="shared" si="237"/>
        <v>0</v>
      </c>
    </row>
    <row r="281" spans="1:53" s="314" customFormat="1" ht="16.5" customHeight="1">
      <c r="A281" s="63" t="str">
        <f t="array" ref="A281">IF(C281&lt;&gt;0,SUM(($C$11:C281&lt;&gt;0)*1),"")</f>
        <v/>
      </c>
      <c r="B281" s="315"/>
      <c r="C281" s="315"/>
      <c r="D281" s="315"/>
      <c r="E281" s="433"/>
      <c r="F281" s="371"/>
      <c r="G281" s="373"/>
      <c r="H281" s="373"/>
      <c r="I281" s="63" t="str">
        <f t="shared" si="219"/>
        <v/>
      </c>
      <c r="J281" s="317">
        <f t="shared" si="226"/>
        <v>0</v>
      </c>
      <c r="K281" s="317">
        <f t="shared" si="227"/>
        <v>0</v>
      </c>
      <c r="L281" s="317">
        <f t="shared" si="238"/>
        <v>0</v>
      </c>
      <c r="M281" s="317">
        <f t="shared" si="239"/>
        <v>0</v>
      </c>
      <c r="N281" s="317">
        <f t="shared" si="220"/>
        <v>0</v>
      </c>
      <c r="O281" s="317">
        <f t="shared" si="221"/>
        <v>0</v>
      </c>
      <c r="P281" s="317">
        <f t="shared" si="240"/>
        <v>0</v>
      </c>
      <c r="Q281" s="317">
        <f t="shared" si="241"/>
        <v>0</v>
      </c>
      <c r="R281" s="317">
        <f t="shared" si="242"/>
        <v>0</v>
      </c>
      <c r="S281" s="317">
        <f t="shared" si="243"/>
        <v>0</v>
      </c>
      <c r="T281" s="317">
        <f t="shared" si="222"/>
        <v>0</v>
      </c>
      <c r="U281" s="317">
        <f t="shared" si="223"/>
        <v>0</v>
      </c>
      <c r="V281" s="317">
        <f t="shared" si="244"/>
        <v>0</v>
      </c>
      <c r="W281" s="317">
        <f t="shared" si="245"/>
        <v>0</v>
      </c>
      <c r="X281" s="317">
        <f t="shared" si="246"/>
        <v>0</v>
      </c>
      <c r="Y281" s="317">
        <f t="shared" si="247"/>
        <v>0</v>
      </c>
      <c r="Z281" s="317">
        <f t="shared" si="228"/>
        <v>0</v>
      </c>
      <c r="AA281" s="317">
        <f t="shared" si="229"/>
        <v>0</v>
      </c>
      <c r="AB281" s="317">
        <f t="shared" si="248"/>
        <v>0</v>
      </c>
      <c r="AC281" s="317">
        <f t="shared" si="249"/>
        <v>0</v>
      </c>
      <c r="AD281" s="317">
        <f t="shared" si="230"/>
        <v>0</v>
      </c>
      <c r="AE281" s="317">
        <f t="shared" si="231"/>
        <v>0</v>
      </c>
      <c r="AF281" s="317">
        <f t="shared" si="224"/>
        <v>0</v>
      </c>
      <c r="AG281" s="317">
        <f t="shared" si="225"/>
        <v>0</v>
      </c>
      <c r="AH281" s="317">
        <f t="shared" si="250"/>
        <v>0</v>
      </c>
      <c r="AI281" s="317">
        <f t="shared" si="251"/>
        <v>0</v>
      </c>
      <c r="AJ281" s="317">
        <f t="shared" si="252"/>
        <v>0</v>
      </c>
      <c r="AK281" s="317">
        <f t="shared" si="253"/>
        <v>0</v>
      </c>
      <c r="AL281" s="317">
        <f t="shared" si="254"/>
        <v>0</v>
      </c>
      <c r="AM281" s="317">
        <f t="shared" si="255"/>
        <v>0</v>
      </c>
      <c r="AN281" s="317">
        <f t="shared" si="256"/>
        <v>0</v>
      </c>
      <c r="AO281" s="317">
        <f t="shared" si="257"/>
        <v>0</v>
      </c>
      <c r="AP281" s="317">
        <f t="shared" si="258"/>
        <v>0</v>
      </c>
      <c r="AQ281" s="317">
        <f t="shared" si="259"/>
        <v>0</v>
      </c>
      <c r="AR281" s="317">
        <f t="shared" si="232"/>
        <v>0</v>
      </c>
      <c r="AS281" s="317">
        <f t="shared" si="233"/>
        <v>0</v>
      </c>
      <c r="AT281" s="317">
        <f t="shared" si="260"/>
        <v>0</v>
      </c>
      <c r="AU281" s="317">
        <f t="shared" si="261"/>
        <v>0</v>
      </c>
      <c r="AV281" s="317">
        <f t="shared" si="262"/>
        <v>0</v>
      </c>
      <c r="AW281" s="317">
        <f t="shared" si="263"/>
        <v>0</v>
      </c>
      <c r="AX281" s="317">
        <f t="shared" si="234"/>
        <v>0</v>
      </c>
      <c r="AY281" s="317">
        <f t="shared" si="235"/>
        <v>0</v>
      </c>
      <c r="AZ281" s="317">
        <f t="shared" si="236"/>
        <v>0</v>
      </c>
      <c r="BA281" s="317">
        <f t="shared" si="237"/>
        <v>0</v>
      </c>
    </row>
    <row r="282" spans="1:53" s="314" customFormat="1" ht="16.5" customHeight="1">
      <c r="A282" s="63" t="str">
        <f t="array" ref="A282">IF(C282&lt;&gt;0,SUM(($C$11:C282&lt;&gt;0)*1),"")</f>
        <v/>
      </c>
      <c r="B282" s="315"/>
      <c r="C282" s="315"/>
      <c r="D282" s="315"/>
      <c r="E282" s="433"/>
      <c r="F282" s="371"/>
      <c r="G282" s="373"/>
      <c r="H282" s="373"/>
      <c r="I282" s="63" t="str">
        <f t="shared" si="219"/>
        <v/>
      </c>
      <c r="J282" s="317">
        <f t="shared" si="226"/>
        <v>0</v>
      </c>
      <c r="K282" s="317">
        <f t="shared" si="227"/>
        <v>0</v>
      </c>
      <c r="L282" s="317">
        <f t="shared" si="238"/>
        <v>0</v>
      </c>
      <c r="M282" s="317">
        <f t="shared" si="239"/>
        <v>0</v>
      </c>
      <c r="N282" s="317">
        <f t="shared" si="220"/>
        <v>0</v>
      </c>
      <c r="O282" s="317">
        <f t="shared" si="221"/>
        <v>0</v>
      </c>
      <c r="P282" s="317">
        <f t="shared" si="240"/>
        <v>0</v>
      </c>
      <c r="Q282" s="317">
        <f t="shared" si="241"/>
        <v>0</v>
      </c>
      <c r="R282" s="317">
        <f t="shared" si="242"/>
        <v>0</v>
      </c>
      <c r="S282" s="317">
        <f t="shared" si="243"/>
        <v>0</v>
      </c>
      <c r="T282" s="317">
        <f t="shared" si="222"/>
        <v>0</v>
      </c>
      <c r="U282" s="317">
        <f t="shared" si="223"/>
        <v>0</v>
      </c>
      <c r="V282" s="317">
        <f t="shared" si="244"/>
        <v>0</v>
      </c>
      <c r="W282" s="317">
        <f t="shared" si="245"/>
        <v>0</v>
      </c>
      <c r="X282" s="317">
        <f t="shared" si="246"/>
        <v>0</v>
      </c>
      <c r="Y282" s="317">
        <f t="shared" si="247"/>
        <v>0</v>
      </c>
      <c r="Z282" s="317">
        <f t="shared" si="228"/>
        <v>0</v>
      </c>
      <c r="AA282" s="317">
        <f t="shared" si="229"/>
        <v>0</v>
      </c>
      <c r="AB282" s="317">
        <f t="shared" si="248"/>
        <v>0</v>
      </c>
      <c r="AC282" s="317">
        <f t="shared" si="249"/>
        <v>0</v>
      </c>
      <c r="AD282" s="317">
        <f t="shared" si="230"/>
        <v>0</v>
      </c>
      <c r="AE282" s="317">
        <f t="shared" si="231"/>
        <v>0</v>
      </c>
      <c r="AF282" s="317">
        <f t="shared" si="224"/>
        <v>0</v>
      </c>
      <c r="AG282" s="317">
        <f t="shared" si="225"/>
        <v>0</v>
      </c>
      <c r="AH282" s="317">
        <f t="shared" si="250"/>
        <v>0</v>
      </c>
      <c r="AI282" s="317">
        <f t="shared" si="251"/>
        <v>0</v>
      </c>
      <c r="AJ282" s="317">
        <f t="shared" si="252"/>
        <v>0</v>
      </c>
      <c r="AK282" s="317">
        <f t="shared" si="253"/>
        <v>0</v>
      </c>
      <c r="AL282" s="317">
        <f t="shared" si="254"/>
        <v>0</v>
      </c>
      <c r="AM282" s="317">
        <f t="shared" si="255"/>
        <v>0</v>
      </c>
      <c r="AN282" s="317">
        <f t="shared" si="256"/>
        <v>0</v>
      </c>
      <c r="AO282" s="317">
        <f t="shared" si="257"/>
        <v>0</v>
      </c>
      <c r="AP282" s="317">
        <f t="shared" si="258"/>
        <v>0</v>
      </c>
      <c r="AQ282" s="317">
        <f t="shared" si="259"/>
        <v>0</v>
      </c>
      <c r="AR282" s="317">
        <f t="shared" si="232"/>
        <v>0</v>
      </c>
      <c r="AS282" s="317">
        <f t="shared" si="233"/>
        <v>0</v>
      </c>
      <c r="AT282" s="317">
        <f t="shared" si="260"/>
        <v>0</v>
      </c>
      <c r="AU282" s="317">
        <f t="shared" si="261"/>
        <v>0</v>
      </c>
      <c r="AV282" s="317">
        <f t="shared" si="262"/>
        <v>0</v>
      </c>
      <c r="AW282" s="317">
        <f t="shared" si="263"/>
        <v>0</v>
      </c>
      <c r="AX282" s="317">
        <f t="shared" si="234"/>
        <v>0</v>
      </c>
      <c r="AY282" s="317">
        <f t="shared" si="235"/>
        <v>0</v>
      </c>
      <c r="AZ282" s="317">
        <f t="shared" si="236"/>
        <v>0</v>
      </c>
      <c r="BA282" s="317">
        <f t="shared" si="237"/>
        <v>0</v>
      </c>
    </row>
    <row r="283" spans="1:53" s="314" customFormat="1" ht="16.5" customHeight="1">
      <c r="A283" s="63" t="str">
        <f t="array" ref="A283">IF(C283&lt;&gt;0,SUM(($C$11:C283&lt;&gt;0)*1),"")</f>
        <v/>
      </c>
      <c r="B283" s="315"/>
      <c r="C283" s="315"/>
      <c r="D283" s="315"/>
      <c r="E283" s="433"/>
      <c r="F283" s="371"/>
      <c r="G283" s="373"/>
      <c r="H283" s="373"/>
      <c r="I283" s="63" t="str">
        <f t="shared" si="219"/>
        <v/>
      </c>
      <c r="J283" s="317">
        <f t="shared" si="226"/>
        <v>0</v>
      </c>
      <c r="K283" s="317">
        <f t="shared" si="227"/>
        <v>0</v>
      </c>
      <c r="L283" s="317">
        <f t="shared" si="238"/>
        <v>0</v>
      </c>
      <c r="M283" s="317">
        <f t="shared" si="239"/>
        <v>0</v>
      </c>
      <c r="N283" s="317">
        <f t="shared" si="220"/>
        <v>0</v>
      </c>
      <c r="O283" s="317">
        <f t="shared" si="221"/>
        <v>0</v>
      </c>
      <c r="P283" s="317">
        <f t="shared" si="240"/>
        <v>0</v>
      </c>
      <c r="Q283" s="317">
        <f t="shared" si="241"/>
        <v>0</v>
      </c>
      <c r="R283" s="317">
        <f t="shared" si="242"/>
        <v>0</v>
      </c>
      <c r="S283" s="317">
        <f t="shared" si="243"/>
        <v>0</v>
      </c>
      <c r="T283" s="317">
        <f t="shared" si="222"/>
        <v>0</v>
      </c>
      <c r="U283" s="317">
        <f t="shared" si="223"/>
        <v>0</v>
      </c>
      <c r="V283" s="317">
        <f t="shared" si="244"/>
        <v>0</v>
      </c>
      <c r="W283" s="317">
        <f t="shared" si="245"/>
        <v>0</v>
      </c>
      <c r="X283" s="317">
        <f t="shared" si="246"/>
        <v>0</v>
      </c>
      <c r="Y283" s="317">
        <f t="shared" si="247"/>
        <v>0</v>
      </c>
      <c r="Z283" s="317">
        <f t="shared" si="228"/>
        <v>0</v>
      </c>
      <c r="AA283" s="317">
        <f t="shared" si="229"/>
        <v>0</v>
      </c>
      <c r="AB283" s="317">
        <f t="shared" si="248"/>
        <v>0</v>
      </c>
      <c r="AC283" s="317">
        <f t="shared" si="249"/>
        <v>0</v>
      </c>
      <c r="AD283" s="317">
        <f t="shared" si="230"/>
        <v>0</v>
      </c>
      <c r="AE283" s="317">
        <f t="shared" si="231"/>
        <v>0</v>
      </c>
      <c r="AF283" s="317">
        <f t="shared" si="224"/>
        <v>0</v>
      </c>
      <c r="AG283" s="317">
        <f t="shared" si="225"/>
        <v>0</v>
      </c>
      <c r="AH283" s="317">
        <f t="shared" si="250"/>
        <v>0</v>
      </c>
      <c r="AI283" s="317">
        <f t="shared" si="251"/>
        <v>0</v>
      </c>
      <c r="AJ283" s="317">
        <f t="shared" si="252"/>
        <v>0</v>
      </c>
      <c r="AK283" s="317">
        <f t="shared" si="253"/>
        <v>0</v>
      </c>
      <c r="AL283" s="317">
        <f t="shared" si="254"/>
        <v>0</v>
      </c>
      <c r="AM283" s="317">
        <f t="shared" si="255"/>
        <v>0</v>
      </c>
      <c r="AN283" s="317">
        <f t="shared" si="256"/>
        <v>0</v>
      </c>
      <c r="AO283" s="317">
        <f t="shared" si="257"/>
        <v>0</v>
      </c>
      <c r="AP283" s="317">
        <f t="shared" si="258"/>
        <v>0</v>
      </c>
      <c r="AQ283" s="317">
        <f t="shared" si="259"/>
        <v>0</v>
      </c>
      <c r="AR283" s="317">
        <f t="shared" si="232"/>
        <v>0</v>
      </c>
      <c r="AS283" s="317">
        <f t="shared" si="233"/>
        <v>0</v>
      </c>
      <c r="AT283" s="317">
        <f t="shared" si="260"/>
        <v>0</v>
      </c>
      <c r="AU283" s="317">
        <f t="shared" si="261"/>
        <v>0</v>
      </c>
      <c r="AV283" s="317">
        <f t="shared" si="262"/>
        <v>0</v>
      </c>
      <c r="AW283" s="317">
        <f t="shared" si="263"/>
        <v>0</v>
      </c>
      <c r="AX283" s="317">
        <f t="shared" si="234"/>
        <v>0</v>
      </c>
      <c r="AY283" s="317">
        <f t="shared" si="235"/>
        <v>0</v>
      </c>
      <c r="AZ283" s="317">
        <f t="shared" si="236"/>
        <v>0</v>
      </c>
      <c r="BA283" s="317">
        <f t="shared" si="237"/>
        <v>0</v>
      </c>
    </row>
    <row r="284" spans="1:53" s="314" customFormat="1" ht="16.5" customHeight="1">
      <c r="A284" s="63" t="str">
        <f t="array" ref="A284">IF(C284&lt;&gt;0,SUM(($C$11:C284&lt;&gt;0)*1),"")</f>
        <v/>
      </c>
      <c r="B284" s="315"/>
      <c r="C284" s="315"/>
      <c r="D284" s="315"/>
      <c r="E284" s="433"/>
      <c r="F284" s="371"/>
      <c r="G284" s="373"/>
      <c r="H284" s="373"/>
      <c r="I284" s="63" t="str">
        <f t="shared" si="219"/>
        <v/>
      </c>
      <c r="J284" s="317">
        <f t="shared" si="226"/>
        <v>0</v>
      </c>
      <c r="K284" s="317">
        <f t="shared" si="227"/>
        <v>0</v>
      </c>
      <c r="L284" s="317">
        <f t="shared" si="238"/>
        <v>0</v>
      </c>
      <c r="M284" s="317">
        <f t="shared" si="239"/>
        <v>0</v>
      </c>
      <c r="N284" s="317">
        <f t="shared" si="220"/>
        <v>0</v>
      </c>
      <c r="O284" s="317">
        <f t="shared" si="221"/>
        <v>0</v>
      </c>
      <c r="P284" s="317">
        <f t="shared" si="240"/>
        <v>0</v>
      </c>
      <c r="Q284" s="317">
        <f t="shared" si="241"/>
        <v>0</v>
      </c>
      <c r="R284" s="317">
        <f t="shared" si="242"/>
        <v>0</v>
      </c>
      <c r="S284" s="317">
        <f t="shared" si="243"/>
        <v>0</v>
      </c>
      <c r="T284" s="317">
        <f t="shared" si="222"/>
        <v>0</v>
      </c>
      <c r="U284" s="317">
        <f t="shared" si="223"/>
        <v>0</v>
      </c>
      <c r="V284" s="317">
        <f t="shared" si="244"/>
        <v>0</v>
      </c>
      <c r="W284" s="317">
        <f t="shared" si="245"/>
        <v>0</v>
      </c>
      <c r="X284" s="317">
        <f t="shared" si="246"/>
        <v>0</v>
      </c>
      <c r="Y284" s="317">
        <f t="shared" si="247"/>
        <v>0</v>
      </c>
      <c r="Z284" s="317">
        <f t="shared" si="228"/>
        <v>0</v>
      </c>
      <c r="AA284" s="317">
        <f t="shared" si="229"/>
        <v>0</v>
      </c>
      <c r="AB284" s="317">
        <f t="shared" si="248"/>
        <v>0</v>
      </c>
      <c r="AC284" s="317">
        <f t="shared" si="249"/>
        <v>0</v>
      </c>
      <c r="AD284" s="317">
        <f t="shared" si="230"/>
        <v>0</v>
      </c>
      <c r="AE284" s="317">
        <f t="shared" si="231"/>
        <v>0</v>
      </c>
      <c r="AF284" s="317">
        <f t="shared" si="224"/>
        <v>0</v>
      </c>
      <c r="AG284" s="317">
        <f t="shared" si="225"/>
        <v>0</v>
      </c>
      <c r="AH284" s="317">
        <f t="shared" si="250"/>
        <v>0</v>
      </c>
      <c r="AI284" s="317">
        <f t="shared" si="251"/>
        <v>0</v>
      </c>
      <c r="AJ284" s="317">
        <f t="shared" si="252"/>
        <v>0</v>
      </c>
      <c r="AK284" s="317">
        <f t="shared" si="253"/>
        <v>0</v>
      </c>
      <c r="AL284" s="317">
        <f t="shared" si="254"/>
        <v>0</v>
      </c>
      <c r="AM284" s="317">
        <f t="shared" si="255"/>
        <v>0</v>
      </c>
      <c r="AN284" s="317">
        <f t="shared" si="256"/>
        <v>0</v>
      </c>
      <c r="AO284" s="317">
        <f t="shared" si="257"/>
        <v>0</v>
      </c>
      <c r="AP284" s="317">
        <f t="shared" si="258"/>
        <v>0</v>
      </c>
      <c r="AQ284" s="317">
        <f t="shared" si="259"/>
        <v>0</v>
      </c>
      <c r="AR284" s="317">
        <f t="shared" si="232"/>
        <v>0</v>
      </c>
      <c r="AS284" s="317">
        <f t="shared" si="233"/>
        <v>0</v>
      </c>
      <c r="AT284" s="317">
        <f t="shared" si="260"/>
        <v>0</v>
      </c>
      <c r="AU284" s="317">
        <f t="shared" si="261"/>
        <v>0</v>
      </c>
      <c r="AV284" s="317">
        <f t="shared" si="262"/>
        <v>0</v>
      </c>
      <c r="AW284" s="317">
        <f t="shared" si="263"/>
        <v>0</v>
      </c>
      <c r="AX284" s="317">
        <f t="shared" si="234"/>
        <v>0</v>
      </c>
      <c r="AY284" s="317">
        <f t="shared" si="235"/>
        <v>0</v>
      </c>
      <c r="AZ284" s="317">
        <f t="shared" si="236"/>
        <v>0</v>
      </c>
      <c r="BA284" s="317">
        <f t="shared" si="237"/>
        <v>0</v>
      </c>
    </row>
    <row r="285" spans="1:53" s="314" customFormat="1" ht="16.5" customHeight="1">
      <c r="A285" s="63" t="str">
        <f t="array" ref="A285">IF(C285&lt;&gt;0,SUM(($C$11:C285&lt;&gt;0)*1),"")</f>
        <v/>
      </c>
      <c r="B285" s="315"/>
      <c r="C285" s="315"/>
      <c r="D285" s="315"/>
      <c r="E285" s="433"/>
      <c r="F285" s="371"/>
      <c r="G285" s="373"/>
      <c r="H285" s="373"/>
      <c r="I285" s="63" t="str">
        <f t="shared" si="219"/>
        <v/>
      </c>
      <c r="J285" s="317">
        <f t="shared" si="226"/>
        <v>0</v>
      </c>
      <c r="K285" s="317">
        <f t="shared" si="227"/>
        <v>0</v>
      </c>
      <c r="L285" s="317">
        <f t="shared" si="238"/>
        <v>0</v>
      </c>
      <c r="M285" s="317">
        <f t="shared" si="239"/>
        <v>0</v>
      </c>
      <c r="N285" s="317">
        <f t="shared" si="220"/>
        <v>0</v>
      </c>
      <c r="O285" s="317">
        <f t="shared" si="221"/>
        <v>0</v>
      </c>
      <c r="P285" s="317">
        <f t="shared" si="240"/>
        <v>0</v>
      </c>
      <c r="Q285" s="317">
        <f t="shared" si="241"/>
        <v>0</v>
      </c>
      <c r="R285" s="317">
        <f t="shared" si="242"/>
        <v>0</v>
      </c>
      <c r="S285" s="317">
        <f t="shared" si="243"/>
        <v>0</v>
      </c>
      <c r="T285" s="317">
        <f t="shared" si="222"/>
        <v>0</v>
      </c>
      <c r="U285" s="317">
        <f t="shared" si="223"/>
        <v>0</v>
      </c>
      <c r="V285" s="317">
        <f t="shared" si="244"/>
        <v>0</v>
      </c>
      <c r="W285" s="317">
        <f t="shared" si="245"/>
        <v>0</v>
      </c>
      <c r="X285" s="317">
        <f t="shared" si="246"/>
        <v>0</v>
      </c>
      <c r="Y285" s="317">
        <f t="shared" si="247"/>
        <v>0</v>
      </c>
      <c r="Z285" s="317">
        <f t="shared" si="228"/>
        <v>0</v>
      </c>
      <c r="AA285" s="317">
        <f t="shared" si="229"/>
        <v>0</v>
      </c>
      <c r="AB285" s="317">
        <f t="shared" si="248"/>
        <v>0</v>
      </c>
      <c r="AC285" s="317">
        <f t="shared" si="249"/>
        <v>0</v>
      </c>
      <c r="AD285" s="317">
        <f t="shared" si="230"/>
        <v>0</v>
      </c>
      <c r="AE285" s="317">
        <f t="shared" si="231"/>
        <v>0</v>
      </c>
      <c r="AF285" s="317">
        <f t="shared" si="224"/>
        <v>0</v>
      </c>
      <c r="AG285" s="317">
        <f t="shared" si="225"/>
        <v>0</v>
      </c>
      <c r="AH285" s="317">
        <f t="shared" si="250"/>
        <v>0</v>
      </c>
      <c r="AI285" s="317">
        <f t="shared" si="251"/>
        <v>0</v>
      </c>
      <c r="AJ285" s="317">
        <f t="shared" si="252"/>
        <v>0</v>
      </c>
      <c r="AK285" s="317">
        <f t="shared" si="253"/>
        <v>0</v>
      </c>
      <c r="AL285" s="317">
        <f t="shared" si="254"/>
        <v>0</v>
      </c>
      <c r="AM285" s="317">
        <f t="shared" si="255"/>
        <v>0</v>
      </c>
      <c r="AN285" s="317">
        <f t="shared" si="256"/>
        <v>0</v>
      </c>
      <c r="AO285" s="317">
        <f t="shared" si="257"/>
        <v>0</v>
      </c>
      <c r="AP285" s="317">
        <f t="shared" si="258"/>
        <v>0</v>
      </c>
      <c r="AQ285" s="317">
        <f t="shared" si="259"/>
        <v>0</v>
      </c>
      <c r="AR285" s="317">
        <f t="shared" si="232"/>
        <v>0</v>
      </c>
      <c r="AS285" s="317">
        <f t="shared" si="233"/>
        <v>0</v>
      </c>
      <c r="AT285" s="317">
        <f t="shared" si="260"/>
        <v>0</v>
      </c>
      <c r="AU285" s="317">
        <f t="shared" si="261"/>
        <v>0</v>
      </c>
      <c r="AV285" s="317">
        <f t="shared" si="262"/>
        <v>0</v>
      </c>
      <c r="AW285" s="317">
        <f t="shared" si="263"/>
        <v>0</v>
      </c>
      <c r="AX285" s="317">
        <f t="shared" si="234"/>
        <v>0</v>
      </c>
      <c r="AY285" s="317">
        <f t="shared" si="235"/>
        <v>0</v>
      </c>
      <c r="AZ285" s="317">
        <f t="shared" si="236"/>
        <v>0</v>
      </c>
      <c r="BA285" s="317">
        <f t="shared" si="237"/>
        <v>0</v>
      </c>
    </row>
    <row r="286" spans="1:53" s="314" customFormat="1" ht="16.5" customHeight="1">
      <c r="A286" s="63" t="str">
        <f t="array" ref="A286">IF(C286&lt;&gt;0,SUM(($C$11:C286&lt;&gt;0)*1),"")</f>
        <v/>
      </c>
      <c r="B286" s="315"/>
      <c r="C286" s="315"/>
      <c r="D286" s="315"/>
      <c r="E286" s="433"/>
      <c r="F286" s="371"/>
      <c r="G286" s="373"/>
      <c r="H286" s="373"/>
      <c r="I286" s="63" t="str">
        <f t="shared" si="219"/>
        <v/>
      </c>
      <c r="J286" s="317">
        <f t="shared" si="226"/>
        <v>0</v>
      </c>
      <c r="K286" s="317">
        <f t="shared" si="227"/>
        <v>0</v>
      </c>
      <c r="L286" s="317">
        <f t="shared" si="238"/>
        <v>0</v>
      </c>
      <c r="M286" s="317">
        <f t="shared" si="239"/>
        <v>0</v>
      </c>
      <c r="N286" s="317">
        <f t="shared" si="220"/>
        <v>0</v>
      </c>
      <c r="O286" s="317">
        <f t="shared" si="221"/>
        <v>0</v>
      </c>
      <c r="P286" s="317">
        <f t="shared" si="240"/>
        <v>0</v>
      </c>
      <c r="Q286" s="317">
        <f t="shared" si="241"/>
        <v>0</v>
      </c>
      <c r="R286" s="317">
        <f t="shared" si="242"/>
        <v>0</v>
      </c>
      <c r="S286" s="317">
        <f t="shared" si="243"/>
        <v>0</v>
      </c>
      <c r="T286" s="317">
        <f t="shared" si="222"/>
        <v>0</v>
      </c>
      <c r="U286" s="317">
        <f t="shared" si="223"/>
        <v>0</v>
      </c>
      <c r="V286" s="317">
        <f t="shared" si="244"/>
        <v>0</v>
      </c>
      <c r="W286" s="317">
        <f t="shared" si="245"/>
        <v>0</v>
      </c>
      <c r="X286" s="317">
        <f t="shared" si="246"/>
        <v>0</v>
      </c>
      <c r="Y286" s="317">
        <f t="shared" si="247"/>
        <v>0</v>
      </c>
      <c r="Z286" s="317">
        <f t="shared" si="228"/>
        <v>0</v>
      </c>
      <c r="AA286" s="317">
        <f t="shared" si="229"/>
        <v>0</v>
      </c>
      <c r="AB286" s="317">
        <f t="shared" si="248"/>
        <v>0</v>
      </c>
      <c r="AC286" s="317">
        <f t="shared" si="249"/>
        <v>0</v>
      </c>
      <c r="AD286" s="317">
        <f t="shared" si="230"/>
        <v>0</v>
      </c>
      <c r="AE286" s="317">
        <f t="shared" si="231"/>
        <v>0</v>
      </c>
      <c r="AF286" s="317">
        <f t="shared" si="224"/>
        <v>0</v>
      </c>
      <c r="AG286" s="317">
        <f t="shared" si="225"/>
        <v>0</v>
      </c>
      <c r="AH286" s="317">
        <f t="shared" si="250"/>
        <v>0</v>
      </c>
      <c r="AI286" s="317">
        <f t="shared" si="251"/>
        <v>0</v>
      </c>
      <c r="AJ286" s="317">
        <f t="shared" si="252"/>
        <v>0</v>
      </c>
      <c r="AK286" s="317">
        <f t="shared" si="253"/>
        <v>0</v>
      </c>
      <c r="AL286" s="317">
        <f t="shared" si="254"/>
        <v>0</v>
      </c>
      <c r="AM286" s="317">
        <f t="shared" si="255"/>
        <v>0</v>
      </c>
      <c r="AN286" s="317">
        <f t="shared" si="256"/>
        <v>0</v>
      </c>
      <c r="AO286" s="317">
        <f t="shared" si="257"/>
        <v>0</v>
      </c>
      <c r="AP286" s="317">
        <f t="shared" si="258"/>
        <v>0</v>
      </c>
      <c r="AQ286" s="317">
        <f t="shared" si="259"/>
        <v>0</v>
      </c>
      <c r="AR286" s="317">
        <f t="shared" si="232"/>
        <v>0</v>
      </c>
      <c r="AS286" s="317">
        <f t="shared" si="233"/>
        <v>0</v>
      </c>
      <c r="AT286" s="317">
        <f t="shared" si="260"/>
        <v>0</v>
      </c>
      <c r="AU286" s="317">
        <f t="shared" si="261"/>
        <v>0</v>
      </c>
      <c r="AV286" s="317">
        <f t="shared" si="262"/>
        <v>0</v>
      </c>
      <c r="AW286" s="317">
        <f t="shared" si="263"/>
        <v>0</v>
      </c>
      <c r="AX286" s="317">
        <f t="shared" si="234"/>
        <v>0</v>
      </c>
      <c r="AY286" s="317">
        <f t="shared" si="235"/>
        <v>0</v>
      </c>
      <c r="AZ286" s="317">
        <f t="shared" si="236"/>
        <v>0</v>
      </c>
      <c r="BA286" s="317">
        <f t="shared" si="237"/>
        <v>0</v>
      </c>
    </row>
    <row r="287" spans="1:53" s="314" customFormat="1" ht="16.5" customHeight="1">
      <c r="A287" s="63" t="str">
        <f t="array" ref="A287">IF(C287&lt;&gt;0,SUM(($C$11:C287&lt;&gt;0)*1),"")</f>
        <v/>
      </c>
      <c r="B287" s="315"/>
      <c r="C287" s="315"/>
      <c r="D287" s="315"/>
      <c r="E287" s="433"/>
      <c r="F287" s="371"/>
      <c r="G287" s="373"/>
      <c r="H287" s="373"/>
      <c r="I287" s="63" t="str">
        <f t="shared" si="219"/>
        <v/>
      </c>
      <c r="J287" s="317">
        <f t="shared" si="226"/>
        <v>0</v>
      </c>
      <c r="K287" s="317">
        <f t="shared" si="227"/>
        <v>0</v>
      </c>
      <c r="L287" s="317">
        <f t="shared" si="238"/>
        <v>0</v>
      </c>
      <c r="M287" s="317">
        <f t="shared" si="239"/>
        <v>0</v>
      </c>
      <c r="N287" s="317">
        <f t="shared" si="220"/>
        <v>0</v>
      </c>
      <c r="O287" s="317">
        <f t="shared" si="221"/>
        <v>0</v>
      </c>
      <c r="P287" s="317">
        <f t="shared" si="240"/>
        <v>0</v>
      </c>
      <c r="Q287" s="317">
        <f t="shared" si="241"/>
        <v>0</v>
      </c>
      <c r="R287" s="317">
        <f t="shared" si="242"/>
        <v>0</v>
      </c>
      <c r="S287" s="317">
        <f t="shared" si="243"/>
        <v>0</v>
      </c>
      <c r="T287" s="317">
        <f t="shared" si="222"/>
        <v>0</v>
      </c>
      <c r="U287" s="317">
        <f t="shared" si="223"/>
        <v>0</v>
      </c>
      <c r="V287" s="317">
        <f t="shared" si="244"/>
        <v>0</v>
      </c>
      <c r="W287" s="317">
        <f t="shared" si="245"/>
        <v>0</v>
      </c>
      <c r="X287" s="317">
        <f t="shared" si="246"/>
        <v>0</v>
      </c>
      <c r="Y287" s="317">
        <f t="shared" si="247"/>
        <v>0</v>
      </c>
      <c r="Z287" s="317">
        <f t="shared" si="228"/>
        <v>0</v>
      </c>
      <c r="AA287" s="317">
        <f t="shared" si="229"/>
        <v>0</v>
      </c>
      <c r="AB287" s="317">
        <f t="shared" si="248"/>
        <v>0</v>
      </c>
      <c r="AC287" s="317">
        <f t="shared" si="249"/>
        <v>0</v>
      </c>
      <c r="AD287" s="317">
        <f t="shared" si="230"/>
        <v>0</v>
      </c>
      <c r="AE287" s="317">
        <f t="shared" si="231"/>
        <v>0</v>
      </c>
      <c r="AF287" s="317">
        <f t="shared" si="224"/>
        <v>0</v>
      </c>
      <c r="AG287" s="317">
        <f t="shared" si="225"/>
        <v>0</v>
      </c>
      <c r="AH287" s="317">
        <f t="shared" si="250"/>
        <v>0</v>
      </c>
      <c r="AI287" s="317">
        <f t="shared" si="251"/>
        <v>0</v>
      </c>
      <c r="AJ287" s="317">
        <f t="shared" si="252"/>
        <v>0</v>
      </c>
      <c r="AK287" s="317">
        <f t="shared" si="253"/>
        <v>0</v>
      </c>
      <c r="AL287" s="317">
        <f t="shared" si="254"/>
        <v>0</v>
      </c>
      <c r="AM287" s="317">
        <f t="shared" si="255"/>
        <v>0</v>
      </c>
      <c r="AN287" s="317">
        <f t="shared" si="256"/>
        <v>0</v>
      </c>
      <c r="AO287" s="317">
        <f t="shared" si="257"/>
        <v>0</v>
      </c>
      <c r="AP287" s="317">
        <f t="shared" si="258"/>
        <v>0</v>
      </c>
      <c r="AQ287" s="317">
        <f t="shared" si="259"/>
        <v>0</v>
      </c>
      <c r="AR287" s="317">
        <f t="shared" si="232"/>
        <v>0</v>
      </c>
      <c r="AS287" s="317">
        <f t="shared" si="233"/>
        <v>0</v>
      </c>
      <c r="AT287" s="317">
        <f t="shared" si="260"/>
        <v>0</v>
      </c>
      <c r="AU287" s="317">
        <f t="shared" si="261"/>
        <v>0</v>
      </c>
      <c r="AV287" s="317">
        <f t="shared" si="262"/>
        <v>0</v>
      </c>
      <c r="AW287" s="317">
        <f t="shared" si="263"/>
        <v>0</v>
      </c>
      <c r="AX287" s="317">
        <f t="shared" si="234"/>
        <v>0</v>
      </c>
      <c r="AY287" s="317">
        <f t="shared" si="235"/>
        <v>0</v>
      </c>
      <c r="AZ287" s="317">
        <f t="shared" si="236"/>
        <v>0</v>
      </c>
      <c r="BA287" s="317">
        <f t="shared" si="237"/>
        <v>0</v>
      </c>
    </row>
    <row r="288" spans="1:53" s="314" customFormat="1" ht="16.5" customHeight="1">
      <c r="A288" s="63" t="str">
        <f t="array" ref="A288">IF(C288&lt;&gt;0,SUM(($C$11:C288&lt;&gt;0)*1),"")</f>
        <v/>
      </c>
      <c r="B288" s="315"/>
      <c r="C288" s="315"/>
      <c r="D288" s="315"/>
      <c r="E288" s="433"/>
      <c r="F288" s="371"/>
      <c r="G288" s="373"/>
      <c r="H288" s="373"/>
      <c r="I288" s="63" t="str">
        <f t="shared" si="219"/>
        <v/>
      </c>
      <c r="J288" s="317">
        <f t="shared" si="226"/>
        <v>0</v>
      </c>
      <c r="K288" s="317">
        <f t="shared" si="227"/>
        <v>0</v>
      </c>
      <c r="L288" s="317">
        <f t="shared" si="238"/>
        <v>0</v>
      </c>
      <c r="M288" s="317">
        <f t="shared" si="239"/>
        <v>0</v>
      </c>
      <c r="N288" s="317">
        <f t="shared" si="220"/>
        <v>0</v>
      </c>
      <c r="O288" s="317">
        <f t="shared" si="221"/>
        <v>0</v>
      </c>
      <c r="P288" s="317">
        <f t="shared" si="240"/>
        <v>0</v>
      </c>
      <c r="Q288" s="317">
        <f t="shared" si="241"/>
        <v>0</v>
      </c>
      <c r="R288" s="317">
        <f t="shared" si="242"/>
        <v>0</v>
      </c>
      <c r="S288" s="317">
        <f t="shared" si="243"/>
        <v>0</v>
      </c>
      <c r="T288" s="317">
        <f t="shared" si="222"/>
        <v>0</v>
      </c>
      <c r="U288" s="317">
        <f t="shared" si="223"/>
        <v>0</v>
      </c>
      <c r="V288" s="317">
        <f t="shared" si="244"/>
        <v>0</v>
      </c>
      <c r="W288" s="317">
        <f t="shared" si="245"/>
        <v>0</v>
      </c>
      <c r="X288" s="317">
        <f t="shared" si="246"/>
        <v>0</v>
      </c>
      <c r="Y288" s="317">
        <f t="shared" si="247"/>
        <v>0</v>
      </c>
      <c r="Z288" s="317">
        <f t="shared" si="228"/>
        <v>0</v>
      </c>
      <c r="AA288" s="317">
        <f t="shared" si="229"/>
        <v>0</v>
      </c>
      <c r="AB288" s="317">
        <f t="shared" si="248"/>
        <v>0</v>
      </c>
      <c r="AC288" s="317">
        <f t="shared" si="249"/>
        <v>0</v>
      </c>
      <c r="AD288" s="317">
        <f t="shared" si="230"/>
        <v>0</v>
      </c>
      <c r="AE288" s="317">
        <f t="shared" si="231"/>
        <v>0</v>
      </c>
      <c r="AF288" s="317">
        <f t="shared" si="224"/>
        <v>0</v>
      </c>
      <c r="AG288" s="317">
        <f t="shared" si="225"/>
        <v>0</v>
      </c>
      <c r="AH288" s="317">
        <f t="shared" si="250"/>
        <v>0</v>
      </c>
      <c r="AI288" s="317">
        <f t="shared" si="251"/>
        <v>0</v>
      </c>
      <c r="AJ288" s="317">
        <f t="shared" si="252"/>
        <v>0</v>
      </c>
      <c r="AK288" s="317">
        <f t="shared" si="253"/>
        <v>0</v>
      </c>
      <c r="AL288" s="317">
        <f t="shared" si="254"/>
        <v>0</v>
      </c>
      <c r="AM288" s="317">
        <f t="shared" si="255"/>
        <v>0</v>
      </c>
      <c r="AN288" s="317">
        <f t="shared" si="256"/>
        <v>0</v>
      </c>
      <c r="AO288" s="317">
        <f t="shared" si="257"/>
        <v>0</v>
      </c>
      <c r="AP288" s="317">
        <f t="shared" si="258"/>
        <v>0</v>
      </c>
      <c r="AQ288" s="317">
        <f t="shared" si="259"/>
        <v>0</v>
      </c>
      <c r="AR288" s="317">
        <f t="shared" si="232"/>
        <v>0</v>
      </c>
      <c r="AS288" s="317">
        <f t="shared" si="233"/>
        <v>0</v>
      </c>
      <c r="AT288" s="317">
        <f t="shared" si="260"/>
        <v>0</v>
      </c>
      <c r="AU288" s="317">
        <f t="shared" si="261"/>
        <v>0</v>
      </c>
      <c r="AV288" s="317">
        <f t="shared" si="262"/>
        <v>0</v>
      </c>
      <c r="AW288" s="317">
        <f t="shared" si="263"/>
        <v>0</v>
      </c>
      <c r="AX288" s="317">
        <f t="shared" si="234"/>
        <v>0</v>
      </c>
      <c r="AY288" s="317">
        <f t="shared" si="235"/>
        <v>0</v>
      </c>
      <c r="AZ288" s="317">
        <f t="shared" si="236"/>
        <v>0</v>
      </c>
      <c r="BA288" s="317">
        <f t="shared" si="237"/>
        <v>0</v>
      </c>
    </row>
    <row r="289" spans="1:53" s="314" customFormat="1" ht="16.5" customHeight="1">
      <c r="A289" s="63" t="str">
        <f t="array" ref="A289">IF(C289&lt;&gt;0,SUM(($C$11:C289&lt;&gt;0)*1),"")</f>
        <v/>
      </c>
      <c r="B289" s="315"/>
      <c r="C289" s="315"/>
      <c r="D289" s="315"/>
      <c r="E289" s="433"/>
      <c r="F289" s="371"/>
      <c r="G289" s="373"/>
      <c r="H289" s="373"/>
      <c r="I289" s="63" t="str">
        <f t="shared" si="219"/>
        <v/>
      </c>
      <c r="J289" s="317">
        <f t="shared" si="226"/>
        <v>0</v>
      </c>
      <c r="K289" s="317">
        <f t="shared" si="227"/>
        <v>0</v>
      </c>
      <c r="L289" s="317">
        <f t="shared" si="238"/>
        <v>0</v>
      </c>
      <c r="M289" s="317">
        <f t="shared" si="239"/>
        <v>0</v>
      </c>
      <c r="N289" s="317">
        <f t="shared" si="220"/>
        <v>0</v>
      </c>
      <c r="O289" s="317">
        <f t="shared" si="221"/>
        <v>0</v>
      </c>
      <c r="P289" s="317">
        <f t="shared" si="240"/>
        <v>0</v>
      </c>
      <c r="Q289" s="317">
        <f t="shared" si="241"/>
        <v>0</v>
      </c>
      <c r="R289" s="317">
        <f t="shared" si="242"/>
        <v>0</v>
      </c>
      <c r="S289" s="317">
        <f t="shared" si="243"/>
        <v>0</v>
      </c>
      <c r="T289" s="317">
        <f t="shared" si="222"/>
        <v>0</v>
      </c>
      <c r="U289" s="317">
        <f t="shared" si="223"/>
        <v>0</v>
      </c>
      <c r="V289" s="317">
        <f t="shared" si="244"/>
        <v>0</v>
      </c>
      <c r="W289" s="317">
        <f t="shared" si="245"/>
        <v>0</v>
      </c>
      <c r="X289" s="317">
        <f t="shared" si="246"/>
        <v>0</v>
      </c>
      <c r="Y289" s="317">
        <f t="shared" si="247"/>
        <v>0</v>
      </c>
      <c r="Z289" s="317">
        <f t="shared" si="228"/>
        <v>0</v>
      </c>
      <c r="AA289" s="317">
        <f t="shared" si="229"/>
        <v>0</v>
      </c>
      <c r="AB289" s="317">
        <f t="shared" si="248"/>
        <v>0</v>
      </c>
      <c r="AC289" s="317">
        <f t="shared" si="249"/>
        <v>0</v>
      </c>
      <c r="AD289" s="317">
        <f t="shared" si="230"/>
        <v>0</v>
      </c>
      <c r="AE289" s="317">
        <f t="shared" si="231"/>
        <v>0</v>
      </c>
      <c r="AF289" s="317">
        <f t="shared" si="224"/>
        <v>0</v>
      </c>
      <c r="AG289" s="317">
        <f t="shared" si="225"/>
        <v>0</v>
      </c>
      <c r="AH289" s="317">
        <f t="shared" si="250"/>
        <v>0</v>
      </c>
      <c r="AI289" s="317">
        <f t="shared" si="251"/>
        <v>0</v>
      </c>
      <c r="AJ289" s="317">
        <f t="shared" si="252"/>
        <v>0</v>
      </c>
      <c r="AK289" s="317">
        <f t="shared" si="253"/>
        <v>0</v>
      </c>
      <c r="AL289" s="317">
        <f t="shared" si="254"/>
        <v>0</v>
      </c>
      <c r="AM289" s="317">
        <f t="shared" si="255"/>
        <v>0</v>
      </c>
      <c r="AN289" s="317">
        <f t="shared" si="256"/>
        <v>0</v>
      </c>
      <c r="AO289" s="317">
        <f t="shared" si="257"/>
        <v>0</v>
      </c>
      <c r="AP289" s="317">
        <f t="shared" si="258"/>
        <v>0</v>
      </c>
      <c r="AQ289" s="317">
        <f t="shared" si="259"/>
        <v>0</v>
      </c>
      <c r="AR289" s="317">
        <f t="shared" si="232"/>
        <v>0</v>
      </c>
      <c r="AS289" s="317">
        <f t="shared" si="233"/>
        <v>0</v>
      </c>
      <c r="AT289" s="317">
        <f t="shared" si="260"/>
        <v>0</v>
      </c>
      <c r="AU289" s="317">
        <f t="shared" si="261"/>
        <v>0</v>
      </c>
      <c r="AV289" s="317">
        <f t="shared" si="262"/>
        <v>0</v>
      </c>
      <c r="AW289" s="317">
        <f t="shared" si="263"/>
        <v>0</v>
      </c>
      <c r="AX289" s="317">
        <f t="shared" si="234"/>
        <v>0</v>
      </c>
      <c r="AY289" s="317">
        <f t="shared" si="235"/>
        <v>0</v>
      </c>
      <c r="AZ289" s="317">
        <f t="shared" si="236"/>
        <v>0</v>
      </c>
      <c r="BA289" s="317">
        <f t="shared" si="237"/>
        <v>0</v>
      </c>
    </row>
    <row r="290" spans="1:53" s="314" customFormat="1" ht="16.5" customHeight="1">
      <c r="A290" s="63" t="str">
        <f t="array" ref="A290">IF(C290&lt;&gt;0,SUM(($C$11:C290&lt;&gt;0)*1),"")</f>
        <v/>
      </c>
      <c r="B290" s="315"/>
      <c r="C290" s="315"/>
      <c r="D290" s="315"/>
      <c r="E290" s="433"/>
      <c r="F290" s="371"/>
      <c r="G290" s="373"/>
      <c r="H290" s="373"/>
      <c r="I290" s="63" t="str">
        <f t="shared" si="219"/>
        <v/>
      </c>
      <c r="J290" s="317">
        <f t="shared" si="226"/>
        <v>0</v>
      </c>
      <c r="K290" s="317">
        <f t="shared" si="227"/>
        <v>0</v>
      </c>
      <c r="L290" s="317">
        <f t="shared" si="238"/>
        <v>0</v>
      </c>
      <c r="M290" s="317">
        <f t="shared" si="239"/>
        <v>0</v>
      </c>
      <c r="N290" s="317">
        <f t="shared" si="220"/>
        <v>0</v>
      </c>
      <c r="O290" s="317">
        <f t="shared" si="221"/>
        <v>0</v>
      </c>
      <c r="P290" s="317">
        <f t="shared" si="240"/>
        <v>0</v>
      </c>
      <c r="Q290" s="317">
        <f t="shared" si="241"/>
        <v>0</v>
      </c>
      <c r="R290" s="317">
        <f t="shared" si="242"/>
        <v>0</v>
      </c>
      <c r="S290" s="317">
        <f t="shared" si="243"/>
        <v>0</v>
      </c>
      <c r="T290" s="317">
        <f t="shared" si="222"/>
        <v>0</v>
      </c>
      <c r="U290" s="317">
        <f t="shared" si="223"/>
        <v>0</v>
      </c>
      <c r="V290" s="317">
        <f t="shared" si="244"/>
        <v>0</v>
      </c>
      <c r="W290" s="317">
        <f t="shared" si="245"/>
        <v>0</v>
      </c>
      <c r="X290" s="317">
        <f t="shared" si="246"/>
        <v>0</v>
      </c>
      <c r="Y290" s="317">
        <f t="shared" si="247"/>
        <v>0</v>
      </c>
      <c r="Z290" s="317">
        <f t="shared" si="228"/>
        <v>0</v>
      </c>
      <c r="AA290" s="317">
        <f t="shared" si="229"/>
        <v>0</v>
      </c>
      <c r="AB290" s="317">
        <f t="shared" si="248"/>
        <v>0</v>
      </c>
      <c r="AC290" s="317">
        <f t="shared" si="249"/>
        <v>0</v>
      </c>
      <c r="AD290" s="317">
        <f t="shared" si="230"/>
        <v>0</v>
      </c>
      <c r="AE290" s="317">
        <f t="shared" si="231"/>
        <v>0</v>
      </c>
      <c r="AF290" s="317">
        <f t="shared" si="224"/>
        <v>0</v>
      </c>
      <c r="AG290" s="317">
        <f t="shared" si="225"/>
        <v>0</v>
      </c>
      <c r="AH290" s="317">
        <f t="shared" si="250"/>
        <v>0</v>
      </c>
      <c r="AI290" s="317">
        <f t="shared" si="251"/>
        <v>0</v>
      </c>
      <c r="AJ290" s="317">
        <f t="shared" si="252"/>
        <v>0</v>
      </c>
      <c r="AK290" s="317">
        <f t="shared" si="253"/>
        <v>0</v>
      </c>
      <c r="AL290" s="317">
        <f t="shared" si="254"/>
        <v>0</v>
      </c>
      <c r="AM290" s="317">
        <f t="shared" si="255"/>
        <v>0</v>
      </c>
      <c r="AN290" s="317">
        <f t="shared" si="256"/>
        <v>0</v>
      </c>
      <c r="AO290" s="317">
        <f t="shared" si="257"/>
        <v>0</v>
      </c>
      <c r="AP290" s="317">
        <f t="shared" si="258"/>
        <v>0</v>
      </c>
      <c r="AQ290" s="317">
        <f t="shared" si="259"/>
        <v>0</v>
      </c>
      <c r="AR290" s="317">
        <f t="shared" si="232"/>
        <v>0</v>
      </c>
      <c r="AS290" s="317">
        <f t="shared" si="233"/>
        <v>0</v>
      </c>
      <c r="AT290" s="317">
        <f t="shared" si="260"/>
        <v>0</v>
      </c>
      <c r="AU290" s="317">
        <f t="shared" si="261"/>
        <v>0</v>
      </c>
      <c r="AV290" s="317">
        <f t="shared" si="262"/>
        <v>0</v>
      </c>
      <c r="AW290" s="317">
        <f t="shared" si="263"/>
        <v>0</v>
      </c>
      <c r="AX290" s="317">
        <f t="shared" si="234"/>
        <v>0</v>
      </c>
      <c r="AY290" s="317">
        <f t="shared" si="235"/>
        <v>0</v>
      </c>
      <c r="AZ290" s="317">
        <f t="shared" si="236"/>
        <v>0</v>
      </c>
      <c r="BA290" s="317">
        <f t="shared" si="237"/>
        <v>0</v>
      </c>
    </row>
    <row r="291" spans="1:53" s="314" customFormat="1" ht="16.5" customHeight="1">
      <c r="A291" s="63" t="str">
        <f t="array" ref="A291">IF(C291&lt;&gt;0,SUM(($C$11:C291&lt;&gt;0)*1),"")</f>
        <v/>
      </c>
      <c r="B291" s="315"/>
      <c r="C291" s="315"/>
      <c r="D291" s="315"/>
      <c r="E291" s="433"/>
      <c r="F291" s="371"/>
      <c r="G291" s="373"/>
      <c r="H291" s="373"/>
      <c r="I291" s="63" t="str">
        <f t="shared" si="219"/>
        <v/>
      </c>
      <c r="J291" s="317">
        <f t="shared" si="226"/>
        <v>0</v>
      </c>
      <c r="K291" s="317">
        <f t="shared" si="227"/>
        <v>0</v>
      </c>
      <c r="L291" s="317">
        <f t="shared" si="238"/>
        <v>0</v>
      </c>
      <c r="M291" s="317">
        <f t="shared" si="239"/>
        <v>0</v>
      </c>
      <c r="N291" s="317">
        <f t="shared" si="220"/>
        <v>0</v>
      </c>
      <c r="O291" s="317">
        <f t="shared" si="221"/>
        <v>0</v>
      </c>
      <c r="P291" s="317">
        <f t="shared" si="240"/>
        <v>0</v>
      </c>
      <c r="Q291" s="317">
        <f t="shared" si="241"/>
        <v>0</v>
      </c>
      <c r="R291" s="317">
        <f t="shared" si="242"/>
        <v>0</v>
      </c>
      <c r="S291" s="317">
        <f t="shared" si="243"/>
        <v>0</v>
      </c>
      <c r="T291" s="317">
        <f t="shared" si="222"/>
        <v>0</v>
      </c>
      <c r="U291" s="317">
        <f t="shared" si="223"/>
        <v>0</v>
      </c>
      <c r="V291" s="317">
        <f t="shared" si="244"/>
        <v>0</v>
      </c>
      <c r="W291" s="317">
        <f t="shared" si="245"/>
        <v>0</v>
      </c>
      <c r="X291" s="317">
        <f t="shared" si="246"/>
        <v>0</v>
      </c>
      <c r="Y291" s="317">
        <f t="shared" si="247"/>
        <v>0</v>
      </c>
      <c r="Z291" s="317">
        <f t="shared" si="228"/>
        <v>0</v>
      </c>
      <c r="AA291" s="317">
        <f t="shared" si="229"/>
        <v>0</v>
      </c>
      <c r="AB291" s="317">
        <f t="shared" si="248"/>
        <v>0</v>
      </c>
      <c r="AC291" s="317">
        <f t="shared" si="249"/>
        <v>0</v>
      </c>
      <c r="AD291" s="317">
        <f t="shared" si="230"/>
        <v>0</v>
      </c>
      <c r="AE291" s="317">
        <f t="shared" si="231"/>
        <v>0</v>
      </c>
      <c r="AF291" s="317">
        <f t="shared" si="224"/>
        <v>0</v>
      </c>
      <c r="AG291" s="317">
        <f t="shared" si="225"/>
        <v>0</v>
      </c>
      <c r="AH291" s="317">
        <f t="shared" si="250"/>
        <v>0</v>
      </c>
      <c r="AI291" s="317">
        <f t="shared" si="251"/>
        <v>0</v>
      </c>
      <c r="AJ291" s="317">
        <f t="shared" si="252"/>
        <v>0</v>
      </c>
      <c r="AK291" s="317">
        <f t="shared" si="253"/>
        <v>0</v>
      </c>
      <c r="AL291" s="317">
        <f t="shared" si="254"/>
        <v>0</v>
      </c>
      <c r="AM291" s="317">
        <f t="shared" si="255"/>
        <v>0</v>
      </c>
      <c r="AN291" s="317">
        <f t="shared" si="256"/>
        <v>0</v>
      </c>
      <c r="AO291" s="317">
        <f t="shared" si="257"/>
        <v>0</v>
      </c>
      <c r="AP291" s="317">
        <f t="shared" si="258"/>
        <v>0</v>
      </c>
      <c r="AQ291" s="317">
        <f t="shared" si="259"/>
        <v>0</v>
      </c>
      <c r="AR291" s="317">
        <f t="shared" si="232"/>
        <v>0</v>
      </c>
      <c r="AS291" s="317">
        <f t="shared" si="233"/>
        <v>0</v>
      </c>
      <c r="AT291" s="317">
        <f t="shared" si="260"/>
        <v>0</v>
      </c>
      <c r="AU291" s="317">
        <f t="shared" si="261"/>
        <v>0</v>
      </c>
      <c r="AV291" s="317">
        <f t="shared" si="262"/>
        <v>0</v>
      </c>
      <c r="AW291" s="317">
        <f t="shared" si="263"/>
        <v>0</v>
      </c>
      <c r="AX291" s="317">
        <f t="shared" si="234"/>
        <v>0</v>
      </c>
      <c r="AY291" s="317">
        <f t="shared" si="235"/>
        <v>0</v>
      </c>
      <c r="AZ291" s="317">
        <f t="shared" si="236"/>
        <v>0</v>
      </c>
      <c r="BA291" s="317">
        <f t="shared" si="237"/>
        <v>0</v>
      </c>
    </row>
    <row r="292" spans="1:53" s="314" customFormat="1" ht="16.5" customHeight="1">
      <c r="A292" s="63" t="str">
        <f t="array" ref="A292">IF(C292&lt;&gt;0,SUM(($C$11:C292&lt;&gt;0)*1),"")</f>
        <v/>
      </c>
      <c r="B292" s="315"/>
      <c r="C292" s="315"/>
      <c r="D292" s="315"/>
      <c r="E292" s="433"/>
      <c r="F292" s="371"/>
      <c r="G292" s="373"/>
      <c r="H292" s="373"/>
      <c r="I292" s="63" t="str">
        <f t="shared" si="219"/>
        <v/>
      </c>
      <c r="J292" s="317">
        <f t="shared" si="226"/>
        <v>0</v>
      </c>
      <c r="K292" s="317">
        <f t="shared" si="227"/>
        <v>0</v>
      </c>
      <c r="L292" s="317">
        <f t="shared" si="238"/>
        <v>0</v>
      </c>
      <c r="M292" s="317">
        <f t="shared" si="239"/>
        <v>0</v>
      </c>
      <c r="N292" s="317">
        <f t="shared" si="220"/>
        <v>0</v>
      </c>
      <c r="O292" s="317">
        <f t="shared" si="221"/>
        <v>0</v>
      </c>
      <c r="P292" s="317">
        <f t="shared" si="240"/>
        <v>0</v>
      </c>
      <c r="Q292" s="317">
        <f t="shared" si="241"/>
        <v>0</v>
      </c>
      <c r="R292" s="317">
        <f t="shared" si="242"/>
        <v>0</v>
      </c>
      <c r="S292" s="317">
        <f t="shared" si="243"/>
        <v>0</v>
      </c>
      <c r="T292" s="317">
        <f t="shared" si="222"/>
        <v>0</v>
      </c>
      <c r="U292" s="317">
        <f t="shared" si="223"/>
        <v>0</v>
      </c>
      <c r="V292" s="317">
        <f t="shared" si="244"/>
        <v>0</v>
      </c>
      <c r="W292" s="317">
        <f t="shared" si="245"/>
        <v>0</v>
      </c>
      <c r="X292" s="317">
        <f t="shared" si="246"/>
        <v>0</v>
      </c>
      <c r="Y292" s="317">
        <f t="shared" si="247"/>
        <v>0</v>
      </c>
      <c r="Z292" s="317">
        <f t="shared" si="228"/>
        <v>0</v>
      </c>
      <c r="AA292" s="317">
        <f t="shared" si="229"/>
        <v>0</v>
      </c>
      <c r="AB292" s="317">
        <f t="shared" si="248"/>
        <v>0</v>
      </c>
      <c r="AC292" s="317">
        <f t="shared" si="249"/>
        <v>0</v>
      </c>
      <c r="AD292" s="317">
        <f t="shared" si="230"/>
        <v>0</v>
      </c>
      <c r="AE292" s="317">
        <f t="shared" si="231"/>
        <v>0</v>
      </c>
      <c r="AF292" s="317">
        <f t="shared" si="224"/>
        <v>0</v>
      </c>
      <c r="AG292" s="317">
        <f t="shared" si="225"/>
        <v>0</v>
      </c>
      <c r="AH292" s="317">
        <f t="shared" si="250"/>
        <v>0</v>
      </c>
      <c r="AI292" s="317">
        <f t="shared" si="251"/>
        <v>0</v>
      </c>
      <c r="AJ292" s="317">
        <f t="shared" si="252"/>
        <v>0</v>
      </c>
      <c r="AK292" s="317">
        <f t="shared" si="253"/>
        <v>0</v>
      </c>
      <c r="AL292" s="317">
        <f t="shared" si="254"/>
        <v>0</v>
      </c>
      <c r="AM292" s="317">
        <f t="shared" si="255"/>
        <v>0</v>
      </c>
      <c r="AN292" s="317">
        <f t="shared" si="256"/>
        <v>0</v>
      </c>
      <c r="AO292" s="317">
        <f t="shared" si="257"/>
        <v>0</v>
      </c>
      <c r="AP292" s="317">
        <f t="shared" si="258"/>
        <v>0</v>
      </c>
      <c r="AQ292" s="317">
        <f t="shared" si="259"/>
        <v>0</v>
      </c>
      <c r="AR292" s="317">
        <f t="shared" si="232"/>
        <v>0</v>
      </c>
      <c r="AS292" s="317">
        <f t="shared" si="233"/>
        <v>0</v>
      </c>
      <c r="AT292" s="317">
        <f t="shared" si="260"/>
        <v>0</v>
      </c>
      <c r="AU292" s="317">
        <f t="shared" si="261"/>
        <v>0</v>
      </c>
      <c r="AV292" s="317">
        <f t="shared" si="262"/>
        <v>0</v>
      </c>
      <c r="AW292" s="317">
        <f t="shared" si="263"/>
        <v>0</v>
      </c>
      <c r="AX292" s="317">
        <f t="shared" si="234"/>
        <v>0</v>
      </c>
      <c r="AY292" s="317">
        <f t="shared" si="235"/>
        <v>0</v>
      </c>
      <c r="AZ292" s="317">
        <f t="shared" si="236"/>
        <v>0</v>
      </c>
      <c r="BA292" s="317">
        <f t="shared" si="237"/>
        <v>0</v>
      </c>
    </row>
    <row r="293" spans="1:53" s="314" customFormat="1" ht="16.5" customHeight="1">
      <c r="A293" s="63" t="str">
        <f t="array" ref="A293">IF(C293&lt;&gt;0,SUM(($C$11:C293&lt;&gt;0)*1),"")</f>
        <v/>
      </c>
      <c r="B293" s="315"/>
      <c r="C293" s="315"/>
      <c r="D293" s="315"/>
      <c r="E293" s="433"/>
      <c r="F293" s="371"/>
      <c r="G293" s="373"/>
      <c r="H293" s="373"/>
      <c r="I293" s="63" t="str">
        <f t="shared" si="219"/>
        <v/>
      </c>
      <c r="J293" s="317">
        <f t="shared" si="226"/>
        <v>0</v>
      </c>
      <c r="K293" s="317">
        <f t="shared" si="227"/>
        <v>0</v>
      </c>
      <c r="L293" s="317">
        <f t="shared" si="238"/>
        <v>0</v>
      </c>
      <c r="M293" s="317">
        <f t="shared" si="239"/>
        <v>0</v>
      </c>
      <c r="N293" s="317">
        <f t="shared" si="220"/>
        <v>0</v>
      </c>
      <c r="O293" s="317">
        <f t="shared" si="221"/>
        <v>0</v>
      </c>
      <c r="P293" s="317">
        <f t="shared" si="240"/>
        <v>0</v>
      </c>
      <c r="Q293" s="317">
        <f t="shared" si="241"/>
        <v>0</v>
      </c>
      <c r="R293" s="317">
        <f t="shared" si="242"/>
        <v>0</v>
      </c>
      <c r="S293" s="317">
        <f t="shared" si="243"/>
        <v>0</v>
      </c>
      <c r="T293" s="317">
        <f t="shared" si="222"/>
        <v>0</v>
      </c>
      <c r="U293" s="317">
        <f t="shared" si="223"/>
        <v>0</v>
      </c>
      <c r="V293" s="317">
        <f t="shared" si="244"/>
        <v>0</v>
      </c>
      <c r="W293" s="317">
        <f t="shared" si="245"/>
        <v>0</v>
      </c>
      <c r="X293" s="317">
        <f t="shared" si="246"/>
        <v>0</v>
      </c>
      <c r="Y293" s="317">
        <f t="shared" si="247"/>
        <v>0</v>
      </c>
      <c r="Z293" s="317">
        <f t="shared" si="228"/>
        <v>0</v>
      </c>
      <c r="AA293" s="317">
        <f t="shared" si="229"/>
        <v>0</v>
      </c>
      <c r="AB293" s="317">
        <f t="shared" si="248"/>
        <v>0</v>
      </c>
      <c r="AC293" s="317">
        <f t="shared" si="249"/>
        <v>0</v>
      </c>
      <c r="AD293" s="317">
        <f t="shared" si="230"/>
        <v>0</v>
      </c>
      <c r="AE293" s="317">
        <f t="shared" si="231"/>
        <v>0</v>
      </c>
      <c r="AF293" s="317">
        <f t="shared" si="224"/>
        <v>0</v>
      </c>
      <c r="AG293" s="317">
        <f t="shared" si="225"/>
        <v>0</v>
      </c>
      <c r="AH293" s="317">
        <f t="shared" si="250"/>
        <v>0</v>
      </c>
      <c r="AI293" s="317">
        <f t="shared" si="251"/>
        <v>0</v>
      </c>
      <c r="AJ293" s="317">
        <f t="shared" si="252"/>
        <v>0</v>
      </c>
      <c r="AK293" s="317">
        <f t="shared" si="253"/>
        <v>0</v>
      </c>
      <c r="AL293" s="317">
        <f t="shared" si="254"/>
        <v>0</v>
      </c>
      <c r="AM293" s="317">
        <f t="shared" si="255"/>
        <v>0</v>
      </c>
      <c r="AN293" s="317">
        <f t="shared" si="256"/>
        <v>0</v>
      </c>
      <c r="AO293" s="317">
        <f t="shared" si="257"/>
        <v>0</v>
      </c>
      <c r="AP293" s="317">
        <f t="shared" si="258"/>
        <v>0</v>
      </c>
      <c r="AQ293" s="317">
        <f t="shared" si="259"/>
        <v>0</v>
      </c>
      <c r="AR293" s="317">
        <f t="shared" si="232"/>
        <v>0</v>
      </c>
      <c r="AS293" s="317">
        <f t="shared" si="233"/>
        <v>0</v>
      </c>
      <c r="AT293" s="317">
        <f t="shared" si="260"/>
        <v>0</v>
      </c>
      <c r="AU293" s="317">
        <f t="shared" si="261"/>
        <v>0</v>
      </c>
      <c r="AV293" s="317">
        <f t="shared" si="262"/>
        <v>0</v>
      </c>
      <c r="AW293" s="317">
        <f t="shared" si="263"/>
        <v>0</v>
      </c>
      <c r="AX293" s="317">
        <f t="shared" si="234"/>
        <v>0</v>
      </c>
      <c r="AY293" s="317">
        <f t="shared" si="235"/>
        <v>0</v>
      </c>
      <c r="AZ293" s="317">
        <f t="shared" si="236"/>
        <v>0</v>
      </c>
      <c r="BA293" s="317">
        <f t="shared" si="237"/>
        <v>0</v>
      </c>
    </row>
    <row r="294" spans="1:53" s="314" customFormat="1" ht="16.5" customHeight="1">
      <c r="A294" s="63" t="str">
        <f t="array" ref="A294">IF(C294&lt;&gt;0,SUM(($C$11:C294&lt;&gt;0)*1),"")</f>
        <v/>
      </c>
      <c r="B294" s="315"/>
      <c r="C294" s="315"/>
      <c r="D294" s="315"/>
      <c r="E294" s="433"/>
      <c r="F294" s="371"/>
      <c r="G294" s="373"/>
      <c r="H294" s="373"/>
      <c r="I294" s="63" t="str">
        <f t="shared" si="219"/>
        <v/>
      </c>
      <c r="J294" s="317">
        <f t="shared" si="226"/>
        <v>0</v>
      </c>
      <c r="K294" s="317">
        <f t="shared" si="227"/>
        <v>0</v>
      </c>
      <c r="L294" s="317">
        <f t="shared" si="238"/>
        <v>0</v>
      </c>
      <c r="M294" s="317">
        <f t="shared" si="239"/>
        <v>0</v>
      </c>
      <c r="N294" s="317">
        <f t="shared" si="220"/>
        <v>0</v>
      </c>
      <c r="O294" s="317">
        <f t="shared" si="221"/>
        <v>0</v>
      </c>
      <c r="P294" s="317">
        <f t="shared" si="240"/>
        <v>0</v>
      </c>
      <c r="Q294" s="317">
        <f t="shared" si="241"/>
        <v>0</v>
      </c>
      <c r="R294" s="317">
        <f t="shared" si="242"/>
        <v>0</v>
      </c>
      <c r="S294" s="317">
        <f t="shared" si="243"/>
        <v>0</v>
      </c>
      <c r="T294" s="317">
        <f t="shared" si="222"/>
        <v>0</v>
      </c>
      <c r="U294" s="317">
        <f t="shared" si="223"/>
        <v>0</v>
      </c>
      <c r="V294" s="317">
        <f t="shared" si="244"/>
        <v>0</v>
      </c>
      <c r="W294" s="317">
        <f t="shared" si="245"/>
        <v>0</v>
      </c>
      <c r="X294" s="317">
        <f t="shared" si="246"/>
        <v>0</v>
      </c>
      <c r="Y294" s="317">
        <f t="shared" si="247"/>
        <v>0</v>
      </c>
      <c r="Z294" s="317">
        <f t="shared" si="228"/>
        <v>0</v>
      </c>
      <c r="AA294" s="317">
        <f t="shared" si="229"/>
        <v>0</v>
      </c>
      <c r="AB294" s="317">
        <f t="shared" si="248"/>
        <v>0</v>
      </c>
      <c r="AC294" s="317">
        <f t="shared" si="249"/>
        <v>0</v>
      </c>
      <c r="AD294" s="317">
        <f t="shared" si="230"/>
        <v>0</v>
      </c>
      <c r="AE294" s="317">
        <f t="shared" si="231"/>
        <v>0</v>
      </c>
      <c r="AF294" s="317">
        <f t="shared" si="224"/>
        <v>0</v>
      </c>
      <c r="AG294" s="317">
        <f t="shared" si="225"/>
        <v>0</v>
      </c>
      <c r="AH294" s="317">
        <f t="shared" si="250"/>
        <v>0</v>
      </c>
      <c r="AI294" s="317">
        <f t="shared" si="251"/>
        <v>0</v>
      </c>
      <c r="AJ294" s="317">
        <f t="shared" si="252"/>
        <v>0</v>
      </c>
      <c r="AK294" s="317">
        <f t="shared" si="253"/>
        <v>0</v>
      </c>
      <c r="AL294" s="317">
        <f t="shared" si="254"/>
        <v>0</v>
      </c>
      <c r="AM294" s="317">
        <f t="shared" si="255"/>
        <v>0</v>
      </c>
      <c r="AN294" s="317">
        <f t="shared" si="256"/>
        <v>0</v>
      </c>
      <c r="AO294" s="317">
        <f t="shared" si="257"/>
        <v>0</v>
      </c>
      <c r="AP294" s="317">
        <f t="shared" si="258"/>
        <v>0</v>
      </c>
      <c r="AQ294" s="317">
        <f t="shared" si="259"/>
        <v>0</v>
      </c>
      <c r="AR294" s="317">
        <f t="shared" si="232"/>
        <v>0</v>
      </c>
      <c r="AS294" s="317">
        <f t="shared" si="233"/>
        <v>0</v>
      </c>
      <c r="AT294" s="317">
        <f t="shared" si="260"/>
        <v>0</v>
      </c>
      <c r="AU294" s="317">
        <f t="shared" si="261"/>
        <v>0</v>
      </c>
      <c r="AV294" s="317">
        <f t="shared" si="262"/>
        <v>0</v>
      </c>
      <c r="AW294" s="317">
        <f t="shared" si="263"/>
        <v>0</v>
      </c>
      <c r="AX294" s="317">
        <f t="shared" si="234"/>
        <v>0</v>
      </c>
      <c r="AY294" s="317">
        <f t="shared" si="235"/>
        <v>0</v>
      </c>
      <c r="AZ294" s="317">
        <f t="shared" si="236"/>
        <v>0</v>
      </c>
      <c r="BA294" s="317">
        <f t="shared" si="237"/>
        <v>0</v>
      </c>
    </row>
    <row r="295" spans="1:53" s="314" customFormat="1" ht="16.5" customHeight="1">
      <c r="A295" s="63" t="str">
        <f t="array" ref="A295">IF(C295&lt;&gt;0,SUM(($C$11:C295&lt;&gt;0)*1),"")</f>
        <v/>
      </c>
      <c r="B295" s="315"/>
      <c r="C295" s="315"/>
      <c r="D295" s="315"/>
      <c r="E295" s="433"/>
      <c r="F295" s="371"/>
      <c r="G295" s="373"/>
      <c r="H295" s="373"/>
      <c r="I295" s="63" t="str">
        <f t="shared" si="219"/>
        <v/>
      </c>
      <c r="J295" s="317">
        <f t="shared" si="226"/>
        <v>0</v>
      </c>
      <c r="K295" s="317">
        <f t="shared" si="227"/>
        <v>0</v>
      </c>
      <c r="L295" s="317">
        <f t="shared" si="238"/>
        <v>0</v>
      </c>
      <c r="M295" s="317">
        <f t="shared" si="239"/>
        <v>0</v>
      </c>
      <c r="N295" s="317">
        <f t="shared" si="220"/>
        <v>0</v>
      </c>
      <c r="O295" s="317">
        <f t="shared" si="221"/>
        <v>0</v>
      </c>
      <c r="P295" s="317">
        <f t="shared" si="240"/>
        <v>0</v>
      </c>
      <c r="Q295" s="317">
        <f t="shared" si="241"/>
        <v>0</v>
      </c>
      <c r="R295" s="317">
        <f t="shared" si="242"/>
        <v>0</v>
      </c>
      <c r="S295" s="317">
        <f t="shared" si="243"/>
        <v>0</v>
      </c>
      <c r="T295" s="317">
        <f t="shared" si="222"/>
        <v>0</v>
      </c>
      <c r="U295" s="317">
        <f t="shared" si="223"/>
        <v>0</v>
      </c>
      <c r="V295" s="317">
        <f t="shared" si="244"/>
        <v>0</v>
      </c>
      <c r="W295" s="317">
        <f t="shared" si="245"/>
        <v>0</v>
      </c>
      <c r="X295" s="317">
        <f t="shared" si="246"/>
        <v>0</v>
      </c>
      <c r="Y295" s="317">
        <f t="shared" si="247"/>
        <v>0</v>
      </c>
      <c r="Z295" s="317">
        <f t="shared" si="228"/>
        <v>0</v>
      </c>
      <c r="AA295" s="317">
        <f t="shared" si="229"/>
        <v>0</v>
      </c>
      <c r="AB295" s="317">
        <f t="shared" si="248"/>
        <v>0</v>
      </c>
      <c r="AC295" s="317">
        <f t="shared" si="249"/>
        <v>0</v>
      </c>
      <c r="AD295" s="317">
        <f t="shared" si="230"/>
        <v>0</v>
      </c>
      <c r="AE295" s="317">
        <f t="shared" si="231"/>
        <v>0</v>
      </c>
      <c r="AF295" s="317">
        <f t="shared" si="224"/>
        <v>0</v>
      </c>
      <c r="AG295" s="317">
        <f t="shared" si="225"/>
        <v>0</v>
      </c>
      <c r="AH295" s="317">
        <f t="shared" si="250"/>
        <v>0</v>
      </c>
      <c r="AI295" s="317">
        <f t="shared" si="251"/>
        <v>0</v>
      </c>
      <c r="AJ295" s="317">
        <f t="shared" si="252"/>
        <v>0</v>
      </c>
      <c r="AK295" s="317">
        <f t="shared" si="253"/>
        <v>0</v>
      </c>
      <c r="AL295" s="317">
        <f t="shared" si="254"/>
        <v>0</v>
      </c>
      <c r="AM295" s="317">
        <f t="shared" si="255"/>
        <v>0</v>
      </c>
      <c r="AN295" s="317">
        <f t="shared" si="256"/>
        <v>0</v>
      </c>
      <c r="AO295" s="317">
        <f t="shared" si="257"/>
        <v>0</v>
      </c>
      <c r="AP295" s="317">
        <f t="shared" si="258"/>
        <v>0</v>
      </c>
      <c r="AQ295" s="317">
        <f t="shared" si="259"/>
        <v>0</v>
      </c>
      <c r="AR295" s="317">
        <f t="shared" si="232"/>
        <v>0</v>
      </c>
      <c r="AS295" s="317">
        <f t="shared" si="233"/>
        <v>0</v>
      </c>
      <c r="AT295" s="317">
        <f t="shared" si="260"/>
        <v>0</v>
      </c>
      <c r="AU295" s="317">
        <f t="shared" si="261"/>
        <v>0</v>
      </c>
      <c r="AV295" s="317">
        <f t="shared" si="262"/>
        <v>0</v>
      </c>
      <c r="AW295" s="317">
        <f t="shared" si="263"/>
        <v>0</v>
      </c>
      <c r="AX295" s="317">
        <f t="shared" si="234"/>
        <v>0</v>
      </c>
      <c r="AY295" s="317">
        <f t="shared" si="235"/>
        <v>0</v>
      </c>
      <c r="AZ295" s="317">
        <f t="shared" si="236"/>
        <v>0</v>
      </c>
      <c r="BA295" s="317">
        <f t="shared" si="237"/>
        <v>0</v>
      </c>
    </row>
    <row r="296" spans="1:53" s="314" customFormat="1" ht="16.5" customHeight="1">
      <c r="A296" s="63" t="str">
        <f t="array" ref="A296">IF(C296&lt;&gt;0,SUM(($C$11:C296&lt;&gt;0)*1),"")</f>
        <v/>
      </c>
      <c r="B296" s="315"/>
      <c r="C296" s="315"/>
      <c r="D296" s="315"/>
      <c r="E296" s="433"/>
      <c r="F296" s="371"/>
      <c r="G296" s="373"/>
      <c r="H296" s="373"/>
      <c r="I296" s="63" t="str">
        <f t="shared" si="219"/>
        <v/>
      </c>
      <c r="J296" s="317">
        <f t="shared" si="226"/>
        <v>0</v>
      </c>
      <c r="K296" s="317">
        <f t="shared" si="227"/>
        <v>0</v>
      </c>
      <c r="L296" s="317">
        <f t="shared" si="238"/>
        <v>0</v>
      </c>
      <c r="M296" s="317">
        <f t="shared" si="239"/>
        <v>0</v>
      </c>
      <c r="N296" s="317">
        <f t="shared" si="220"/>
        <v>0</v>
      </c>
      <c r="O296" s="317">
        <f t="shared" si="221"/>
        <v>0</v>
      </c>
      <c r="P296" s="317">
        <f t="shared" si="240"/>
        <v>0</v>
      </c>
      <c r="Q296" s="317">
        <f t="shared" si="241"/>
        <v>0</v>
      </c>
      <c r="R296" s="317">
        <f t="shared" si="242"/>
        <v>0</v>
      </c>
      <c r="S296" s="317">
        <f t="shared" si="243"/>
        <v>0</v>
      </c>
      <c r="T296" s="317">
        <f t="shared" si="222"/>
        <v>0</v>
      </c>
      <c r="U296" s="317">
        <f t="shared" si="223"/>
        <v>0</v>
      </c>
      <c r="V296" s="317">
        <f t="shared" si="244"/>
        <v>0</v>
      </c>
      <c r="W296" s="317">
        <f t="shared" si="245"/>
        <v>0</v>
      </c>
      <c r="X296" s="317">
        <f t="shared" si="246"/>
        <v>0</v>
      </c>
      <c r="Y296" s="317">
        <f t="shared" si="247"/>
        <v>0</v>
      </c>
      <c r="Z296" s="317">
        <f t="shared" si="228"/>
        <v>0</v>
      </c>
      <c r="AA296" s="317">
        <f t="shared" si="229"/>
        <v>0</v>
      </c>
      <c r="AB296" s="317">
        <f t="shared" si="248"/>
        <v>0</v>
      </c>
      <c r="AC296" s="317">
        <f t="shared" si="249"/>
        <v>0</v>
      </c>
      <c r="AD296" s="317">
        <f t="shared" si="230"/>
        <v>0</v>
      </c>
      <c r="AE296" s="317">
        <f t="shared" si="231"/>
        <v>0</v>
      </c>
      <c r="AF296" s="317">
        <f t="shared" si="224"/>
        <v>0</v>
      </c>
      <c r="AG296" s="317">
        <f t="shared" si="225"/>
        <v>0</v>
      </c>
      <c r="AH296" s="317">
        <f t="shared" si="250"/>
        <v>0</v>
      </c>
      <c r="AI296" s="317">
        <f t="shared" si="251"/>
        <v>0</v>
      </c>
      <c r="AJ296" s="317">
        <f t="shared" si="252"/>
        <v>0</v>
      </c>
      <c r="AK296" s="317">
        <f t="shared" si="253"/>
        <v>0</v>
      </c>
      <c r="AL296" s="317">
        <f t="shared" si="254"/>
        <v>0</v>
      </c>
      <c r="AM296" s="317">
        <f t="shared" si="255"/>
        <v>0</v>
      </c>
      <c r="AN296" s="317">
        <f t="shared" si="256"/>
        <v>0</v>
      </c>
      <c r="AO296" s="317">
        <f t="shared" si="257"/>
        <v>0</v>
      </c>
      <c r="AP296" s="317">
        <f t="shared" si="258"/>
        <v>0</v>
      </c>
      <c r="AQ296" s="317">
        <f t="shared" si="259"/>
        <v>0</v>
      </c>
      <c r="AR296" s="317">
        <f t="shared" si="232"/>
        <v>0</v>
      </c>
      <c r="AS296" s="317">
        <f t="shared" si="233"/>
        <v>0</v>
      </c>
      <c r="AT296" s="317">
        <f t="shared" si="260"/>
        <v>0</v>
      </c>
      <c r="AU296" s="317">
        <f t="shared" si="261"/>
        <v>0</v>
      </c>
      <c r="AV296" s="317">
        <f t="shared" si="262"/>
        <v>0</v>
      </c>
      <c r="AW296" s="317">
        <f t="shared" si="263"/>
        <v>0</v>
      </c>
      <c r="AX296" s="317">
        <f t="shared" si="234"/>
        <v>0</v>
      </c>
      <c r="AY296" s="317">
        <f t="shared" si="235"/>
        <v>0</v>
      </c>
      <c r="AZ296" s="317">
        <f t="shared" si="236"/>
        <v>0</v>
      </c>
      <c r="BA296" s="317">
        <f t="shared" si="237"/>
        <v>0</v>
      </c>
    </row>
    <row r="297" spans="1:53" s="314" customFormat="1" ht="16.5" customHeight="1">
      <c r="A297" s="63" t="str">
        <f t="array" ref="A297">IF(C297&lt;&gt;0,SUM(($C$11:C297&lt;&gt;0)*1),"")</f>
        <v/>
      </c>
      <c r="B297" s="315"/>
      <c r="C297" s="315"/>
      <c r="D297" s="315"/>
      <c r="E297" s="433"/>
      <c r="F297" s="371"/>
      <c r="G297" s="373"/>
      <c r="H297" s="373"/>
      <c r="I297" s="63" t="str">
        <f t="shared" si="219"/>
        <v/>
      </c>
      <c r="J297" s="317">
        <f t="shared" si="226"/>
        <v>0</v>
      </c>
      <c r="K297" s="317">
        <f t="shared" si="227"/>
        <v>0</v>
      </c>
      <c r="L297" s="317">
        <f t="shared" si="238"/>
        <v>0</v>
      </c>
      <c r="M297" s="317">
        <f t="shared" si="239"/>
        <v>0</v>
      </c>
      <c r="N297" s="317">
        <f t="shared" si="220"/>
        <v>0</v>
      </c>
      <c r="O297" s="317">
        <f t="shared" si="221"/>
        <v>0</v>
      </c>
      <c r="P297" s="317">
        <f t="shared" si="240"/>
        <v>0</v>
      </c>
      <c r="Q297" s="317">
        <f t="shared" si="241"/>
        <v>0</v>
      </c>
      <c r="R297" s="317">
        <f t="shared" si="242"/>
        <v>0</v>
      </c>
      <c r="S297" s="317">
        <f t="shared" si="243"/>
        <v>0</v>
      </c>
      <c r="T297" s="317">
        <f t="shared" si="222"/>
        <v>0</v>
      </c>
      <c r="U297" s="317">
        <f t="shared" si="223"/>
        <v>0</v>
      </c>
      <c r="V297" s="317">
        <f t="shared" si="244"/>
        <v>0</v>
      </c>
      <c r="W297" s="317">
        <f t="shared" si="245"/>
        <v>0</v>
      </c>
      <c r="X297" s="317">
        <f t="shared" si="246"/>
        <v>0</v>
      </c>
      <c r="Y297" s="317">
        <f t="shared" si="247"/>
        <v>0</v>
      </c>
      <c r="Z297" s="317">
        <f t="shared" si="228"/>
        <v>0</v>
      </c>
      <c r="AA297" s="317">
        <f t="shared" si="229"/>
        <v>0</v>
      </c>
      <c r="AB297" s="317">
        <f t="shared" si="248"/>
        <v>0</v>
      </c>
      <c r="AC297" s="317">
        <f t="shared" si="249"/>
        <v>0</v>
      </c>
      <c r="AD297" s="317">
        <f t="shared" si="230"/>
        <v>0</v>
      </c>
      <c r="AE297" s="317">
        <f t="shared" si="231"/>
        <v>0</v>
      </c>
      <c r="AF297" s="317">
        <f t="shared" si="224"/>
        <v>0</v>
      </c>
      <c r="AG297" s="317">
        <f t="shared" si="225"/>
        <v>0</v>
      </c>
      <c r="AH297" s="317">
        <f t="shared" si="250"/>
        <v>0</v>
      </c>
      <c r="AI297" s="317">
        <f t="shared" si="251"/>
        <v>0</v>
      </c>
      <c r="AJ297" s="317">
        <f t="shared" si="252"/>
        <v>0</v>
      </c>
      <c r="AK297" s="317">
        <f t="shared" si="253"/>
        <v>0</v>
      </c>
      <c r="AL297" s="317">
        <f t="shared" si="254"/>
        <v>0</v>
      </c>
      <c r="AM297" s="317">
        <f t="shared" si="255"/>
        <v>0</v>
      </c>
      <c r="AN297" s="317">
        <f t="shared" si="256"/>
        <v>0</v>
      </c>
      <c r="AO297" s="317">
        <f t="shared" si="257"/>
        <v>0</v>
      </c>
      <c r="AP297" s="317">
        <f t="shared" si="258"/>
        <v>0</v>
      </c>
      <c r="AQ297" s="317">
        <f t="shared" si="259"/>
        <v>0</v>
      </c>
      <c r="AR297" s="317">
        <f t="shared" si="232"/>
        <v>0</v>
      </c>
      <c r="AS297" s="317">
        <f t="shared" si="233"/>
        <v>0</v>
      </c>
      <c r="AT297" s="317">
        <f t="shared" si="260"/>
        <v>0</v>
      </c>
      <c r="AU297" s="317">
        <f t="shared" si="261"/>
        <v>0</v>
      </c>
      <c r="AV297" s="317">
        <f t="shared" si="262"/>
        <v>0</v>
      </c>
      <c r="AW297" s="317">
        <f t="shared" si="263"/>
        <v>0</v>
      </c>
      <c r="AX297" s="317">
        <f t="shared" si="234"/>
        <v>0</v>
      </c>
      <c r="AY297" s="317">
        <f t="shared" si="235"/>
        <v>0</v>
      </c>
      <c r="AZ297" s="317">
        <f t="shared" si="236"/>
        <v>0</v>
      </c>
      <c r="BA297" s="317">
        <f t="shared" si="237"/>
        <v>0</v>
      </c>
    </row>
    <row r="298" spans="1:53" s="314" customFormat="1" ht="16.5" customHeight="1">
      <c r="A298" s="63" t="str">
        <f t="array" ref="A298">IF(C298&lt;&gt;0,SUM(($C$11:C298&lt;&gt;0)*1),"")</f>
        <v/>
      </c>
      <c r="B298" s="315"/>
      <c r="C298" s="315"/>
      <c r="D298" s="315"/>
      <c r="E298" s="433"/>
      <c r="F298" s="371"/>
      <c r="G298" s="373"/>
      <c r="H298" s="373"/>
      <c r="I298" s="63" t="str">
        <f t="shared" si="219"/>
        <v/>
      </c>
      <c r="J298" s="317">
        <f t="shared" si="226"/>
        <v>0</v>
      </c>
      <c r="K298" s="317">
        <f t="shared" si="227"/>
        <v>0</v>
      </c>
      <c r="L298" s="317">
        <f t="shared" si="238"/>
        <v>0</v>
      </c>
      <c r="M298" s="317">
        <f t="shared" si="239"/>
        <v>0</v>
      </c>
      <c r="N298" s="317">
        <f t="shared" si="220"/>
        <v>0</v>
      </c>
      <c r="O298" s="317">
        <f t="shared" si="221"/>
        <v>0</v>
      </c>
      <c r="P298" s="317">
        <f t="shared" si="240"/>
        <v>0</v>
      </c>
      <c r="Q298" s="317">
        <f t="shared" si="241"/>
        <v>0</v>
      </c>
      <c r="R298" s="317">
        <f t="shared" si="242"/>
        <v>0</v>
      </c>
      <c r="S298" s="317">
        <f t="shared" si="243"/>
        <v>0</v>
      </c>
      <c r="T298" s="317">
        <f t="shared" si="222"/>
        <v>0</v>
      </c>
      <c r="U298" s="317">
        <f t="shared" si="223"/>
        <v>0</v>
      </c>
      <c r="V298" s="317">
        <f t="shared" si="244"/>
        <v>0</v>
      </c>
      <c r="W298" s="317">
        <f t="shared" si="245"/>
        <v>0</v>
      </c>
      <c r="X298" s="317">
        <f t="shared" si="246"/>
        <v>0</v>
      </c>
      <c r="Y298" s="317">
        <f t="shared" si="247"/>
        <v>0</v>
      </c>
      <c r="Z298" s="317">
        <f t="shared" si="228"/>
        <v>0</v>
      </c>
      <c r="AA298" s="317">
        <f t="shared" si="229"/>
        <v>0</v>
      </c>
      <c r="AB298" s="317">
        <f t="shared" si="248"/>
        <v>0</v>
      </c>
      <c r="AC298" s="317">
        <f t="shared" si="249"/>
        <v>0</v>
      </c>
      <c r="AD298" s="317">
        <f t="shared" si="230"/>
        <v>0</v>
      </c>
      <c r="AE298" s="317">
        <f t="shared" si="231"/>
        <v>0</v>
      </c>
      <c r="AF298" s="317">
        <f t="shared" si="224"/>
        <v>0</v>
      </c>
      <c r="AG298" s="317">
        <f t="shared" si="225"/>
        <v>0</v>
      </c>
      <c r="AH298" s="317">
        <f t="shared" si="250"/>
        <v>0</v>
      </c>
      <c r="AI298" s="317">
        <f t="shared" si="251"/>
        <v>0</v>
      </c>
      <c r="AJ298" s="317">
        <f t="shared" si="252"/>
        <v>0</v>
      </c>
      <c r="AK298" s="317">
        <f t="shared" si="253"/>
        <v>0</v>
      </c>
      <c r="AL298" s="317">
        <f t="shared" si="254"/>
        <v>0</v>
      </c>
      <c r="AM298" s="317">
        <f t="shared" si="255"/>
        <v>0</v>
      </c>
      <c r="AN298" s="317">
        <f t="shared" si="256"/>
        <v>0</v>
      </c>
      <c r="AO298" s="317">
        <f t="shared" si="257"/>
        <v>0</v>
      </c>
      <c r="AP298" s="317">
        <f t="shared" si="258"/>
        <v>0</v>
      </c>
      <c r="AQ298" s="317">
        <f t="shared" si="259"/>
        <v>0</v>
      </c>
      <c r="AR298" s="317">
        <f t="shared" si="232"/>
        <v>0</v>
      </c>
      <c r="AS298" s="317">
        <f t="shared" si="233"/>
        <v>0</v>
      </c>
      <c r="AT298" s="317">
        <f t="shared" si="260"/>
        <v>0</v>
      </c>
      <c r="AU298" s="317">
        <f t="shared" si="261"/>
        <v>0</v>
      </c>
      <c r="AV298" s="317">
        <f t="shared" si="262"/>
        <v>0</v>
      </c>
      <c r="AW298" s="317">
        <f t="shared" si="263"/>
        <v>0</v>
      </c>
      <c r="AX298" s="317">
        <f t="shared" si="234"/>
        <v>0</v>
      </c>
      <c r="AY298" s="317">
        <f t="shared" si="235"/>
        <v>0</v>
      </c>
      <c r="AZ298" s="317">
        <f t="shared" si="236"/>
        <v>0</v>
      </c>
      <c r="BA298" s="317">
        <f t="shared" si="237"/>
        <v>0</v>
      </c>
    </row>
    <row r="299" spans="1:53" s="314" customFormat="1" ht="16.5" customHeight="1">
      <c r="A299" s="63" t="str">
        <f t="array" ref="A299">IF(C299&lt;&gt;0,SUM(($C$11:C299&lt;&gt;0)*1),"")</f>
        <v/>
      </c>
      <c r="B299" s="315"/>
      <c r="C299" s="315"/>
      <c r="D299" s="315"/>
      <c r="E299" s="433"/>
      <c r="F299" s="371"/>
      <c r="G299" s="373"/>
      <c r="H299" s="373"/>
      <c r="I299" s="63" t="str">
        <f t="shared" si="219"/>
        <v/>
      </c>
      <c r="J299" s="317">
        <f t="shared" si="226"/>
        <v>0</v>
      </c>
      <c r="K299" s="317">
        <f t="shared" si="227"/>
        <v>0</v>
      </c>
      <c r="L299" s="317">
        <f t="shared" si="238"/>
        <v>0</v>
      </c>
      <c r="M299" s="317">
        <f t="shared" si="239"/>
        <v>0</v>
      </c>
      <c r="N299" s="317">
        <f t="shared" si="220"/>
        <v>0</v>
      </c>
      <c r="O299" s="317">
        <f t="shared" si="221"/>
        <v>0</v>
      </c>
      <c r="P299" s="317">
        <f t="shared" si="240"/>
        <v>0</v>
      </c>
      <c r="Q299" s="317">
        <f t="shared" si="241"/>
        <v>0</v>
      </c>
      <c r="R299" s="317">
        <f t="shared" si="242"/>
        <v>0</v>
      </c>
      <c r="S299" s="317">
        <f t="shared" si="243"/>
        <v>0</v>
      </c>
      <c r="T299" s="317">
        <f t="shared" si="222"/>
        <v>0</v>
      </c>
      <c r="U299" s="317">
        <f t="shared" si="223"/>
        <v>0</v>
      </c>
      <c r="V299" s="317">
        <f t="shared" si="244"/>
        <v>0</v>
      </c>
      <c r="W299" s="317">
        <f t="shared" si="245"/>
        <v>0</v>
      </c>
      <c r="X299" s="317">
        <f t="shared" si="246"/>
        <v>0</v>
      </c>
      <c r="Y299" s="317">
        <f t="shared" si="247"/>
        <v>0</v>
      </c>
      <c r="Z299" s="317">
        <f t="shared" si="228"/>
        <v>0</v>
      </c>
      <c r="AA299" s="317">
        <f t="shared" si="229"/>
        <v>0</v>
      </c>
      <c r="AB299" s="317">
        <f t="shared" si="248"/>
        <v>0</v>
      </c>
      <c r="AC299" s="317">
        <f t="shared" si="249"/>
        <v>0</v>
      </c>
      <c r="AD299" s="317">
        <f t="shared" si="230"/>
        <v>0</v>
      </c>
      <c r="AE299" s="317">
        <f t="shared" si="231"/>
        <v>0</v>
      </c>
      <c r="AF299" s="317">
        <f t="shared" si="224"/>
        <v>0</v>
      </c>
      <c r="AG299" s="317">
        <f t="shared" si="225"/>
        <v>0</v>
      </c>
      <c r="AH299" s="317">
        <f t="shared" si="250"/>
        <v>0</v>
      </c>
      <c r="AI299" s="317">
        <f t="shared" si="251"/>
        <v>0</v>
      </c>
      <c r="AJ299" s="317">
        <f t="shared" si="252"/>
        <v>0</v>
      </c>
      <c r="AK299" s="317">
        <f t="shared" si="253"/>
        <v>0</v>
      </c>
      <c r="AL299" s="317">
        <f t="shared" si="254"/>
        <v>0</v>
      </c>
      <c r="AM299" s="317">
        <f t="shared" si="255"/>
        <v>0</v>
      </c>
      <c r="AN299" s="317">
        <f t="shared" si="256"/>
        <v>0</v>
      </c>
      <c r="AO299" s="317">
        <f t="shared" si="257"/>
        <v>0</v>
      </c>
      <c r="AP299" s="317">
        <f t="shared" si="258"/>
        <v>0</v>
      </c>
      <c r="AQ299" s="317">
        <f t="shared" si="259"/>
        <v>0</v>
      </c>
      <c r="AR299" s="317">
        <f t="shared" si="232"/>
        <v>0</v>
      </c>
      <c r="AS299" s="317">
        <f t="shared" si="233"/>
        <v>0</v>
      </c>
      <c r="AT299" s="317">
        <f t="shared" si="260"/>
        <v>0</v>
      </c>
      <c r="AU299" s="317">
        <f t="shared" si="261"/>
        <v>0</v>
      </c>
      <c r="AV299" s="317">
        <f t="shared" si="262"/>
        <v>0</v>
      </c>
      <c r="AW299" s="317">
        <f t="shared" si="263"/>
        <v>0</v>
      </c>
      <c r="AX299" s="317">
        <f t="shared" si="234"/>
        <v>0</v>
      </c>
      <c r="AY299" s="317">
        <f t="shared" si="235"/>
        <v>0</v>
      </c>
      <c r="AZ299" s="317">
        <f t="shared" si="236"/>
        <v>0</v>
      </c>
      <c r="BA299" s="317">
        <f t="shared" si="237"/>
        <v>0</v>
      </c>
    </row>
    <row r="300" spans="1:53" s="314" customFormat="1" ht="16.5" customHeight="1">
      <c r="A300" s="63" t="str">
        <f t="array" ref="A300">IF(C300&lt;&gt;0,SUM(($C$11:C300&lt;&gt;0)*1),"")</f>
        <v/>
      </c>
      <c r="B300" s="315"/>
      <c r="C300" s="315"/>
      <c r="D300" s="315"/>
      <c r="E300" s="433"/>
      <c r="F300" s="371"/>
      <c r="G300" s="373"/>
      <c r="H300" s="373"/>
      <c r="I300" s="63" t="str">
        <f t="shared" si="219"/>
        <v/>
      </c>
      <c r="J300" s="317">
        <f t="shared" si="226"/>
        <v>0</v>
      </c>
      <c r="K300" s="317">
        <f t="shared" si="227"/>
        <v>0</v>
      </c>
      <c r="L300" s="317">
        <f t="shared" si="238"/>
        <v>0</v>
      </c>
      <c r="M300" s="317">
        <f t="shared" si="239"/>
        <v>0</v>
      </c>
      <c r="N300" s="317">
        <f t="shared" si="220"/>
        <v>0</v>
      </c>
      <c r="O300" s="317">
        <f t="shared" si="221"/>
        <v>0</v>
      </c>
      <c r="P300" s="317">
        <f t="shared" si="240"/>
        <v>0</v>
      </c>
      <c r="Q300" s="317">
        <f t="shared" si="241"/>
        <v>0</v>
      </c>
      <c r="R300" s="317">
        <f t="shared" si="242"/>
        <v>0</v>
      </c>
      <c r="S300" s="317">
        <f t="shared" si="243"/>
        <v>0</v>
      </c>
      <c r="T300" s="317">
        <f t="shared" si="222"/>
        <v>0</v>
      </c>
      <c r="U300" s="317">
        <f t="shared" si="223"/>
        <v>0</v>
      </c>
      <c r="V300" s="317">
        <f t="shared" si="244"/>
        <v>0</v>
      </c>
      <c r="W300" s="317">
        <f t="shared" si="245"/>
        <v>0</v>
      </c>
      <c r="X300" s="317">
        <f t="shared" si="246"/>
        <v>0</v>
      </c>
      <c r="Y300" s="317">
        <f t="shared" si="247"/>
        <v>0</v>
      </c>
      <c r="Z300" s="317">
        <f t="shared" si="228"/>
        <v>0</v>
      </c>
      <c r="AA300" s="317">
        <f t="shared" si="229"/>
        <v>0</v>
      </c>
      <c r="AB300" s="317">
        <f t="shared" si="248"/>
        <v>0</v>
      </c>
      <c r="AC300" s="317">
        <f t="shared" si="249"/>
        <v>0</v>
      </c>
      <c r="AD300" s="317">
        <f t="shared" si="230"/>
        <v>0</v>
      </c>
      <c r="AE300" s="317">
        <f t="shared" si="231"/>
        <v>0</v>
      </c>
      <c r="AF300" s="317">
        <f t="shared" si="224"/>
        <v>0</v>
      </c>
      <c r="AG300" s="317">
        <f t="shared" si="225"/>
        <v>0</v>
      </c>
      <c r="AH300" s="317">
        <f t="shared" si="250"/>
        <v>0</v>
      </c>
      <c r="AI300" s="317">
        <f t="shared" si="251"/>
        <v>0</v>
      </c>
      <c r="AJ300" s="317">
        <f t="shared" si="252"/>
        <v>0</v>
      </c>
      <c r="AK300" s="317">
        <f t="shared" si="253"/>
        <v>0</v>
      </c>
      <c r="AL300" s="317">
        <f t="shared" si="254"/>
        <v>0</v>
      </c>
      <c r="AM300" s="317">
        <f t="shared" si="255"/>
        <v>0</v>
      </c>
      <c r="AN300" s="317">
        <f t="shared" si="256"/>
        <v>0</v>
      </c>
      <c r="AO300" s="317">
        <f t="shared" si="257"/>
        <v>0</v>
      </c>
      <c r="AP300" s="317">
        <f t="shared" si="258"/>
        <v>0</v>
      </c>
      <c r="AQ300" s="317">
        <f t="shared" si="259"/>
        <v>0</v>
      </c>
      <c r="AR300" s="317">
        <f t="shared" si="232"/>
        <v>0</v>
      </c>
      <c r="AS300" s="317">
        <f t="shared" si="233"/>
        <v>0</v>
      </c>
      <c r="AT300" s="317">
        <f t="shared" si="260"/>
        <v>0</v>
      </c>
      <c r="AU300" s="317">
        <f t="shared" si="261"/>
        <v>0</v>
      </c>
      <c r="AV300" s="317">
        <f t="shared" si="262"/>
        <v>0</v>
      </c>
      <c r="AW300" s="317">
        <f t="shared" si="263"/>
        <v>0</v>
      </c>
      <c r="AX300" s="317">
        <f t="shared" si="234"/>
        <v>0</v>
      </c>
      <c r="AY300" s="317">
        <f t="shared" si="235"/>
        <v>0</v>
      </c>
      <c r="AZ300" s="317">
        <f t="shared" si="236"/>
        <v>0</v>
      </c>
      <c r="BA300" s="317">
        <f t="shared" si="237"/>
        <v>0</v>
      </c>
    </row>
    <row r="301" spans="1:53" s="314" customFormat="1" ht="16.5" customHeight="1">
      <c r="A301" s="63" t="str">
        <f t="array" ref="A301">IF(C301&lt;&gt;0,SUM(($C$11:C301&lt;&gt;0)*1),"")</f>
        <v/>
      </c>
      <c r="B301" s="315"/>
      <c r="C301" s="315"/>
      <c r="D301" s="315"/>
      <c r="E301" s="433"/>
      <c r="F301" s="371"/>
      <c r="G301" s="373"/>
      <c r="H301" s="373"/>
      <c r="I301" s="63" t="str">
        <f t="shared" si="219"/>
        <v/>
      </c>
      <c r="J301" s="317">
        <f t="shared" si="226"/>
        <v>0</v>
      </c>
      <c r="K301" s="317">
        <f t="shared" si="227"/>
        <v>0</v>
      </c>
      <c r="L301" s="317">
        <f t="shared" si="238"/>
        <v>0</v>
      </c>
      <c r="M301" s="317">
        <f t="shared" si="239"/>
        <v>0</v>
      </c>
      <c r="N301" s="317">
        <f t="shared" si="220"/>
        <v>0</v>
      </c>
      <c r="O301" s="317">
        <f t="shared" si="221"/>
        <v>0</v>
      </c>
      <c r="P301" s="317">
        <f t="shared" si="240"/>
        <v>0</v>
      </c>
      <c r="Q301" s="317">
        <f t="shared" si="241"/>
        <v>0</v>
      </c>
      <c r="R301" s="317">
        <f t="shared" si="242"/>
        <v>0</v>
      </c>
      <c r="S301" s="317">
        <f t="shared" si="243"/>
        <v>0</v>
      </c>
      <c r="T301" s="317">
        <f t="shared" si="222"/>
        <v>0</v>
      </c>
      <c r="U301" s="317">
        <f t="shared" si="223"/>
        <v>0</v>
      </c>
      <c r="V301" s="317">
        <f t="shared" si="244"/>
        <v>0</v>
      </c>
      <c r="W301" s="317">
        <f t="shared" si="245"/>
        <v>0</v>
      </c>
      <c r="X301" s="317">
        <f t="shared" si="246"/>
        <v>0</v>
      </c>
      <c r="Y301" s="317">
        <f t="shared" si="247"/>
        <v>0</v>
      </c>
      <c r="Z301" s="317">
        <f t="shared" si="228"/>
        <v>0</v>
      </c>
      <c r="AA301" s="317">
        <f t="shared" si="229"/>
        <v>0</v>
      </c>
      <c r="AB301" s="317">
        <f t="shared" si="248"/>
        <v>0</v>
      </c>
      <c r="AC301" s="317">
        <f t="shared" si="249"/>
        <v>0</v>
      </c>
      <c r="AD301" s="317">
        <f t="shared" si="230"/>
        <v>0</v>
      </c>
      <c r="AE301" s="317">
        <f t="shared" si="231"/>
        <v>0</v>
      </c>
      <c r="AF301" s="317">
        <f t="shared" si="224"/>
        <v>0</v>
      </c>
      <c r="AG301" s="317">
        <f t="shared" si="225"/>
        <v>0</v>
      </c>
      <c r="AH301" s="317">
        <f t="shared" si="250"/>
        <v>0</v>
      </c>
      <c r="AI301" s="317">
        <f t="shared" si="251"/>
        <v>0</v>
      </c>
      <c r="AJ301" s="317">
        <f t="shared" si="252"/>
        <v>0</v>
      </c>
      <c r="AK301" s="317">
        <f t="shared" si="253"/>
        <v>0</v>
      </c>
      <c r="AL301" s="317">
        <f t="shared" si="254"/>
        <v>0</v>
      </c>
      <c r="AM301" s="317">
        <f t="shared" si="255"/>
        <v>0</v>
      </c>
      <c r="AN301" s="317">
        <f t="shared" si="256"/>
        <v>0</v>
      </c>
      <c r="AO301" s="317">
        <f t="shared" si="257"/>
        <v>0</v>
      </c>
      <c r="AP301" s="317">
        <f t="shared" si="258"/>
        <v>0</v>
      </c>
      <c r="AQ301" s="317">
        <f t="shared" si="259"/>
        <v>0</v>
      </c>
      <c r="AR301" s="317">
        <f t="shared" si="232"/>
        <v>0</v>
      </c>
      <c r="AS301" s="317">
        <f t="shared" si="233"/>
        <v>0</v>
      </c>
      <c r="AT301" s="317">
        <f t="shared" si="260"/>
        <v>0</v>
      </c>
      <c r="AU301" s="317">
        <f t="shared" si="261"/>
        <v>0</v>
      </c>
      <c r="AV301" s="317">
        <f t="shared" si="262"/>
        <v>0</v>
      </c>
      <c r="AW301" s="317">
        <f t="shared" si="263"/>
        <v>0</v>
      </c>
      <c r="AX301" s="317">
        <f t="shared" si="234"/>
        <v>0</v>
      </c>
      <c r="AY301" s="317">
        <f t="shared" si="235"/>
        <v>0</v>
      </c>
      <c r="AZ301" s="317">
        <f t="shared" si="236"/>
        <v>0</v>
      </c>
      <c r="BA301" s="317">
        <f t="shared" si="237"/>
        <v>0</v>
      </c>
    </row>
    <row r="302" spans="1:53" s="314" customFormat="1" ht="16.5" customHeight="1">
      <c r="A302" s="63" t="str">
        <f t="array" ref="A302">IF(C302&lt;&gt;0,SUM(($C$11:C302&lt;&gt;0)*1),"")</f>
        <v/>
      </c>
      <c r="B302" s="315"/>
      <c r="C302" s="315"/>
      <c r="D302" s="315"/>
      <c r="E302" s="433"/>
      <c r="F302" s="371"/>
      <c r="G302" s="373"/>
      <c r="H302" s="373"/>
      <c r="I302" s="63" t="str">
        <f t="shared" si="219"/>
        <v/>
      </c>
      <c r="J302" s="317">
        <f t="shared" si="226"/>
        <v>0</v>
      </c>
      <c r="K302" s="317">
        <f t="shared" si="227"/>
        <v>0</v>
      </c>
      <c r="L302" s="317">
        <f t="shared" si="238"/>
        <v>0</v>
      </c>
      <c r="M302" s="317">
        <f t="shared" si="239"/>
        <v>0</v>
      </c>
      <c r="N302" s="317">
        <f t="shared" si="220"/>
        <v>0</v>
      </c>
      <c r="O302" s="317">
        <f t="shared" si="221"/>
        <v>0</v>
      </c>
      <c r="P302" s="317">
        <f t="shared" si="240"/>
        <v>0</v>
      </c>
      <c r="Q302" s="317">
        <f t="shared" si="241"/>
        <v>0</v>
      </c>
      <c r="R302" s="317">
        <f t="shared" si="242"/>
        <v>0</v>
      </c>
      <c r="S302" s="317">
        <f t="shared" si="243"/>
        <v>0</v>
      </c>
      <c r="T302" s="317">
        <f t="shared" si="222"/>
        <v>0</v>
      </c>
      <c r="U302" s="317">
        <f t="shared" si="223"/>
        <v>0</v>
      </c>
      <c r="V302" s="317">
        <f t="shared" si="244"/>
        <v>0</v>
      </c>
      <c r="W302" s="317">
        <f t="shared" si="245"/>
        <v>0</v>
      </c>
      <c r="X302" s="317">
        <f t="shared" si="246"/>
        <v>0</v>
      </c>
      <c r="Y302" s="317">
        <f t="shared" si="247"/>
        <v>0</v>
      </c>
      <c r="Z302" s="317">
        <f t="shared" si="228"/>
        <v>0</v>
      </c>
      <c r="AA302" s="317">
        <f t="shared" si="229"/>
        <v>0</v>
      </c>
      <c r="AB302" s="317">
        <f t="shared" si="248"/>
        <v>0</v>
      </c>
      <c r="AC302" s="317">
        <f t="shared" si="249"/>
        <v>0</v>
      </c>
      <c r="AD302" s="317">
        <f t="shared" si="230"/>
        <v>0</v>
      </c>
      <c r="AE302" s="317">
        <f t="shared" si="231"/>
        <v>0</v>
      </c>
      <c r="AF302" s="317">
        <f t="shared" si="224"/>
        <v>0</v>
      </c>
      <c r="AG302" s="317">
        <f t="shared" si="225"/>
        <v>0</v>
      </c>
      <c r="AH302" s="317">
        <f t="shared" si="250"/>
        <v>0</v>
      </c>
      <c r="AI302" s="317">
        <f t="shared" si="251"/>
        <v>0</v>
      </c>
      <c r="AJ302" s="317">
        <f t="shared" si="252"/>
        <v>0</v>
      </c>
      <c r="AK302" s="317">
        <f t="shared" si="253"/>
        <v>0</v>
      </c>
      <c r="AL302" s="317">
        <f t="shared" si="254"/>
        <v>0</v>
      </c>
      <c r="AM302" s="317">
        <f t="shared" si="255"/>
        <v>0</v>
      </c>
      <c r="AN302" s="317">
        <f t="shared" si="256"/>
        <v>0</v>
      </c>
      <c r="AO302" s="317">
        <f t="shared" si="257"/>
        <v>0</v>
      </c>
      <c r="AP302" s="317">
        <f t="shared" si="258"/>
        <v>0</v>
      </c>
      <c r="AQ302" s="317">
        <f t="shared" si="259"/>
        <v>0</v>
      </c>
      <c r="AR302" s="317">
        <f t="shared" si="232"/>
        <v>0</v>
      </c>
      <c r="AS302" s="317">
        <f t="shared" si="233"/>
        <v>0</v>
      </c>
      <c r="AT302" s="317">
        <f t="shared" si="260"/>
        <v>0</v>
      </c>
      <c r="AU302" s="317">
        <f t="shared" si="261"/>
        <v>0</v>
      </c>
      <c r="AV302" s="317">
        <f t="shared" si="262"/>
        <v>0</v>
      </c>
      <c r="AW302" s="317">
        <f t="shared" si="263"/>
        <v>0</v>
      </c>
      <c r="AX302" s="317">
        <f t="shared" si="234"/>
        <v>0</v>
      </c>
      <c r="AY302" s="317">
        <f t="shared" si="235"/>
        <v>0</v>
      </c>
      <c r="AZ302" s="317">
        <f t="shared" si="236"/>
        <v>0</v>
      </c>
      <c r="BA302" s="317">
        <f t="shared" si="237"/>
        <v>0</v>
      </c>
    </row>
    <row r="303" spans="1:53" s="314" customFormat="1" ht="16.5" customHeight="1">
      <c r="A303" s="63" t="str">
        <f t="array" ref="A303">IF(C303&lt;&gt;0,SUM(($C$11:C303&lt;&gt;0)*1),"")</f>
        <v/>
      </c>
      <c r="B303" s="315"/>
      <c r="C303" s="315"/>
      <c r="D303" s="315"/>
      <c r="E303" s="433"/>
      <c r="F303" s="371"/>
      <c r="G303" s="373"/>
      <c r="H303" s="373"/>
      <c r="I303" s="63" t="str">
        <f t="shared" si="219"/>
        <v/>
      </c>
      <c r="J303" s="317">
        <f t="shared" si="226"/>
        <v>0</v>
      </c>
      <c r="K303" s="317">
        <f t="shared" si="227"/>
        <v>0</v>
      </c>
      <c r="L303" s="317">
        <f t="shared" si="238"/>
        <v>0</v>
      </c>
      <c r="M303" s="317">
        <f t="shared" si="239"/>
        <v>0</v>
      </c>
      <c r="N303" s="317">
        <f t="shared" si="220"/>
        <v>0</v>
      </c>
      <c r="O303" s="317">
        <f t="shared" si="221"/>
        <v>0</v>
      </c>
      <c r="P303" s="317">
        <f t="shared" si="240"/>
        <v>0</v>
      </c>
      <c r="Q303" s="317">
        <f t="shared" si="241"/>
        <v>0</v>
      </c>
      <c r="R303" s="317">
        <f t="shared" si="242"/>
        <v>0</v>
      </c>
      <c r="S303" s="317">
        <f t="shared" si="243"/>
        <v>0</v>
      </c>
      <c r="T303" s="317">
        <f t="shared" si="222"/>
        <v>0</v>
      </c>
      <c r="U303" s="317">
        <f t="shared" si="223"/>
        <v>0</v>
      </c>
      <c r="V303" s="317">
        <f t="shared" si="244"/>
        <v>0</v>
      </c>
      <c r="W303" s="317">
        <f t="shared" si="245"/>
        <v>0</v>
      </c>
      <c r="X303" s="317">
        <f t="shared" si="246"/>
        <v>0</v>
      </c>
      <c r="Y303" s="317">
        <f t="shared" si="247"/>
        <v>0</v>
      </c>
      <c r="Z303" s="317">
        <f t="shared" si="228"/>
        <v>0</v>
      </c>
      <c r="AA303" s="317">
        <f t="shared" si="229"/>
        <v>0</v>
      </c>
      <c r="AB303" s="317">
        <f t="shared" si="248"/>
        <v>0</v>
      </c>
      <c r="AC303" s="317">
        <f t="shared" si="249"/>
        <v>0</v>
      </c>
      <c r="AD303" s="317">
        <f t="shared" si="230"/>
        <v>0</v>
      </c>
      <c r="AE303" s="317">
        <f t="shared" si="231"/>
        <v>0</v>
      </c>
      <c r="AF303" s="317">
        <f t="shared" si="224"/>
        <v>0</v>
      </c>
      <c r="AG303" s="317">
        <f t="shared" si="225"/>
        <v>0</v>
      </c>
      <c r="AH303" s="317">
        <f t="shared" si="250"/>
        <v>0</v>
      </c>
      <c r="AI303" s="317">
        <f t="shared" si="251"/>
        <v>0</v>
      </c>
      <c r="AJ303" s="317">
        <f t="shared" si="252"/>
        <v>0</v>
      </c>
      <c r="AK303" s="317">
        <f t="shared" si="253"/>
        <v>0</v>
      </c>
      <c r="AL303" s="317">
        <f t="shared" si="254"/>
        <v>0</v>
      </c>
      <c r="AM303" s="317">
        <f t="shared" si="255"/>
        <v>0</v>
      </c>
      <c r="AN303" s="317">
        <f t="shared" si="256"/>
        <v>0</v>
      </c>
      <c r="AO303" s="317">
        <f t="shared" si="257"/>
        <v>0</v>
      </c>
      <c r="AP303" s="317">
        <f t="shared" si="258"/>
        <v>0</v>
      </c>
      <c r="AQ303" s="317">
        <f t="shared" si="259"/>
        <v>0</v>
      </c>
      <c r="AR303" s="317">
        <f t="shared" si="232"/>
        <v>0</v>
      </c>
      <c r="AS303" s="317">
        <f t="shared" si="233"/>
        <v>0</v>
      </c>
      <c r="AT303" s="317">
        <f t="shared" si="260"/>
        <v>0</v>
      </c>
      <c r="AU303" s="317">
        <f t="shared" si="261"/>
        <v>0</v>
      </c>
      <c r="AV303" s="317">
        <f t="shared" si="262"/>
        <v>0</v>
      </c>
      <c r="AW303" s="317">
        <f t="shared" si="263"/>
        <v>0</v>
      </c>
      <c r="AX303" s="317">
        <f t="shared" si="234"/>
        <v>0</v>
      </c>
      <c r="AY303" s="317">
        <f t="shared" si="235"/>
        <v>0</v>
      </c>
      <c r="AZ303" s="317">
        <f t="shared" si="236"/>
        <v>0</v>
      </c>
      <c r="BA303" s="317">
        <f t="shared" si="237"/>
        <v>0</v>
      </c>
    </row>
    <row r="304" spans="1:53" s="314" customFormat="1" ht="16.5" customHeight="1">
      <c r="A304" s="63" t="str">
        <f t="array" ref="A304">IF(C304&lt;&gt;0,SUM(($C$11:C304&lt;&gt;0)*1),"")</f>
        <v/>
      </c>
      <c r="B304" s="315"/>
      <c r="C304" s="315"/>
      <c r="D304" s="315"/>
      <c r="E304" s="433"/>
      <c r="F304" s="371"/>
      <c r="G304" s="373"/>
      <c r="H304" s="373"/>
      <c r="I304" s="63" t="str">
        <f t="shared" si="219"/>
        <v/>
      </c>
      <c r="J304" s="317">
        <f t="shared" si="226"/>
        <v>0</v>
      </c>
      <c r="K304" s="317">
        <f t="shared" si="227"/>
        <v>0</v>
      </c>
      <c r="L304" s="317">
        <f t="shared" si="238"/>
        <v>0</v>
      </c>
      <c r="M304" s="317">
        <f t="shared" si="239"/>
        <v>0</v>
      </c>
      <c r="N304" s="317">
        <f t="shared" si="220"/>
        <v>0</v>
      </c>
      <c r="O304" s="317">
        <f t="shared" si="221"/>
        <v>0</v>
      </c>
      <c r="P304" s="317">
        <f t="shared" si="240"/>
        <v>0</v>
      </c>
      <c r="Q304" s="317">
        <f t="shared" si="241"/>
        <v>0</v>
      </c>
      <c r="R304" s="317">
        <f t="shared" si="242"/>
        <v>0</v>
      </c>
      <c r="S304" s="317">
        <f t="shared" si="243"/>
        <v>0</v>
      </c>
      <c r="T304" s="317">
        <f t="shared" si="222"/>
        <v>0</v>
      </c>
      <c r="U304" s="317">
        <f t="shared" si="223"/>
        <v>0</v>
      </c>
      <c r="V304" s="317">
        <f t="shared" si="244"/>
        <v>0</v>
      </c>
      <c r="W304" s="317">
        <f t="shared" si="245"/>
        <v>0</v>
      </c>
      <c r="X304" s="317">
        <f t="shared" si="246"/>
        <v>0</v>
      </c>
      <c r="Y304" s="317">
        <f t="shared" si="247"/>
        <v>0</v>
      </c>
      <c r="Z304" s="317">
        <f t="shared" si="228"/>
        <v>0</v>
      </c>
      <c r="AA304" s="317">
        <f t="shared" si="229"/>
        <v>0</v>
      </c>
      <c r="AB304" s="317">
        <f t="shared" si="248"/>
        <v>0</v>
      </c>
      <c r="AC304" s="317">
        <f t="shared" si="249"/>
        <v>0</v>
      </c>
      <c r="AD304" s="317">
        <f t="shared" si="230"/>
        <v>0</v>
      </c>
      <c r="AE304" s="317">
        <f t="shared" si="231"/>
        <v>0</v>
      </c>
      <c r="AF304" s="317">
        <f t="shared" si="224"/>
        <v>0</v>
      </c>
      <c r="AG304" s="317">
        <f t="shared" si="225"/>
        <v>0</v>
      </c>
      <c r="AH304" s="317">
        <f t="shared" si="250"/>
        <v>0</v>
      </c>
      <c r="AI304" s="317">
        <f t="shared" si="251"/>
        <v>0</v>
      </c>
      <c r="AJ304" s="317">
        <f t="shared" si="252"/>
        <v>0</v>
      </c>
      <c r="AK304" s="317">
        <f t="shared" si="253"/>
        <v>0</v>
      </c>
      <c r="AL304" s="317">
        <f t="shared" si="254"/>
        <v>0</v>
      </c>
      <c r="AM304" s="317">
        <f t="shared" si="255"/>
        <v>0</v>
      </c>
      <c r="AN304" s="317">
        <f t="shared" si="256"/>
        <v>0</v>
      </c>
      <c r="AO304" s="317">
        <f t="shared" si="257"/>
        <v>0</v>
      </c>
      <c r="AP304" s="317">
        <f t="shared" si="258"/>
        <v>0</v>
      </c>
      <c r="AQ304" s="317">
        <f t="shared" si="259"/>
        <v>0</v>
      </c>
      <c r="AR304" s="317">
        <f t="shared" si="232"/>
        <v>0</v>
      </c>
      <c r="AS304" s="317">
        <f t="shared" si="233"/>
        <v>0</v>
      </c>
      <c r="AT304" s="317">
        <f t="shared" si="260"/>
        <v>0</v>
      </c>
      <c r="AU304" s="317">
        <f t="shared" si="261"/>
        <v>0</v>
      </c>
      <c r="AV304" s="317">
        <f t="shared" si="262"/>
        <v>0</v>
      </c>
      <c r="AW304" s="317">
        <f t="shared" si="263"/>
        <v>0</v>
      </c>
      <c r="AX304" s="317">
        <f t="shared" si="234"/>
        <v>0</v>
      </c>
      <c r="AY304" s="317">
        <f t="shared" si="235"/>
        <v>0</v>
      </c>
      <c r="AZ304" s="317">
        <f t="shared" si="236"/>
        <v>0</v>
      </c>
      <c r="BA304" s="317">
        <f t="shared" si="237"/>
        <v>0</v>
      </c>
    </row>
    <row r="305" spans="1:53" s="314" customFormat="1" ht="16.5" customHeight="1">
      <c r="A305" s="63" t="str">
        <f t="array" ref="A305">IF(C305&lt;&gt;0,SUM(($C$11:C305&lt;&gt;0)*1),"")</f>
        <v/>
      </c>
      <c r="B305" s="315"/>
      <c r="C305" s="315"/>
      <c r="D305" s="315"/>
      <c r="E305" s="433"/>
      <c r="F305" s="371"/>
      <c r="G305" s="373"/>
      <c r="H305" s="373"/>
      <c r="I305" s="63" t="str">
        <f t="shared" ref="I305:I347" si="264">A305</f>
        <v/>
      </c>
      <c r="J305" s="317">
        <f t="shared" si="226"/>
        <v>0</v>
      </c>
      <c r="K305" s="317">
        <f t="shared" si="227"/>
        <v>0</v>
      </c>
      <c r="L305" s="317">
        <f t="shared" si="238"/>
        <v>0</v>
      </c>
      <c r="M305" s="317">
        <f t="shared" si="239"/>
        <v>0</v>
      </c>
      <c r="N305" s="317">
        <f t="shared" si="220"/>
        <v>0</v>
      </c>
      <c r="O305" s="317">
        <f t="shared" si="221"/>
        <v>0</v>
      </c>
      <c r="P305" s="317">
        <f t="shared" si="240"/>
        <v>0</v>
      </c>
      <c r="Q305" s="317">
        <f t="shared" si="241"/>
        <v>0</v>
      </c>
      <c r="R305" s="317">
        <f t="shared" si="242"/>
        <v>0</v>
      </c>
      <c r="S305" s="317">
        <f t="shared" si="243"/>
        <v>0</v>
      </c>
      <c r="T305" s="317">
        <f t="shared" si="222"/>
        <v>0</v>
      </c>
      <c r="U305" s="317">
        <f t="shared" si="223"/>
        <v>0</v>
      </c>
      <c r="V305" s="317">
        <f t="shared" si="244"/>
        <v>0</v>
      </c>
      <c r="W305" s="317">
        <f t="shared" si="245"/>
        <v>0</v>
      </c>
      <c r="X305" s="317">
        <f t="shared" si="246"/>
        <v>0</v>
      </c>
      <c r="Y305" s="317">
        <f t="shared" si="247"/>
        <v>0</v>
      </c>
      <c r="Z305" s="317">
        <f t="shared" si="228"/>
        <v>0</v>
      </c>
      <c r="AA305" s="317">
        <f t="shared" si="229"/>
        <v>0</v>
      </c>
      <c r="AB305" s="317">
        <f t="shared" si="248"/>
        <v>0</v>
      </c>
      <c r="AC305" s="317">
        <f t="shared" si="249"/>
        <v>0</v>
      </c>
      <c r="AD305" s="317">
        <f t="shared" si="230"/>
        <v>0</v>
      </c>
      <c r="AE305" s="317">
        <f t="shared" si="231"/>
        <v>0</v>
      </c>
      <c r="AF305" s="317">
        <f t="shared" si="224"/>
        <v>0</v>
      </c>
      <c r="AG305" s="317">
        <f t="shared" si="225"/>
        <v>0</v>
      </c>
      <c r="AH305" s="317">
        <f t="shared" si="250"/>
        <v>0</v>
      </c>
      <c r="AI305" s="317">
        <f t="shared" si="251"/>
        <v>0</v>
      </c>
      <c r="AJ305" s="317">
        <f t="shared" si="252"/>
        <v>0</v>
      </c>
      <c r="AK305" s="317">
        <f t="shared" si="253"/>
        <v>0</v>
      </c>
      <c r="AL305" s="317">
        <f t="shared" si="254"/>
        <v>0</v>
      </c>
      <c r="AM305" s="317">
        <f t="shared" si="255"/>
        <v>0</v>
      </c>
      <c r="AN305" s="317">
        <f t="shared" si="256"/>
        <v>0</v>
      </c>
      <c r="AO305" s="317">
        <f t="shared" si="257"/>
        <v>0</v>
      </c>
      <c r="AP305" s="317">
        <f t="shared" si="258"/>
        <v>0</v>
      </c>
      <c r="AQ305" s="317">
        <f t="shared" si="259"/>
        <v>0</v>
      </c>
      <c r="AR305" s="317">
        <f t="shared" si="232"/>
        <v>0</v>
      </c>
      <c r="AS305" s="317">
        <f t="shared" si="233"/>
        <v>0</v>
      </c>
      <c r="AT305" s="317">
        <f t="shared" si="260"/>
        <v>0</v>
      </c>
      <c r="AU305" s="317">
        <f t="shared" si="261"/>
        <v>0</v>
      </c>
      <c r="AV305" s="317">
        <f t="shared" si="262"/>
        <v>0</v>
      </c>
      <c r="AW305" s="317">
        <f t="shared" si="263"/>
        <v>0</v>
      </c>
      <c r="AX305" s="317">
        <f t="shared" si="234"/>
        <v>0</v>
      </c>
      <c r="AY305" s="317">
        <f t="shared" si="235"/>
        <v>0</v>
      </c>
      <c r="AZ305" s="317">
        <f t="shared" si="236"/>
        <v>0</v>
      </c>
      <c r="BA305" s="317">
        <f t="shared" si="237"/>
        <v>0</v>
      </c>
    </row>
    <row r="306" spans="1:53" s="314" customFormat="1" ht="16.5" customHeight="1">
      <c r="A306" s="63" t="str">
        <f t="array" ref="A306">IF(C306&lt;&gt;0,SUM(($C$11:C306&lt;&gt;0)*1),"")</f>
        <v/>
      </c>
      <c r="B306" s="315"/>
      <c r="C306" s="315"/>
      <c r="D306" s="315"/>
      <c r="E306" s="433"/>
      <c r="F306" s="371"/>
      <c r="G306" s="373"/>
      <c r="H306" s="373"/>
      <c r="I306" s="63" t="str">
        <f t="shared" si="264"/>
        <v/>
      </c>
      <c r="J306" s="317">
        <f t="shared" si="226"/>
        <v>0</v>
      </c>
      <c r="K306" s="317">
        <f t="shared" si="227"/>
        <v>0</v>
      </c>
      <c r="L306" s="317">
        <f t="shared" si="238"/>
        <v>0</v>
      </c>
      <c r="M306" s="317">
        <f t="shared" si="239"/>
        <v>0</v>
      </c>
      <c r="N306" s="317">
        <f t="shared" si="220"/>
        <v>0</v>
      </c>
      <c r="O306" s="317">
        <f t="shared" si="221"/>
        <v>0</v>
      </c>
      <c r="P306" s="317">
        <f t="shared" si="240"/>
        <v>0</v>
      </c>
      <c r="Q306" s="317">
        <f t="shared" si="241"/>
        <v>0</v>
      </c>
      <c r="R306" s="317">
        <f t="shared" si="242"/>
        <v>0</v>
      </c>
      <c r="S306" s="317">
        <f t="shared" si="243"/>
        <v>0</v>
      </c>
      <c r="T306" s="317">
        <f t="shared" si="222"/>
        <v>0</v>
      </c>
      <c r="U306" s="317">
        <f t="shared" si="223"/>
        <v>0</v>
      </c>
      <c r="V306" s="317">
        <f t="shared" si="244"/>
        <v>0</v>
      </c>
      <c r="W306" s="317">
        <f t="shared" si="245"/>
        <v>0</v>
      </c>
      <c r="X306" s="317">
        <f t="shared" si="246"/>
        <v>0</v>
      </c>
      <c r="Y306" s="317">
        <f t="shared" si="247"/>
        <v>0</v>
      </c>
      <c r="Z306" s="317">
        <f t="shared" si="228"/>
        <v>0</v>
      </c>
      <c r="AA306" s="317">
        <f t="shared" si="229"/>
        <v>0</v>
      </c>
      <c r="AB306" s="317">
        <f t="shared" si="248"/>
        <v>0</v>
      </c>
      <c r="AC306" s="317">
        <f t="shared" si="249"/>
        <v>0</v>
      </c>
      <c r="AD306" s="317">
        <f t="shared" si="230"/>
        <v>0</v>
      </c>
      <c r="AE306" s="317">
        <f t="shared" si="231"/>
        <v>0</v>
      </c>
      <c r="AF306" s="317">
        <f t="shared" si="224"/>
        <v>0</v>
      </c>
      <c r="AG306" s="317">
        <f t="shared" si="225"/>
        <v>0</v>
      </c>
      <c r="AH306" s="317">
        <f t="shared" si="250"/>
        <v>0</v>
      </c>
      <c r="AI306" s="317">
        <f t="shared" si="251"/>
        <v>0</v>
      </c>
      <c r="AJ306" s="317">
        <f t="shared" si="252"/>
        <v>0</v>
      </c>
      <c r="AK306" s="317">
        <f t="shared" si="253"/>
        <v>0</v>
      </c>
      <c r="AL306" s="317">
        <f t="shared" si="254"/>
        <v>0</v>
      </c>
      <c r="AM306" s="317">
        <f t="shared" si="255"/>
        <v>0</v>
      </c>
      <c r="AN306" s="317">
        <f t="shared" si="256"/>
        <v>0</v>
      </c>
      <c r="AO306" s="317">
        <f t="shared" si="257"/>
        <v>0</v>
      </c>
      <c r="AP306" s="317">
        <f t="shared" si="258"/>
        <v>0</v>
      </c>
      <c r="AQ306" s="317">
        <f t="shared" si="259"/>
        <v>0</v>
      </c>
      <c r="AR306" s="317">
        <f t="shared" si="232"/>
        <v>0</v>
      </c>
      <c r="AS306" s="317">
        <f t="shared" si="233"/>
        <v>0</v>
      </c>
      <c r="AT306" s="317">
        <f t="shared" si="260"/>
        <v>0</v>
      </c>
      <c r="AU306" s="317">
        <f t="shared" si="261"/>
        <v>0</v>
      </c>
      <c r="AV306" s="317">
        <f t="shared" si="262"/>
        <v>0</v>
      </c>
      <c r="AW306" s="317">
        <f t="shared" si="263"/>
        <v>0</v>
      </c>
      <c r="AX306" s="317">
        <f t="shared" si="234"/>
        <v>0</v>
      </c>
      <c r="AY306" s="317">
        <f t="shared" si="235"/>
        <v>0</v>
      </c>
      <c r="AZ306" s="317">
        <f t="shared" si="236"/>
        <v>0</v>
      </c>
      <c r="BA306" s="317">
        <f t="shared" si="237"/>
        <v>0</v>
      </c>
    </row>
    <row r="307" spans="1:53" s="314" customFormat="1" ht="16.5" customHeight="1">
      <c r="A307" s="63" t="str">
        <f t="array" ref="A307">IF(C307&lt;&gt;0,SUM(($C$11:C307&lt;&gt;0)*1),"")</f>
        <v/>
      </c>
      <c r="B307" s="315"/>
      <c r="C307" s="315"/>
      <c r="D307" s="315"/>
      <c r="E307" s="433"/>
      <c r="F307" s="371"/>
      <c r="G307" s="373"/>
      <c r="H307" s="373"/>
      <c r="I307" s="63" t="str">
        <f t="shared" si="264"/>
        <v/>
      </c>
      <c r="J307" s="317">
        <f t="shared" si="226"/>
        <v>0</v>
      </c>
      <c r="K307" s="317">
        <f t="shared" si="227"/>
        <v>0</v>
      </c>
      <c r="L307" s="317">
        <f t="shared" si="238"/>
        <v>0</v>
      </c>
      <c r="M307" s="317">
        <f t="shared" si="239"/>
        <v>0</v>
      </c>
      <c r="N307" s="317">
        <f t="shared" si="220"/>
        <v>0</v>
      </c>
      <c r="O307" s="317">
        <f t="shared" si="221"/>
        <v>0</v>
      </c>
      <c r="P307" s="317">
        <f t="shared" si="240"/>
        <v>0</v>
      </c>
      <c r="Q307" s="317">
        <f t="shared" si="241"/>
        <v>0</v>
      </c>
      <c r="R307" s="317">
        <f t="shared" si="242"/>
        <v>0</v>
      </c>
      <c r="S307" s="317">
        <f t="shared" si="243"/>
        <v>0</v>
      </c>
      <c r="T307" s="317">
        <f t="shared" si="222"/>
        <v>0</v>
      </c>
      <c r="U307" s="317">
        <f t="shared" si="223"/>
        <v>0</v>
      </c>
      <c r="V307" s="317">
        <f t="shared" si="244"/>
        <v>0</v>
      </c>
      <c r="W307" s="317">
        <f t="shared" si="245"/>
        <v>0</v>
      </c>
      <c r="X307" s="317">
        <f t="shared" si="246"/>
        <v>0</v>
      </c>
      <c r="Y307" s="317">
        <f t="shared" si="247"/>
        <v>0</v>
      </c>
      <c r="Z307" s="317">
        <f t="shared" si="228"/>
        <v>0</v>
      </c>
      <c r="AA307" s="317">
        <f t="shared" si="229"/>
        <v>0</v>
      </c>
      <c r="AB307" s="317">
        <f t="shared" si="248"/>
        <v>0</v>
      </c>
      <c r="AC307" s="317">
        <f t="shared" si="249"/>
        <v>0</v>
      </c>
      <c r="AD307" s="317">
        <f t="shared" si="230"/>
        <v>0</v>
      </c>
      <c r="AE307" s="317">
        <f t="shared" si="231"/>
        <v>0</v>
      </c>
      <c r="AF307" s="317">
        <f t="shared" si="224"/>
        <v>0</v>
      </c>
      <c r="AG307" s="317">
        <f t="shared" si="225"/>
        <v>0</v>
      </c>
      <c r="AH307" s="317">
        <f t="shared" si="250"/>
        <v>0</v>
      </c>
      <c r="AI307" s="317">
        <f t="shared" si="251"/>
        <v>0</v>
      </c>
      <c r="AJ307" s="317">
        <f t="shared" si="252"/>
        <v>0</v>
      </c>
      <c r="AK307" s="317">
        <f t="shared" si="253"/>
        <v>0</v>
      </c>
      <c r="AL307" s="317">
        <f t="shared" si="254"/>
        <v>0</v>
      </c>
      <c r="AM307" s="317">
        <f t="shared" si="255"/>
        <v>0</v>
      </c>
      <c r="AN307" s="317">
        <f t="shared" si="256"/>
        <v>0</v>
      </c>
      <c r="AO307" s="317">
        <f t="shared" si="257"/>
        <v>0</v>
      </c>
      <c r="AP307" s="317">
        <f t="shared" si="258"/>
        <v>0</v>
      </c>
      <c r="AQ307" s="317">
        <f t="shared" si="259"/>
        <v>0</v>
      </c>
      <c r="AR307" s="317">
        <f t="shared" si="232"/>
        <v>0</v>
      </c>
      <c r="AS307" s="317">
        <f t="shared" si="233"/>
        <v>0</v>
      </c>
      <c r="AT307" s="317">
        <f t="shared" si="260"/>
        <v>0</v>
      </c>
      <c r="AU307" s="317">
        <f t="shared" si="261"/>
        <v>0</v>
      </c>
      <c r="AV307" s="317">
        <f t="shared" si="262"/>
        <v>0</v>
      </c>
      <c r="AW307" s="317">
        <f t="shared" si="263"/>
        <v>0</v>
      </c>
      <c r="AX307" s="317">
        <f t="shared" si="234"/>
        <v>0</v>
      </c>
      <c r="AY307" s="317">
        <f t="shared" si="235"/>
        <v>0</v>
      </c>
      <c r="AZ307" s="317">
        <f t="shared" si="236"/>
        <v>0</v>
      </c>
      <c r="BA307" s="317">
        <f t="shared" si="237"/>
        <v>0</v>
      </c>
    </row>
    <row r="308" spans="1:53" s="314" customFormat="1" ht="16.5" customHeight="1">
      <c r="A308" s="63" t="str">
        <f t="array" ref="A308">IF(C308&lt;&gt;0,SUM(($C$11:C308&lt;&gt;0)*1),"")</f>
        <v/>
      </c>
      <c r="B308" s="315"/>
      <c r="C308" s="315"/>
      <c r="D308" s="315"/>
      <c r="E308" s="433"/>
      <c r="F308" s="371"/>
      <c r="G308" s="373"/>
      <c r="H308" s="373"/>
      <c r="I308" s="63" t="str">
        <f t="shared" si="264"/>
        <v/>
      </c>
      <c r="J308" s="317">
        <f t="shared" si="226"/>
        <v>0</v>
      </c>
      <c r="K308" s="317">
        <f t="shared" si="227"/>
        <v>0</v>
      </c>
      <c r="L308" s="317">
        <f t="shared" si="238"/>
        <v>0</v>
      </c>
      <c r="M308" s="317">
        <f t="shared" si="239"/>
        <v>0</v>
      </c>
      <c r="N308" s="317">
        <f t="shared" si="220"/>
        <v>0</v>
      </c>
      <c r="O308" s="317">
        <f t="shared" si="221"/>
        <v>0</v>
      </c>
      <c r="P308" s="317">
        <f t="shared" si="240"/>
        <v>0</v>
      </c>
      <c r="Q308" s="317">
        <f t="shared" si="241"/>
        <v>0</v>
      </c>
      <c r="R308" s="317">
        <f t="shared" si="242"/>
        <v>0</v>
      </c>
      <c r="S308" s="317">
        <f t="shared" si="243"/>
        <v>0</v>
      </c>
      <c r="T308" s="317">
        <f t="shared" si="222"/>
        <v>0</v>
      </c>
      <c r="U308" s="317">
        <f t="shared" si="223"/>
        <v>0</v>
      </c>
      <c r="V308" s="317">
        <f t="shared" si="244"/>
        <v>0</v>
      </c>
      <c r="W308" s="317">
        <f t="shared" si="245"/>
        <v>0</v>
      </c>
      <c r="X308" s="317">
        <f t="shared" si="246"/>
        <v>0</v>
      </c>
      <c r="Y308" s="317">
        <f t="shared" si="247"/>
        <v>0</v>
      </c>
      <c r="Z308" s="317">
        <f t="shared" si="228"/>
        <v>0</v>
      </c>
      <c r="AA308" s="317">
        <f t="shared" si="229"/>
        <v>0</v>
      </c>
      <c r="AB308" s="317">
        <f t="shared" si="248"/>
        <v>0</v>
      </c>
      <c r="AC308" s="317">
        <f t="shared" si="249"/>
        <v>0</v>
      </c>
      <c r="AD308" s="317">
        <f t="shared" si="230"/>
        <v>0</v>
      </c>
      <c r="AE308" s="317">
        <f t="shared" si="231"/>
        <v>0</v>
      </c>
      <c r="AF308" s="317">
        <f t="shared" si="224"/>
        <v>0</v>
      </c>
      <c r="AG308" s="317">
        <f t="shared" si="225"/>
        <v>0</v>
      </c>
      <c r="AH308" s="317">
        <f t="shared" si="250"/>
        <v>0</v>
      </c>
      <c r="AI308" s="317">
        <f t="shared" si="251"/>
        <v>0</v>
      </c>
      <c r="AJ308" s="317">
        <f t="shared" si="252"/>
        <v>0</v>
      </c>
      <c r="AK308" s="317">
        <f t="shared" si="253"/>
        <v>0</v>
      </c>
      <c r="AL308" s="317">
        <f t="shared" si="254"/>
        <v>0</v>
      </c>
      <c r="AM308" s="317">
        <f t="shared" si="255"/>
        <v>0</v>
      </c>
      <c r="AN308" s="317">
        <f t="shared" si="256"/>
        <v>0</v>
      </c>
      <c r="AO308" s="317">
        <f t="shared" si="257"/>
        <v>0</v>
      </c>
      <c r="AP308" s="317">
        <f t="shared" si="258"/>
        <v>0</v>
      </c>
      <c r="AQ308" s="317">
        <f t="shared" si="259"/>
        <v>0</v>
      </c>
      <c r="AR308" s="317">
        <f t="shared" si="232"/>
        <v>0</v>
      </c>
      <c r="AS308" s="317">
        <f t="shared" si="233"/>
        <v>0</v>
      </c>
      <c r="AT308" s="317">
        <f t="shared" si="260"/>
        <v>0</v>
      </c>
      <c r="AU308" s="317">
        <f t="shared" si="261"/>
        <v>0</v>
      </c>
      <c r="AV308" s="317">
        <f t="shared" si="262"/>
        <v>0</v>
      </c>
      <c r="AW308" s="317">
        <f t="shared" si="263"/>
        <v>0</v>
      </c>
      <c r="AX308" s="317">
        <f t="shared" si="234"/>
        <v>0</v>
      </c>
      <c r="AY308" s="317">
        <f t="shared" si="235"/>
        <v>0</v>
      </c>
      <c r="AZ308" s="317">
        <f t="shared" si="236"/>
        <v>0</v>
      </c>
      <c r="BA308" s="317">
        <f t="shared" si="237"/>
        <v>0</v>
      </c>
    </row>
    <row r="309" spans="1:53" s="314" customFormat="1" ht="16.5" customHeight="1">
      <c r="A309" s="63" t="str">
        <f t="array" ref="A309">IF(C309&lt;&gt;0,SUM(($C$11:C309&lt;&gt;0)*1),"")</f>
        <v/>
      </c>
      <c r="B309" s="315"/>
      <c r="C309" s="315"/>
      <c r="D309" s="315"/>
      <c r="E309" s="433"/>
      <c r="F309" s="371"/>
      <c r="G309" s="373"/>
      <c r="H309" s="373"/>
      <c r="I309" s="63" t="str">
        <f t="shared" si="264"/>
        <v/>
      </c>
      <c r="J309" s="317">
        <f t="shared" si="226"/>
        <v>0</v>
      </c>
      <c r="K309" s="317">
        <f t="shared" si="227"/>
        <v>0</v>
      </c>
      <c r="L309" s="317">
        <f t="shared" si="238"/>
        <v>0</v>
      </c>
      <c r="M309" s="317">
        <f t="shared" si="239"/>
        <v>0</v>
      </c>
      <c r="N309" s="317">
        <f t="shared" si="220"/>
        <v>0</v>
      </c>
      <c r="O309" s="317">
        <f t="shared" si="221"/>
        <v>0</v>
      </c>
      <c r="P309" s="317">
        <f t="shared" si="240"/>
        <v>0</v>
      </c>
      <c r="Q309" s="317">
        <f t="shared" si="241"/>
        <v>0</v>
      </c>
      <c r="R309" s="317">
        <f t="shared" si="242"/>
        <v>0</v>
      </c>
      <c r="S309" s="317">
        <f t="shared" si="243"/>
        <v>0</v>
      </c>
      <c r="T309" s="317">
        <f t="shared" si="222"/>
        <v>0</v>
      </c>
      <c r="U309" s="317">
        <f t="shared" si="223"/>
        <v>0</v>
      </c>
      <c r="V309" s="317">
        <f t="shared" si="244"/>
        <v>0</v>
      </c>
      <c r="W309" s="317">
        <f t="shared" si="245"/>
        <v>0</v>
      </c>
      <c r="X309" s="317">
        <f t="shared" si="246"/>
        <v>0</v>
      </c>
      <c r="Y309" s="317">
        <f t="shared" si="247"/>
        <v>0</v>
      </c>
      <c r="Z309" s="317">
        <f t="shared" si="228"/>
        <v>0</v>
      </c>
      <c r="AA309" s="317">
        <f t="shared" si="229"/>
        <v>0</v>
      </c>
      <c r="AB309" s="317">
        <f t="shared" si="248"/>
        <v>0</v>
      </c>
      <c r="AC309" s="317">
        <f t="shared" si="249"/>
        <v>0</v>
      </c>
      <c r="AD309" s="317">
        <f t="shared" si="230"/>
        <v>0</v>
      </c>
      <c r="AE309" s="317">
        <f t="shared" si="231"/>
        <v>0</v>
      </c>
      <c r="AF309" s="317">
        <f t="shared" si="224"/>
        <v>0</v>
      </c>
      <c r="AG309" s="317">
        <f t="shared" si="225"/>
        <v>0</v>
      </c>
      <c r="AH309" s="317">
        <f t="shared" si="250"/>
        <v>0</v>
      </c>
      <c r="AI309" s="317">
        <f t="shared" si="251"/>
        <v>0</v>
      </c>
      <c r="AJ309" s="317">
        <f t="shared" si="252"/>
        <v>0</v>
      </c>
      <c r="AK309" s="317">
        <f t="shared" si="253"/>
        <v>0</v>
      </c>
      <c r="AL309" s="317">
        <f t="shared" si="254"/>
        <v>0</v>
      </c>
      <c r="AM309" s="317">
        <f t="shared" si="255"/>
        <v>0</v>
      </c>
      <c r="AN309" s="317">
        <f t="shared" si="256"/>
        <v>0</v>
      </c>
      <c r="AO309" s="317">
        <f t="shared" si="257"/>
        <v>0</v>
      </c>
      <c r="AP309" s="317">
        <f t="shared" si="258"/>
        <v>0</v>
      </c>
      <c r="AQ309" s="317">
        <f t="shared" si="259"/>
        <v>0</v>
      </c>
      <c r="AR309" s="317">
        <f t="shared" si="232"/>
        <v>0</v>
      </c>
      <c r="AS309" s="317">
        <f t="shared" si="233"/>
        <v>0</v>
      </c>
      <c r="AT309" s="317">
        <f t="shared" si="260"/>
        <v>0</v>
      </c>
      <c r="AU309" s="317">
        <f t="shared" si="261"/>
        <v>0</v>
      </c>
      <c r="AV309" s="317">
        <f t="shared" si="262"/>
        <v>0</v>
      </c>
      <c r="AW309" s="317">
        <f t="shared" si="263"/>
        <v>0</v>
      </c>
      <c r="AX309" s="317">
        <f t="shared" si="234"/>
        <v>0</v>
      </c>
      <c r="AY309" s="317">
        <f t="shared" si="235"/>
        <v>0</v>
      </c>
      <c r="AZ309" s="317">
        <f t="shared" si="236"/>
        <v>0</v>
      </c>
      <c r="BA309" s="317">
        <f t="shared" si="237"/>
        <v>0</v>
      </c>
    </row>
    <row r="310" spans="1:53" s="314" customFormat="1" ht="16.5" customHeight="1">
      <c r="A310" s="63" t="str">
        <f t="array" ref="A310">IF(C310&lt;&gt;0,SUM(($C$11:C310&lt;&gt;0)*1),"")</f>
        <v/>
      </c>
      <c r="B310" s="315"/>
      <c r="C310" s="315"/>
      <c r="D310" s="315"/>
      <c r="E310" s="433"/>
      <c r="F310" s="371"/>
      <c r="G310" s="373"/>
      <c r="H310" s="373"/>
      <c r="I310" s="63" t="str">
        <f t="shared" si="264"/>
        <v/>
      </c>
      <c r="J310" s="317">
        <f t="shared" si="226"/>
        <v>0</v>
      </c>
      <c r="K310" s="317">
        <f t="shared" si="227"/>
        <v>0</v>
      </c>
      <c r="L310" s="317">
        <f t="shared" si="238"/>
        <v>0</v>
      </c>
      <c r="M310" s="317">
        <f t="shared" si="239"/>
        <v>0</v>
      </c>
      <c r="N310" s="317">
        <f t="shared" si="220"/>
        <v>0</v>
      </c>
      <c r="O310" s="317">
        <f t="shared" si="221"/>
        <v>0</v>
      </c>
      <c r="P310" s="317">
        <f t="shared" si="240"/>
        <v>0</v>
      </c>
      <c r="Q310" s="317">
        <f t="shared" si="241"/>
        <v>0</v>
      </c>
      <c r="R310" s="317">
        <f t="shared" si="242"/>
        <v>0</v>
      </c>
      <c r="S310" s="317">
        <f t="shared" si="243"/>
        <v>0</v>
      </c>
      <c r="T310" s="317">
        <f t="shared" si="222"/>
        <v>0</v>
      </c>
      <c r="U310" s="317">
        <f t="shared" si="223"/>
        <v>0</v>
      </c>
      <c r="V310" s="317">
        <f t="shared" si="244"/>
        <v>0</v>
      </c>
      <c r="W310" s="317">
        <f t="shared" si="245"/>
        <v>0</v>
      </c>
      <c r="X310" s="317">
        <f t="shared" si="246"/>
        <v>0</v>
      </c>
      <c r="Y310" s="317">
        <f t="shared" si="247"/>
        <v>0</v>
      </c>
      <c r="Z310" s="317">
        <f t="shared" si="228"/>
        <v>0</v>
      </c>
      <c r="AA310" s="317">
        <f t="shared" si="229"/>
        <v>0</v>
      </c>
      <c r="AB310" s="317">
        <f t="shared" si="248"/>
        <v>0</v>
      </c>
      <c r="AC310" s="317">
        <f t="shared" si="249"/>
        <v>0</v>
      </c>
      <c r="AD310" s="317">
        <f t="shared" si="230"/>
        <v>0</v>
      </c>
      <c r="AE310" s="317">
        <f t="shared" si="231"/>
        <v>0</v>
      </c>
      <c r="AF310" s="317">
        <f t="shared" si="224"/>
        <v>0</v>
      </c>
      <c r="AG310" s="317">
        <f t="shared" si="225"/>
        <v>0</v>
      </c>
      <c r="AH310" s="317">
        <f t="shared" si="250"/>
        <v>0</v>
      </c>
      <c r="AI310" s="317">
        <f t="shared" si="251"/>
        <v>0</v>
      </c>
      <c r="AJ310" s="317">
        <f t="shared" si="252"/>
        <v>0</v>
      </c>
      <c r="AK310" s="317">
        <f t="shared" si="253"/>
        <v>0</v>
      </c>
      <c r="AL310" s="317">
        <f t="shared" si="254"/>
        <v>0</v>
      </c>
      <c r="AM310" s="317">
        <f t="shared" si="255"/>
        <v>0</v>
      </c>
      <c r="AN310" s="317">
        <f t="shared" si="256"/>
        <v>0</v>
      </c>
      <c r="AO310" s="317">
        <f t="shared" si="257"/>
        <v>0</v>
      </c>
      <c r="AP310" s="317">
        <f t="shared" si="258"/>
        <v>0</v>
      </c>
      <c r="AQ310" s="317">
        <f t="shared" si="259"/>
        <v>0</v>
      </c>
      <c r="AR310" s="317">
        <f t="shared" si="232"/>
        <v>0</v>
      </c>
      <c r="AS310" s="317">
        <f t="shared" si="233"/>
        <v>0</v>
      </c>
      <c r="AT310" s="317">
        <f t="shared" si="260"/>
        <v>0</v>
      </c>
      <c r="AU310" s="317">
        <f t="shared" si="261"/>
        <v>0</v>
      </c>
      <c r="AV310" s="317">
        <f t="shared" si="262"/>
        <v>0</v>
      </c>
      <c r="AW310" s="317">
        <f t="shared" si="263"/>
        <v>0</v>
      </c>
      <c r="AX310" s="317">
        <f t="shared" si="234"/>
        <v>0</v>
      </c>
      <c r="AY310" s="317">
        <f t="shared" si="235"/>
        <v>0</v>
      </c>
      <c r="AZ310" s="317">
        <f t="shared" si="236"/>
        <v>0</v>
      </c>
      <c r="BA310" s="317">
        <f t="shared" si="237"/>
        <v>0</v>
      </c>
    </row>
    <row r="311" spans="1:53" s="314" customFormat="1" ht="16.5" customHeight="1">
      <c r="A311" s="63" t="str">
        <f t="array" ref="A311">IF(C311&lt;&gt;0,SUM(($C$11:C311&lt;&gt;0)*1),"")</f>
        <v/>
      </c>
      <c r="B311" s="315"/>
      <c r="C311" s="315"/>
      <c r="D311" s="315"/>
      <c r="E311" s="433"/>
      <c r="F311" s="371"/>
      <c r="G311" s="373"/>
      <c r="H311" s="373"/>
      <c r="I311" s="63" t="str">
        <f t="shared" si="264"/>
        <v/>
      </c>
      <c r="J311" s="317">
        <f t="shared" si="226"/>
        <v>0</v>
      </c>
      <c r="K311" s="317">
        <f t="shared" si="227"/>
        <v>0</v>
      </c>
      <c r="L311" s="317">
        <f t="shared" si="238"/>
        <v>0</v>
      </c>
      <c r="M311" s="317">
        <f t="shared" si="239"/>
        <v>0</v>
      </c>
      <c r="N311" s="317">
        <f t="shared" si="220"/>
        <v>0</v>
      </c>
      <c r="O311" s="317">
        <f t="shared" si="221"/>
        <v>0</v>
      </c>
      <c r="P311" s="317">
        <f t="shared" si="240"/>
        <v>0</v>
      </c>
      <c r="Q311" s="317">
        <f t="shared" si="241"/>
        <v>0</v>
      </c>
      <c r="R311" s="317">
        <f t="shared" si="242"/>
        <v>0</v>
      </c>
      <c r="S311" s="317">
        <f t="shared" si="243"/>
        <v>0</v>
      </c>
      <c r="T311" s="317">
        <f t="shared" si="222"/>
        <v>0</v>
      </c>
      <c r="U311" s="317">
        <f t="shared" si="223"/>
        <v>0</v>
      </c>
      <c r="V311" s="317">
        <f t="shared" si="244"/>
        <v>0</v>
      </c>
      <c r="W311" s="317">
        <f t="shared" si="245"/>
        <v>0</v>
      </c>
      <c r="X311" s="317">
        <f t="shared" si="246"/>
        <v>0</v>
      </c>
      <c r="Y311" s="317">
        <f t="shared" si="247"/>
        <v>0</v>
      </c>
      <c r="Z311" s="317">
        <f t="shared" si="228"/>
        <v>0</v>
      </c>
      <c r="AA311" s="317">
        <f t="shared" si="229"/>
        <v>0</v>
      </c>
      <c r="AB311" s="317">
        <f t="shared" si="248"/>
        <v>0</v>
      </c>
      <c r="AC311" s="317">
        <f t="shared" si="249"/>
        <v>0</v>
      </c>
      <c r="AD311" s="317">
        <f t="shared" si="230"/>
        <v>0</v>
      </c>
      <c r="AE311" s="317">
        <f t="shared" si="231"/>
        <v>0</v>
      </c>
      <c r="AF311" s="317">
        <f t="shared" si="224"/>
        <v>0</v>
      </c>
      <c r="AG311" s="317">
        <f t="shared" si="225"/>
        <v>0</v>
      </c>
      <c r="AH311" s="317">
        <f t="shared" si="250"/>
        <v>0</v>
      </c>
      <c r="AI311" s="317">
        <f t="shared" si="251"/>
        <v>0</v>
      </c>
      <c r="AJ311" s="317">
        <f t="shared" si="252"/>
        <v>0</v>
      </c>
      <c r="AK311" s="317">
        <f t="shared" si="253"/>
        <v>0</v>
      </c>
      <c r="AL311" s="317">
        <f t="shared" si="254"/>
        <v>0</v>
      </c>
      <c r="AM311" s="317">
        <f t="shared" si="255"/>
        <v>0</v>
      </c>
      <c r="AN311" s="317">
        <f t="shared" si="256"/>
        <v>0</v>
      </c>
      <c r="AO311" s="317">
        <f t="shared" si="257"/>
        <v>0</v>
      </c>
      <c r="AP311" s="317">
        <f t="shared" si="258"/>
        <v>0</v>
      </c>
      <c r="AQ311" s="317">
        <f t="shared" si="259"/>
        <v>0</v>
      </c>
      <c r="AR311" s="317">
        <f t="shared" si="232"/>
        <v>0</v>
      </c>
      <c r="AS311" s="317">
        <f t="shared" si="233"/>
        <v>0</v>
      </c>
      <c r="AT311" s="317">
        <f t="shared" si="260"/>
        <v>0</v>
      </c>
      <c r="AU311" s="317">
        <f t="shared" si="261"/>
        <v>0</v>
      </c>
      <c r="AV311" s="317">
        <f t="shared" si="262"/>
        <v>0</v>
      </c>
      <c r="AW311" s="317">
        <f t="shared" si="263"/>
        <v>0</v>
      </c>
      <c r="AX311" s="317">
        <f t="shared" si="234"/>
        <v>0</v>
      </c>
      <c r="AY311" s="317">
        <f t="shared" si="235"/>
        <v>0</v>
      </c>
      <c r="AZ311" s="317">
        <f t="shared" si="236"/>
        <v>0</v>
      </c>
      <c r="BA311" s="317">
        <f t="shared" si="237"/>
        <v>0</v>
      </c>
    </row>
    <row r="312" spans="1:53" s="314" customFormat="1" ht="16.5" customHeight="1">
      <c r="A312" s="63" t="str">
        <f t="array" ref="A312">IF(C312&lt;&gt;0,SUM(($C$11:C312&lt;&gt;0)*1),"")</f>
        <v/>
      </c>
      <c r="B312" s="315"/>
      <c r="C312" s="315"/>
      <c r="D312" s="315"/>
      <c r="E312" s="433"/>
      <c r="F312" s="371"/>
      <c r="G312" s="373"/>
      <c r="H312" s="373"/>
      <c r="I312" s="63" t="str">
        <f t="shared" si="264"/>
        <v/>
      </c>
      <c r="J312" s="317">
        <f t="shared" si="226"/>
        <v>0</v>
      </c>
      <c r="K312" s="317">
        <f t="shared" si="227"/>
        <v>0</v>
      </c>
      <c r="L312" s="317">
        <f t="shared" si="238"/>
        <v>0</v>
      </c>
      <c r="M312" s="317">
        <f t="shared" si="239"/>
        <v>0</v>
      </c>
      <c r="N312" s="317">
        <f t="shared" si="220"/>
        <v>0</v>
      </c>
      <c r="O312" s="317">
        <f t="shared" si="221"/>
        <v>0</v>
      </c>
      <c r="P312" s="317">
        <f t="shared" si="240"/>
        <v>0</v>
      </c>
      <c r="Q312" s="317">
        <f t="shared" si="241"/>
        <v>0</v>
      </c>
      <c r="R312" s="317">
        <f t="shared" si="242"/>
        <v>0</v>
      </c>
      <c r="S312" s="317">
        <f t="shared" si="243"/>
        <v>0</v>
      </c>
      <c r="T312" s="317">
        <f t="shared" si="222"/>
        <v>0</v>
      </c>
      <c r="U312" s="317">
        <f t="shared" si="223"/>
        <v>0</v>
      </c>
      <c r="V312" s="317">
        <f t="shared" si="244"/>
        <v>0</v>
      </c>
      <c r="W312" s="317">
        <f t="shared" si="245"/>
        <v>0</v>
      </c>
      <c r="X312" s="317">
        <f t="shared" si="246"/>
        <v>0</v>
      </c>
      <c r="Y312" s="317">
        <f t="shared" si="247"/>
        <v>0</v>
      </c>
      <c r="Z312" s="317">
        <f t="shared" si="228"/>
        <v>0</v>
      </c>
      <c r="AA312" s="317">
        <f t="shared" si="229"/>
        <v>0</v>
      </c>
      <c r="AB312" s="317">
        <f t="shared" si="248"/>
        <v>0</v>
      </c>
      <c r="AC312" s="317">
        <f t="shared" si="249"/>
        <v>0</v>
      </c>
      <c r="AD312" s="317">
        <f t="shared" si="230"/>
        <v>0</v>
      </c>
      <c r="AE312" s="317">
        <f t="shared" si="231"/>
        <v>0</v>
      </c>
      <c r="AF312" s="317">
        <f t="shared" si="224"/>
        <v>0</v>
      </c>
      <c r="AG312" s="317">
        <f t="shared" si="225"/>
        <v>0</v>
      </c>
      <c r="AH312" s="317">
        <f t="shared" si="250"/>
        <v>0</v>
      </c>
      <c r="AI312" s="317">
        <f t="shared" si="251"/>
        <v>0</v>
      </c>
      <c r="AJ312" s="317">
        <f t="shared" si="252"/>
        <v>0</v>
      </c>
      <c r="AK312" s="317">
        <f t="shared" si="253"/>
        <v>0</v>
      </c>
      <c r="AL312" s="317">
        <f t="shared" si="254"/>
        <v>0</v>
      </c>
      <c r="AM312" s="317">
        <f t="shared" si="255"/>
        <v>0</v>
      </c>
      <c r="AN312" s="317">
        <f t="shared" si="256"/>
        <v>0</v>
      </c>
      <c r="AO312" s="317">
        <f t="shared" si="257"/>
        <v>0</v>
      </c>
      <c r="AP312" s="317">
        <f t="shared" si="258"/>
        <v>0</v>
      </c>
      <c r="AQ312" s="317">
        <f t="shared" si="259"/>
        <v>0</v>
      </c>
      <c r="AR312" s="317">
        <f t="shared" si="232"/>
        <v>0</v>
      </c>
      <c r="AS312" s="317">
        <f t="shared" si="233"/>
        <v>0</v>
      </c>
      <c r="AT312" s="317">
        <f t="shared" si="260"/>
        <v>0</v>
      </c>
      <c r="AU312" s="317">
        <f t="shared" si="261"/>
        <v>0</v>
      </c>
      <c r="AV312" s="317">
        <f t="shared" si="262"/>
        <v>0</v>
      </c>
      <c r="AW312" s="317">
        <f t="shared" si="263"/>
        <v>0</v>
      </c>
      <c r="AX312" s="317">
        <f t="shared" si="234"/>
        <v>0</v>
      </c>
      <c r="AY312" s="317">
        <f t="shared" si="235"/>
        <v>0</v>
      </c>
      <c r="AZ312" s="317">
        <f t="shared" si="236"/>
        <v>0</v>
      </c>
      <c r="BA312" s="317">
        <f t="shared" si="237"/>
        <v>0</v>
      </c>
    </row>
    <row r="313" spans="1:53" s="314" customFormat="1" ht="16.5" customHeight="1">
      <c r="A313" s="63" t="str">
        <f t="array" ref="A313">IF(C313&lt;&gt;0,SUM(($C$11:C313&lt;&gt;0)*1),"")</f>
        <v/>
      </c>
      <c r="B313" s="315"/>
      <c r="C313" s="315"/>
      <c r="D313" s="315"/>
      <c r="E313" s="433"/>
      <c r="F313" s="371"/>
      <c r="G313" s="373"/>
      <c r="H313" s="373"/>
      <c r="I313" s="63" t="str">
        <f t="shared" si="264"/>
        <v/>
      </c>
      <c r="J313" s="317">
        <f t="shared" si="226"/>
        <v>0</v>
      </c>
      <c r="K313" s="317">
        <f t="shared" si="227"/>
        <v>0</v>
      </c>
      <c r="L313" s="317">
        <f t="shared" si="238"/>
        <v>0</v>
      </c>
      <c r="M313" s="317">
        <f t="shared" si="239"/>
        <v>0</v>
      </c>
      <c r="N313" s="317">
        <f t="shared" si="220"/>
        <v>0</v>
      </c>
      <c r="O313" s="317">
        <f t="shared" si="221"/>
        <v>0</v>
      </c>
      <c r="P313" s="317">
        <f t="shared" si="240"/>
        <v>0</v>
      </c>
      <c r="Q313" s="317">
        <f t="shared" si="241"/>
        <v>0</v>
      </c>
      <c r="R313" s="317">
        <f t="shared" si="242"/>
        <v>0</v>
      </c>
      <c r="S313" s="317">
        <f t="shared" si="243"/>
        <v>0</v>
      </c>
      <c r="T313" s="317">
        <f t="shared" si="222"/>
        <v>0</v>
      </c>
      <c r="U313" s="317">
        <f t="shared" si="223"/>
        <v>0</v>
      </c>
      <c r="V313" s="317">
        <f t="shared" si="244"/>
        <v>0</v>
      </c>
      <c r="W313" s="317">
        <f t="shared" si="245"/>
        <v>0</v>
      </c>
      <c r="X313" s="317">
        <f t="shared" si="246"/>
        <v>0</v>
      </c>
      <c r="Y313" s="317">
        <f t="shared" si="247"/>
        <v>0</v>
      </c>
      <c r="Z313" s="317">
        <f t="shared" si="228"/>
        <v>0</v>
      </c>
      <c r="AA313" s="317">
        <f t="shared" si="229"/>
        <v>0</v>
      </c>
      <c r="AB313" s="317">
        <f t="shared" si="248"/>
        <v>0</v>
      </c>
      <c r="AC313" s="317">
        <f t="shared" si="249"/>
        <v>0</v>
      </c>
      <c r="AD313" s="317">
        <f t="shared" si="230"/>
        <v>0</v>
      </c>
      <c r="AE313" s="317">
        <f t="shared" si="231"/>
        <v>0</v>
      </c>
      <c r="AF313" s="317">
        <f t="shared" si="224"/>
        <v>0</v>
      </c>
      <c r="AG313" s="317">
        <f t="shared" si="225"/>
        <v>0</v>
      </c>
      <c r="AH313" s="317">
        <f t="shared" si="250"/>
        <v>0</v>
      </c>
      <c r="AI313" s="317">
        <f t="shared" si="251"/>
        <v>0</v>
      </c>
      <c r="AJ313" s="317">
        <f t="shared" si="252"/>
        <v>0</v>
      </c>
      <c r="AK313" s="317">
        <f t="shared" si="253"/>
        <v>0</v>
      </c>
      <c r="AL313" s="317">
        <f t="shared" si="254"/>
        <v>0</v>
      </c>
      <c r="AM313" s="317">
        <f t="shared" si="255"/>
        <v>0</v>
      </c>
      <c r="AN313" s="317">
        <f t="shared" si="256"/>
        <v>0</v>
      </c>
      <c r="AO313" s="317">
        <f t="shared" si="257"/>
        <v>0</v>
      </c>
      <c r="AP313" s="317">
        <f t="shared" si="258"/>
        <v>0</v>
      </c>
      <c r="AQ313" s="317">
        <f t="shared" si="259"/>
        <v>0</v>
      </c>
      <c r="AR313" s="317">
        <f t="shared" si="232"/>
        <v>0</v>
      </c>
      <c r="AS313" s="317">
        <f t="shared" si="233"/>
        <v>0</v>
      </c>
      <c r="AT313" s="317">
        <f t="shared" si="260"/>
        <v>0</v>
      </c>
      <c r="AU313" s="317">
        <f t="shared" si="261"/>
        <v>0</v>
      </c>
      <c r="AV313" s="317">
        <f t="shared" si="262"/>
        <v>0</v>
      </c>
      <c r="AW313" s="317">
        <f t="shared" si="263"/>
        <v>0</v>
      </c>
      <c r="AX313" s="317">
        <f t="shared" si="234"/>
        <v>0</v>
      </c>
      <c r="AY313" s="317">
        <f t="shared" si="235"/>
        <v>0</v>
      </c>
      <c r="AZ313" s="317">
        <f t="shared" si="236"/>
        <v>0</v>
      </c>
      <c r="BA313" s="317">
        <f t="shared" si="237"/>
        <v>0</v>
      </c>
    </row>
    <row r="314" spans="1:53" s="314" customFormat="1" ht="16.5" customHeight="1">
      <c r="A314" s="63" t="str">
        <f t="array" ref="A314">IF(C314&lt;&gt;0,SUM(($C$11:C314&lt;&gt;0)*1),"")</f>
        <v/>
      </c>
      <c r="B314" s="315"/>
      <c r="C314" s="315"/>
      <c r="D314" s="315"/>
      <c r="E314" s="433"/>
      <c r="F314" s="371"/>
      <c r="G314" s="373"/>
      <c r="H314" s="373"/>
      <c r="I314" s="63" t="str">
        <f t="shared" si="264"/>
        <v/>
      </c>
      <c r="J314" s="317">
        <f t="shared" si="226"/>
        <v>0</v>
      </c>
      <c r="K314" s="317">
        <f t="shared" si="227"/>
        <v>0</v>
      </c>
      <c r="L314" s="317">
        <f t="shared" si="238"/>
        <v>0</v>
      </c>
      <c r="M314" s="317">
        <f t="shared" si="239"/>
        <v>0</v>
      </c>
      <c r="N314" s="317">
        <f t="shared" si="220"/>
        <v>0</v>
      </c>
      <c r="O314" s="317">
        <f t="shared" si="221"/>
        <v>0</v>
      </c>
      <c r="P314" s="317">
        <f t="shared" si="240"/>
        <v>0</v>
      </c>
      <c r="Q314" s="317">
        <f t="shared" si="241"/>
        <v>0</v>
      </c>
      <c r="R314" s="317">
        <f t="shared" si="242"/>
        <v>0</v>
      </c>
      <c r="S314" s="317">
        <f t="shared" si="243"/>
        <v>0</v>
      </c>
      <c r="T314" s="317">
        <f t="shared" si="222"/>
        <v>0</v>
      </c>
      <c r="U314" s="317">
        <f t="shared" si="223"/>
        <v>0</v>
      </c>
      <c r="V314" s="317">
        <f t="shared" si="244"/>
        <v>0</v>
      </c>
      <c r="W314" s="317">
        <f t="shared" si="245"/>
        <v>0</v>
      </c>
      <c r="X314" s="317">
        <f t="shared" si="246"/>
        <v>0</v>
      </c>
      <c r="Y314" s="317">
        <f t="shared" si="247"/>
        <v>0</v>
      </c>
      <c r="Z314" s="317">
        <f t="shared" si="228"/>
        <v>0</v>
      </c>
      <c r="AA314" s="317">
        <f t="shared" si="229"/>
        <v>0</v>
      </c>
      <c r="AB314" s="317">
        <f t="shared" si="248"/>
        <v>0</v>
      </c>
      <c r="AC314" s="317">
        <f t="shared" si="249"/>
        <v>0</v>
      </c>
      <c r="AD314" s="317">
        <f t="shared" si="230"/>
        <v>0</v>
      </c>
      <c r="AE314" s="317">
        <f t="shared" si="231"/>
        <v>0</v>
      </c>
      <c r="AF314" s="317">
        <f t="shared" si="224"/>
        <v>0</v>
      </c>
      <c r="AG314" s="317">
        <f t="shared" si="225"/>
        <v>0</v>
      </c>
      <c r="AH314" s="317">
        <f t="shared" si="250"/>
        <v>0</v>
      </c>
      <c r="AI314" s="317">
        <f t="shared" si="251"/>
        <v>0</v>
      </c>
      <c r="AJ314" s="317">
        <f t="shared" si="252"/>
        <v>0</v>
      </c>
      <c r="AK314" s="317">
        <f t="shared" si="253"/>
        <v>0</v>
      </c>
      <c r="AL314" s="317">
        <f t="shared" si="254"/>
        <v>0</v>
      </c>
      <c r="AM314" s="317">
        <f t="shared" si="255"/>
        <v>0</v>
      </c>
      <c r="AN314" s="317">
        <f t="shared" si="256"/>
        <v>0</v>
      </c>
      <c r="AO314" s="317">
        <f t="shared" si="257"/>
        <v>0</v>
      </c>
      <c r="AP314" s="317">
        <f t="shared" si="258"/>
        <v>0</v>
      </c>
      <c r="AQ314" s="317">
        <f t="shared" si="259"/>
        <v>0</v>
      </c>
      <c r="AR314" s="317">
        <f t="shared" si="232"/>
        <v>0</v>
      </c>
      <c r="AS314" s="317">
        <f t="shared" si="233"/>
        <v>0</v>
      </c>
      <c r="AT314" s="317">
        <f t="shared" si="260"/>
        <v>0</v>
      </c>
      <c r="AU314" s="317">
        <f t="shared" si="261"/>
        <v>0</v>
      </c>
      <c r="AV314" s="317">
        <f t="shared" si="262"/>
        <v>0</v>
      </c>
      <c r="AW314" s="317">
        <f t="shared" si="263"/>
        <v>0</v>
      </c>
      <c r="AX314" s="317">
        <f t="shared" si="234"/>
        <v>0</v>
      </c>
      <c r="AY314" s="317">
        <f t="shared" si="235"/>
        <v>0</v>
      </c>
      <c r="AZ314" s="317">
        <f t="shared" si="236"/>
        <v>0</v>
      </c>
      <c r="BA314" s="317">
        <f t="shared" si="237"/>
        <v>0</v>
      </c>
    </row>
    <row r="315" spans="1:53" s="314" customFormat="1" ht="16.5" customHeight="1">
      <c r="A315" s="63" t="str">
        <f t="array" ref="A315">IF(C315&lt;&gt;0,SUM(($C$11:C315&lt;&gt;0)*1),"")</f>
        <v/>
      </c>
      <c r="B315" s="315"/>
      <c r="C315" s="315"/>
      <c r="D315" s="315"/>
      <c r="E315" s="433"/>
      <c r="F315" s="371"/>
      <c r="G315" s="373"/>
      <c r="H315" s="373"/>
      <c r="I315" s="63" t="str">
        <f t="shared" si="264"/>
        <v/>
      </c>
      <c r="J315" s="317">
        <f t="shared" si="226"/>
        <v>0</v>
      </c>
      <c r="K315" s="317">
        <f t="shared" si="227"/>
        <v>0</v>
      </c>
      <c r="L315" s="317">
        <f t="shared" si="238"/>
        <v>0</v>
      </c>
      <c r="M315" s="317">
        <f t="shared" si="239"/>
        <v>0</v>
      </c>
      <c r="N315" s="317">
        <f t="shared" si="220"/>
        <v>0</v>
      </c>
      <c r="O315" s="317">
        <f t="shared" si="221"/>
        <v>0</v>
      </c>
      <c r="P315" s="317">
        <f t="shared" si="240"/>
        <v>0</v>
      </c>
      <c r="Q315" s="317">
        <f t="shared" si="241"/>
        <v>0</v>
      </c>
      <c r="R315" s="317">
        <f t="shared" si="242"/>
        <v>0</v>
      </c>
      <c r="S315" s="317">
        <f t="shared" si="243"/>
        <v>0</v>
      </c>
      <c r="T315" s="317">
        <f t="shared" si="222"/>
        <v>0</v>
      </c>
      <c r="U315" s="317">
        <f t="shared" si="223"/>
        <v>0</v>
      </c>
      <c r="V315" s="317">
        <f t="shared" si="244"/>
        <v>0</v>
      </c>
      <c r="W315" s="317">
        <f t="shared" si="245"/>
        <v>0</v>
      </c>
      <c r="X315" s="317">
        <f t="shared" si="246"/>
        <v>0</v>
      </c>
      <c r="Y315" s="317">
        <f t="shared" si="247"/>
        <v>0</v>
      </c>
      <c r="Z315" s="317">
        <f t="shared" si="228"/>
        <v>0</v>
      </c>
      <c r="AA315" s="317">
        <f t="shared" si="229"/>
        <v>0</v>
      </c>
      <c r="AB315" s="317">
        <f t="shared" si="248"/>
        <v>0</v>
      </c>
      <c r="AC315" s="317">
        <f t="shared" si="249"/>
        <v>0</v>
      </c>
      <c r="AD315" s="317">
        <f t="shared" si="230"/>
        <v>0</v>
      </c>
      <c r="AE315" s="317">
        <f t="shared" si="231"/>
        <v>0</v>
      </c>
      <c r="AF315" s="317">
        <f t="shared" si="224"/>
        <v>0</v>
      </c>
      <c r="AG315" s="317">
        <f t="shared" si="225"/>
        <v>0</v>
      </c>
      <c r="AH315" s="317">
        <f t="shared" si="250"/>
        <v>0</v>
      </c>
      <c r="AI315" s="317">
        <f t="shared" si="251"/>
        <v>0</v>
      </c>
      <c r="AJ315" s="317">
        <f t="shared" si="252"/>
        <v>0</v>
      </c>
      <c r="AK315" s="317">
        <f t="shared" si="253"/>
        <v>0</v>
      </c>
      <c r="AL315" s="317">
        <f t="shared" si="254"/>
        <v>0</v>
      </c>
      <c r="AM315" s="317">
        <f t="shared" si="255"/>
        <v>0</v>
      </c>
      <c r="AN315" s="317">
        <f t="shared" si="256"/>
        <v>0</v>
      </c>
      <c r="AO315" s="317">
        <f t="shared" si="257"/>
        <v>0</v>
      </c>
      <c r="AP315" s="317">
        <f t="shared" si="258"/>
        <v>0</v>
      </c>
      <c r="AQ315" s="317">
        <f t="shared" si="259"/>
        <v>0</v>
      </c>
      <c r="AR315" s="317">
        <f t="shared" si="232"/>
        <v>0</v>
      </c>
      <c r="AS315" s="317">
        <f t="shared" si="233"/>
        <v>0</v>
      </c>
      <c r="AT315" s="317">
        <f t="shared" si="260"/>
        <v>0</v>
      </c>
      <c r="AU315" s="317">
        <f t="shared" si="261"/>
        <v>0</v>
      </c>
      <c r="AV315" s="317">
        <f t="shared" si="262"/>
        <v>0</v>
      </c>
      <c r="AW315" s="317">
        <f t="shared" si="263"/>
        <v>0</v>
      </c>
      <c r="AX315" s="317">
        <f t="shared" si="234"/>
        <v>0</v>
      </c>
      <c r="AY315" s="317">
        <f t="shared" si="235"/>
        <v>0</v>
      </c>
      <c r="AZ315" s="317">
        <f t="shared" si="236"/>
        <v>0</v>
      </c>
      <c r="BA315" s="317">
        <f t="shared" si="237"/>
        <v>0</v>
      </c>
    </row>
    <row r="316" spans="1:53" s="314" customFormat="1" ht="16.5" customHeight="1">
      <c r="A316" s="63" t="str">
        <f t="array" ref="A316">IF(C316&lt;&gt;0,SUM(($C$11:C316&lt;&gt;0)*1),"")</f>
        <v/>
      </c>
      <c r="B316" s="315"/>
      <c r="C316" s="315"/>
      <c r="D316" s="315"/>
      <c r="E316" s="433"/>
      <c r="F316" s="371"/>
      <c r="G316" s="373"/>
      <c r="H316" s="373"/>
      <c r="I316" s="63" t="str">
        <f t="shared" si="264"/>
        <v/>
      </c>
      <c r="J316" s="317">
        <f t="shared" si="226"/>
        <v>0</v>
      </c>
      <c r="K316" s="317">
        <f t="shared" si="227"/>
        <v>0</v>
      </c>
      <c r="L316" s="317">
        <f t="shared" si="238"/>
        <v>0</v>
      </c>
      <c r="M316" s="317">
        <f t="shared" si="239"/>
        <v>0</v>
      </c>
      <c r="N316" s="317">
        <f t="shared" si="220"/>
        <v>0</v>
      </c>
      <c r="O316" s="317">
        <f t="shared" si="221"/>
        <v>0</v>
      </c>
      <c r="P316" s="317">
        <f t="shared" si="240"/>
        <v>0</v>
      </c>
      <c r="Q316" s="317">
        <f t="shared" si="241"/>
        <v>0</v>
      </c>
      <c r="R316" s="317">
        <f t="shared" si="242"/>
        <v>0</v>
      </c>
      <c r="S316" s="317">
        <f t="shared" si="243"/>
        <v>0</v>
      </c>
      <c r="T316" s="317">
        <f t="shared" si="222"/>
        <v>0</v>
      </c>
      <c r="U316" s="317">
        <f t="shared" si="223"/>
        <v>0</v>
      </c>
      <c r="V316" s="317">
        <f t="shared" si="244"/>
        <v>0</v>
      </c>
      <c r="W316" s="317">
        <f t="shared" si="245"/>
        <v>0</v>
      </c>
      <c r="X316" s="317">
        <f t="shared" si="246"/>
        <v>0</v>
      </c>
      <c r="Y316" s="317">
        <f t="shared" si="247"/>
        <v>0</v>
      </c>
      <c r="Z316" s="317">
        <f t="shared" si="228"/>
        <v>0</v>
      </c>
      <c r="AA316" s="317">
        <f t="shared" si="229"/>
        <v>0</v>
      </c>
      <c r="AB316" s="317">
        <f t="shared" si="248"/>
        <v>0</v>
      </c>
      <c r="AC316" s="317">
        <f t="shared" si="249"/>
        <v>0</v>
      </c>
      <c r="AD316" s="317">
        <f t="shared" si="230"/>
        <v>0</v>
      </c>
      <c r="AE316" s="317">
        <f t="shared" si="231"/>
        <v>0</v>
      </c>
      <c r="AF316" s="317">
        <f t="shared" si="224"/>
        <v>0</v>
      </c>
      <c r="AG316" s="317">
        <f t="shared" si="225"/>
        <v>0</v>
      </c>
      <c r="AH316" s="317">
        <f t="shared" si="250"/>
        <v>0</v>
      </c>
      <c r="AI316" s="317">
        <f t="shared" si="251"/>
        <v>0</v>
      </c>
      <c r="AJ316" s="317">
        <f t="shared" si="252"/>
        <v>0</v>
      </c>
      <c r="AK316" s="317">
        <f t="shared" si="253"/>
        <v>0</v>
      </c>
      <c r="AL316" s="317">
        <f t="shared" si="254"/>
        <v>0</v>
      </c>
      <c r="AM316" s="317">
        <f t="shared" si="255"/>
        <v>0</v>
      </c>
      <c r="AN316" s="317">
        <f t="shared" si="256"/>
        <v>0</v>
      </c>
      <c r="AO316" s="317">
        <f t="shared" si="257"/>
        <v>0</v>
      </c>
      <c r="AP316" s="317">
        <f t="shared" si="258"/>
        <v>0</v>
      </c>
      <c r="AQ316" s="317">
        <f t="shared" si="259"/>
        <v>0</v>
      </c>
      <c r="AR316" s="317">
        <f t="shared" si="232"/>
        <v>0</v>
      </c>
      <c r="AS316" s="317">
        <f t="shared" si="233"/>
        <v>0</v>
      </c>
      <c r="AT316" s="317">
        <f t="shared" si="260"/>
        <v>0</v>
      </c>
      <c r="AU316" s="317">
        <f t="shared" si="261"/>
        <v>0</v>
      </c>
      <c r="AV316" s="317">
        <f t="shared" si="262"/>
        <v>0</v>
      </c>
      <c r="AW316" s="317">
        <f t="shared" si="263"/>
        <v>0</v>
      </c>
      <c r="AX316" s="317">
        <f t="shared" si="234"/>
        <v>0</v>
      </c>
      <c r="AY316" s="317">
        <f t="shared" si="235"/>
        <v>0</v>
      </c>
      <c r="AZ316" s="317">
        <f t="shared" si="236"/>
        <v>0</v>
      </c>
      <c r="BA316" s="317">
        <f t="shared" si="237"/>
        <v>0</v>
      </c>
    </row>
    <row r="317" spans="1:53" s="314" customFormat="1" ht="16.5" customHeight="1">
      <c r="A317" s="63" t="str">
        <f t="array" ref="A317">IF(C317&lt;&gt;0,SUM(($C$11:C317&lt;&gt;0)*1),"")</f>
        <v/>
      </c>
      <c r="B317" s="315"/>
      <c r="C317" s="315"/>
      <c r="D317" s="315"/>
      <c r="E317" s="433"/>
      <c r="F317" s="371"/>
      <c r="G317" s="373"/>
      <c r="H317" s="373"/>
      <c r="I317" s="63" t="str">
        <f t="shared" si="264"/>
        <v/>
      </c>
      <c r="J317" s="317">
        <f t="shared" si="226"/>
        <v>0</v>
      </c>
      <c r="K317" s="317">
        <f t="shared" si="227"/>
        <v>0</v>
      </c>
      <c r="L317" s="317">
        <f t="shared" si="238"/>
        <v>0</v>
      </c>
      <c r="M317" s="317">
        <f t="shared" si="239"/>
        <v>0</v>
      </c>
      <c r="N317" s="317">
        <f t="shared" si="220"/>
        <v>0</v>
      </c>
      <c r="O317" s="317">
        <f t="shared" si="221"/>
        <v>0</v>
      </c>
      <c r="P317" s="317">
        <f t="shared" si="240"/>
        <v>0</v>
      </c>
      <c r="Q317" s="317">
        <f t="shared" si="241"/>
        <v>0</v>
      </c>
      <c r="R317" s="317">
        <f t="shared" si="242"/>
        <v>0</v>
      </c>
      <c r="S317" s="317">
        <f t="shared" si="243"/>
        <v>0</v>
      </c>
      <c r="T317" s="317">
        <f t="shared" si="222"/>
        <v>0</v>
      </c>
      <c r="U317" s="317">
        <f t="shared" si="223"/>
        <v>0</v>
      </c>
      <c r="V317" s="317">
        <f t="shared" si="244"/>
        <v>0</v>
      </c>
      <c r="W317" s="317">
        <f t="shared" si="245"/>
        <v>0</v>
      </c>
      <c r="X317" s="317">
        <f t="shared" si="246"/>
        <v>0</v>
      </c>
      <c r="Y317" s="317">
        <f t="shared" si="247"/>
        <v>0</v>
      </c>
      <c r="Z317" s="317">
        <f t="shared" si="228"/>
        <v>0</v>
      </c>
      <c r="AA317" s="317">
        <f t="shared" si="229"/>
        <v>0</v>
      </c>
      <c r="AB317" s="317">
        <f t="shared" si="248"/>
        <v>0</v>
      </c>
      <c r="AC317" s="317">
        <f t="shared" si="249"/>
        <v>0</v>
      </c>
      <c r="AD317" s="317">
        <f t="shared" si="230"/>
        <v>0</v>
      </c>
      <c r="AE317" s="317">
        <f t="shared" si="231"/>
        <v>0</v>
      </c>
      <c r="AF317" s="317">
        <f t="shared" si="224"/>
        <v>0</v>
      </c>
      <c r="AG317" s="317">
        <f t="shared" si="225"/>
        <v>0</v>
      </c>
      <c r="AH317" s="317">
        <f t="shared" si="250"/>
        <v>0</v>
      </c>
      <c r="AI317" s="317">
        <f t="shared" si="251"/>
        <v>0</v>
      </c>
      <c r="AJ317" s="317">
        <f t="shared" si="252"/>
        <v>0</v>
      </c>
      <c r="AK317" s="317">
        <f t="shared" si="253"/>
        <v>0</v>
      </c>
      <c r="AL317" s="317">
        <f t="shared" si="254"/>
        <v>0</v>
      </c>
      <c r="AM317" s="317">
        <f t="shared" si="255"/>
        <v>0</v>
      </c>
      <c r="AN317" s="317">
        <f t="shared" si="256"/>
        <v>0</v>
      </c>
      <c r="AO317" s="317">
        <f t="shared" si="257"/>
        <v>0</v>
      </c>
      <c r="AP317" s="317">
        <f t="shared" si="258"/>
        <v>0</v>
      </c>
      <c r="AQ317" s="317">
        <f t="shared" si="259"/>
        <v>0</v>
      </c>
      <c r="AR317" s="317">
        <f t="shared" si="232"/>
        <v>0</v>
      </c>
      <c r="AS317" s="317">
        <f t="shared" si="233"/>
        <v>0</v>
      </c>
      <c r="AT317" s="317">
        <f t="shared" si="260"/>
        <v>0</v>
      </c>
      <c r="AU317" s="317">
        <f t="shared" si="261"/>
        <v>0</v>
      </c>
      <c r="AV317" s="317">
        <f t="shared" si="262"/>
        <v>0</v>
      </c>
      <c r="AW317" s="317">
        <f t="shared" si="263"/>
        <v>0</v>
      </c>
      <c r="AX317" s="317">
        <f t="shared" si="234"/>
        <v>0</v>
      </c>
      <c r="AY317" s="317">
        <f t="shared" si="235"/>
        <v>0</v>
      </c>
      <c r="AZ317" s="317">
        <f t="shared" si="236"/>
        <v>0</v>
      </c>
      <c r="BA317" s="317">
        <f t="shared" si="237"/>
        <v>0</v>
      </c>
    </row>
    <row r="318" spans="1:53" s="314" customFormat="1" ht="16.5" customHeight="1">
      <c r="A318" s="63" t="str">
        <f t="array" ref="A318">IF(C318&lt;&gt;0,SUM(($C$11:C318&lt;&gt;0)*1),"")</f>
        <v/>
      </c>
      <c r="B318" s="315"/>
      <c r="C318" s="315"/>
      <c r="D318" s="315"/>
      <c r="E318" s="433"/>
      <c r="F318" s="371"/>
      <c r="G318" s="373"/>
      <c r="H318" s="373"/>
      <c r="I318" s="63" t="str">
        <f t="shared" si="264"/>
        <v/>
      </c>
      <c r="J318" s="317">
        <f t="shared" si="226"/>
        <v>0</v>
      </c>
      <c r="K318" s="317">
        <f t="shared" si="227"/>
        <v>0</v>
      </c>
      <c r="L318" s="317">
        <f t="shared" si="238"/>
        <v>0</v>
      </c>
      <c r="M318" s="317">
        <f t="shared" si="239"/>
        <v>0</v>
      </c>
      <c r="N318" s="317">
        <f t="shared" si="220"/>
        <v>0</v>
      </c>
      <c r="O318" s="317">
        <f t="shared" si="221"/>
        <v>0</v>
      </c>
      <c r="P318" s="317">
        <f t="shared" si="240"/>
        <v>0</v>
      </c>
      <c r="Q318" s="317">
        <f t="shared" si="241"/>
        <v>0</v>
      </c>
      <c r="R318" s="317">
        <f t="shared" si="242"/>
        <v>0</v>
      </c>
      <c r="S318" s="317">
        <f t="shared" si="243"/>
        <v>0</v>
      </c>
      <c r="T318" s="317">
        <f t="shared" si="222"/>
        <v>0</v>
      </c>
      <c r="U318" s="317">
        <f t="shared" si="223"/>
        <v>0</v>
      </c>
      <c r="V318" s="317">
        <f t="shared" si="244"/>
        <v>0</v>
      </c>
      <c r="W318" s="317">
        <f t="shared" si="245"/>
        <v>0</v>
      </c>
      <c r="X318" s="317">
        <f t="shared" si="246"/>
        <v>0</v>
      </c>
      <c r="Y318" s="317">
        <f t="shared" si="247"/>
        <v>0</v>
      </c>
      <c r="Z318" s="317">
        <f t="shared" si="228"/>
        <v>0</v>
      </c>
      <c r="AA318" s="317">
        <f t="shared" si="229"/>
        <v>0</v>
      </c>
      <c r="AB318" s="317">
        <f t="shared" si="248"/>
        <v>0</v>
      </c>
      <c r="AC318" s="317">
        <f t="shared" si="249"/>
        <v>0</v>
      </c>
      <c r="AD318" s="317">
        <f t="shared" si="230"/>
        <v>0</v>
      </c>
      <c r="AE318" s="317">
        <f t="shared" si="231"/>
        <v>0</v>
      </c>
      <c r="AF318" s="317">
        <f t="shared" si="224"/>
        <v>0</v>
      </c>
      <c r="AG318" s="317">
        <f t="shared" si="225"/>
        <v>0</v>
      </c>
      <c r="AH318" s="317">
        <f t="shared" si="250"/>
        <v>0</v>
      </c>
      <c r="AI318" s="317">
        <f t="shared" si="251"/>
        <v>0</v>
      </c>
      <c r="AJ318" s="317">
        <f t="shared" si="252"/>
        <v>0</v>
      </c>
      <c r="AK318" s="317">
        <f t="shared" si="253"/>
        <v>0</v>
      </c>
      <c r="AL318" s="317">
        <f t="shared" si="254"/>
        <v>0</v>
      </c>
      <c r="AM318" s="317">
        <f t="shared" si="255"/>
        <v>0</v>
      </c>
      <c r="AN318" s="317">
        <f t="shared" si="256"/>
        <v>0</v>
      </c>
      <c r="AO318" s="317">
        <f t="shared" si="257"/>
        <v>0</v>
      </c>
      <c r="AP318" s="317">
        <f t="shared" si="258"/>
        <v>0</v>
      </c>
      <c r="AQ318" s="317">
        <f t="shared" si="259"/>
        <v>0</v>
      </c>
      <c r="AR318" s="317">
        <f t="shared" si="232"/>
        <v>0</v>
      </c>
      <c r="AS318" s="317">
        <f t="shared" si="233"/>
        <v>0</v>
      </c>
      <c r="AT318" s="317">
        <f t="shared" si="260"/>
        <v>0</v>
      </c>
      <c r="AU318" s="317">
        <f t="shared" si="261"/>
        <v>0</v>
      </c>
      <c r="AV318" s="317">
        <f t="shared" si="262"/>
        <v>0</v>
      </c>
      <c r="AW318" s="317">
        <f t="shared" si="263"/>
        <v>0</v>
      </c>
      <c r="AX318" s="317">
        <f t="shared" si="234"/>
        <v>0</v>
      </c>
      <c r="AY318" s="317">
        <f t="shared" si="235"/>
        <v>0</v>
      </c>
      <c r="AZ318" s="317">
        <f t="shared" si="236"/>
        <v>0</v>
      </c>
      <c r="BA318" s="317">
        <f t="shared" si="237"/>
        <v>0</v>
      </c>
    </row>
    <row r="319" spans="1:53" s="314" customFormat="1" ht="16.5" customHeight="1">
      <c r="A319" s="63" t="str">
        <f t="array" ref="A319">IF(C319&lt;&gt;0,SUM(($C$11:C319&lt;&gt;0)*1),"")</f>
        <v/>
      </c>
      <c r="B319" s="315"/>
      <c r="C319" s="315"/>
      <c r="D319" s="315"/>
      <c r="E319" s="433"/>
      <c r="F319" s="371"/>
      <c r="G319" s="373"/>
      <c r="H319" s="373"/>
      <c r="I319" s="63" t="str">
        <f t="shared" si="264"/>
        <v/>
      </c>
      <c r="J319" s="317">
        <f t="shared" si="226"/>
        <v>0</v>
      </c>
      <c r="K319" s="317">
        <f t="shared" si="227"/>
        <v>0</v>
      </c>
      <c r="L319" s="317">
        <f t="shared" si="238"/>
        <v>0</v>
      </c>
      <c r="M319" s="317">
        <f t="shared" si="239"/>
        <v>0</v>
      </c>
      <c r="N319" s="317">
        <f t="shared" si="220"/>
        <v>0</v>
      </c>
      <c r="O319" s="317">
        <f t="shared" si="221"/>
        <v>0</v>
      </c>
      <c r="P319" s="317">
        <f t="shared" si="240"/>
        <v>0</v>
      </c>
      <c r="Q319" s="317">
        <f t="shared" si="241"/>
        <v>0</v>
      </c>
      <c r="R319" s="317">
        <f t="shared" si="242"/>
        <v>0</v>
      </c>
      <c r="S319" s="317">
        <f t="shared" si="243"/>
        <v>0</v>
      </c>
      <c r="T319" s="317">
        <f t="shared" si="222"/>
        <v>0</v>
      </c>
      <c r="U319" s="317">
        <f t="shared" si="223"/>
        <v>0</v>
      </c>
      <c r="V319" s="317">
        <f t="shared" si="244"/>
        <v>0</v>
      </c>
      <c r="W319" s="317">
        <f t="shared" si="245"/>
        <v>0</v>
      </c>
      <c r="X319" s="317">
        <f t="shared" si="246"/>
        <v>0</v>
      </c>
      <c r="Y319" s="317">
        <f t="shared" si="247"/>
        <v>0</v>
      </c>
      <c r="Z319" s="317">
        <f t="shared" si="228"/>
        <v>0</v>
      </c>
      <c r="AA319" s="317">
        <f t="shared" si="229"/>
        <v>0</v>
      </c>
      <c r="AB319" s="317">
        <f t="shared" si="248"/>
        <v>0</v>
      </c>
      <c r="AC319" s="317">
        <f t="shared" si="249"/>
        <v>0</v>
      </c>
      <c r="AD319" s="317">
        <f t="shared" si="230"/>
        <v>0</v>
      </c>
      <c r="AE319" s="317">
        <f t="shared" si="231"/>
        <v>0</v>
      </c>
      <c r="AF319" s="317">
        <f t="shared" si="224"/>
        <v>0</v>
      </c>
      <c r="AG319" s="317">
        <f t="shared" si="225"/>
        <v>0</v>
      </c>
      <c r="AH319" s="317">
        <f t="shared" si="250"/>
        <v>0</v>
      </c>
      <c r="AI319" s="317">
        <f t="shared" si="251"/>
        <v>0</v>
      </c>
      <c r="AJ319" s="317">
        <f t="shared" si="252"/>
        <v>0</v>
      </c>
      <c r="AK319" s="317">
        <f t="shared" si="253"/>
        <v>0</v>
      </c>
      <c r="AL319" s="317">
        <f t="shared" si="254"/>
        <v>0</v>
      </c>
      <c r="AM319" s="317">
        <f t="shared" si="255"/>
        <v>0</v>
      </c>
      <c r="AN319" s="317">
        <f t="shared" si="256"/>
        <v>0</v>
      </c>
      <c r="AO319" s="317">
        <f t="shared" si="257"/>
        <v>0</v>
      </c>
      <c r="AP319" s="317">
        <f t="shared" si="258"/>
        <v>0</v>
      </c>
      <c r="AQ319" s="317">
        <f t="shared" si="259"/>
        <v>0</v>
      </c>
      <c r="AR319" s="317">
        <f t="shared" si="232"/>
        <v>0</v>
      </c>
      <c r="AS319" s="317">
        <f t="shared" si="233"/>
        <v>0</v>
      </c>
      <c r="AT319" s="317">
        <f t="shared" si="260"/>
        <v>0</v>
      </c>
      <c r="AU319" s="317">
        <f t="shared" si="261"/>
        <v>0</v>
      </c>
      <c r="AV319" s="317">
        <f t="shared" si="262"/>
        <v>0</v>
      </c>
      <c r="AW319" s="317">
        <f t="shared" si="263"/>
        <v>0</v>
      </c>
      <c r="AX319" s="317">
        <f t="shared" si="234"/>
        <v>0</v>
      </c>
      <c r="AY319" s="317">
        <f t="shared" si="235"/>
        <v>0</v>
      </c>
      <c r="AZ319" s="317">
        <f t="shared" si="236"/>
        <v>0</v>
      </c>
      <c r="BA319" s="317">
        <f t="shared" si="237"/>
        <v>0</v>
      </c>
    </row>
    <row r="320" spans="1:53" s="314" customFormat="1" ht="16.5" customHeight="1">
      <c r="A320" s="63" t="str">
        <f t="array" ref="A320">IF(C320&lt;&gt;0,SUM(($C$11:C320&lt;&gt;0)*1),"")</f>
        <v/>
      </c>
      <c r="B320" s="315"/>
      <c r="C320" s="315"/>
      <c r="D320" s="315"/>
      <c r="E320" s="433"/>
      <c r="F320" s="371"/>
      <c r="G320" s="373"/>
      <c r="H320" s="373"/>
      <c r="I320" s="63" t="str">
        <f t="shared" si="264"/>
        <v/>
      </c>
      <c r="J320" s="317">
        <f t="shared" si="226"/>
        <v>0</v>
      </c>
      <c r="K320" s="317">
        <f t="shared" si="227"/>
        <v>0</v>
      </c>
      <c r="L320" s="317">
        <f t="shared" si="238"/>
        <v>0</v>
      </c>
      <c r="M320" s="317">
        <f t="shared" si="239"/>
        <v>0</v>
      </c>
      <c r="N320" s="317">
        <f t="shared" si="220"/>
        <v>0</v>
      </c>
      <c r="O320" s="317">
        <f t="shared" si="221"/>
        <v>0</v>
      </c>
      <c r="P320" s="317">
        <f t="shared" si="240"/>
        <v>0</v>
      </c>
      <c r="Q320" s="317">
        <f t="shared" si="241"/>
        <v>0</v>
      </c>
      <c r="R320" s="317">
        <f t="shared" si="242"/>
        <v>0</v>
      </c>
      <c r="S320" s="317">
        <f t="shared" si="243"/>
        <v>0</v>
      </c>
      <c r="T320" s="317">
        <f t="shared" si="222"/>
        <v>0</v>
      </c>
      <c r="U320" s="317">
        <f t="shared" si="223"/>
        <v>0</v>
      </c>
      <c r="V320" s="317">
        <f t="shared" si="244"/>
        <v>0</v>
      </c>
      <c r="W320" s="317">
        <f t="shared" si="245"/>
        <v>0</v>
      </c>
      <c r="X320" s="317">
        <f t="shared" si="246"/>
        <v>0</v>
      </c>
      <c r="Y320" s="317">
        <f t="shared" si="247"/>
        <v>0</v>
      </c>
      <c r="Z320" s="317">
        <f t="shared" si="228"/>
        <v>0</v>
      </c>
      <c r="AA320" s="317">
        <f t="shared" si="229"/>
        <v>0</v>
      </c>
      <c r="AB320" s="317">
        <f t="shared" si="248"/>
        <v>0</v>
      </c>
      <c r="AC320" s="317">
        <f t="shared" si="249"/>
        <v>0</v>
      </c>
      <c r="AD320" s="317">
        <f t="shared" si="230"/>
        <v>0</v>
      </c>
      <c r="AE320" s="317">
        <f t="shared" si="231"/>
        <v>0</v>
      </c>
      <c r="AF320" s="317">
        <f t="shared" si="224"/>
        <v>0</v>
      </c>
      <c r="AG320" s="317">
        <f t="shared" si="225"/>
        <v>0</v>
      </c>
      <c r="AH320" s="317">
        <f t="shared" si="250"/>
        <v>0</v>
      </c>
      <c r="AI320" s="317">
        <f t="shared" si="251"/>
        <v>0</v>
      </c>
      <c r="AJ320" s="317">
        <f t="shared" si="252"/>
        <v>0</v>
      </c>
      <c r="AK320" s="317">
        <f t="shared" si="253"/>
        <v>0</v>
      </c>
      <c r="AL320" s="317">
        <f t="shared" si="254"/>
        <v>0</v>
      </c>
      <c r="AM320" s="317">
        <f t="shared" si="255"/>
        <v>0</v>
      </c>
      <c r="AN320" s="317">
        <f t="shared" si="256"/>
        <v>0</v>
      </c>
      <c r="AO320" s="317">
        <f t="shared" si="257"/>
        <v>0</v>
      </c>
      <c r="AP320" s="317">
        <f t="shared" si="258"/>
        <v>0</v>
      </c>
      <c r="AQ320" s="317">
        <f t="shared" si="259"/>
        <v>0</v>
      </c>
      <c r="AR320" s="317">
        <f t="shared" si="232"/>
        <v>0</v>
      </c>
      <c r="AS320" s="317">
        <f t="shared" si="233"/>
        <v>0</v>
      </c>
      <c r="AT320" s="317">
        <f t="shared" si="260"/>
        <v>0</v>
      </c>
      <c r="AU320" s="317">
        <f t="shared" si="261"/>
        <v>0</v>
      </c>
      <c r="AV320" s="317">
        <f t="shared" si="262"/>
        <v>0</v>
      </c>
      <c r="AW320" s="317">
        <f t="shared" si="263"/>
        <v>0</v>
      </c>
      <c r="AX320" s="317">
        <f t="shared" si="234"/>
        <v>0</v>
      </c>
      <c r="AY320" s="317">
        <f t="shared" si="235"/>
        <v>0</v>
      </c>
      <c r="AZ320" s="317">
        <f t="shared" si="236"/>
        <v>0</v>
      </c>
      <c r="BA320" s="317">
        <f t="shared" si="237"/>
        <v>0</v>
      </c>
    </row>
    <row r="321" spans="1:53" s="314" customFormat="1" ht="16.5" customHeight="1">
      <c r="A321" s="63" t="str">
        <f t="array" ref="A321">IF(C321&lt;&gt;0,SUM(($C$11:C321&lt;&gt;0)*1),"")</f>
        <v/>
      </c>
      <c r="B321" s="315"/>
      <c r="C321" s="315"/>
      <c r="D321" s="315"/>
      <c r="E321" s="433"/>
      <c r="F321" s="371"/>
      <c r="G321" s="373"/>
      <c r="H321" s="373"/>
      <c r="I321" s="63" t="str">
        <f t="shared" si="264"/>
        <v/>
      </c>
      <c r="J321" s="317">
        <f t="shared" si="226"/>
        <v>0</v>
      </c>
      <c r="K321" s="317">
        <f t="shared" si="227"/>
        <v>0</v>
      </c>
      <c r="L321" s="317">
        <f t="shared" si="238"/>
        <v>0</v>
      </c>
      <c r="M321" s="317">
        <f t="shared" si="239"/>
        <v>0</v>
      </c>
      <c r="N321" s="317">
        <f t="shared" si="220"/>
        <v>0</v>
      </c>
      <c r="O321" s="317">
        <f t="shared" si="221"/>
        <v>0</v>
      </c>
      <c r="P321" s="317">
        <f t="shared" si="240"/>
        <v>0</v>
      </c>
      <c r="Q321" s="317">
        <f t="shared" si="241"/>
        <v>0</v>
      </c>
      <c r="R321" s="317">
        <f t="shared" si="242"/>
        <v>0</v>
      </c>
      <c r="S321" s="317">
        <f t="shared" si="243"/>
        <v>0</v>
      </c>
      <c r="T321" s="317">
        <f t="shared" si="222"/>
        <v>0</v>
      </c>
      <c r="U321" s="317">
        <f t="shared" si="223"/>
        <v>0</v>
      </c>
      <c r="V321" s="317">
        <f t="shared" si="244"/>
        <v>0</v>
      </c>
      <c r="W321" s="317">
        <f t="shared" si="245"/>
        <v>0</v>
      </c>
      <c r="X321" s="317">
        <f t="shared" si="246"/>
        <v>0</v>
      </c>
      <c r="Y321" s="317">
        <f t="shared" si="247"/>
        <v>0</v>
      </c>
      <c r="Z321" s="317">
        <f t="shared" si="228"/>
        <v>0</v>
      </c>
      <c r="AA321" s="317">
        <f t="shared" si="229"/>
        <v>0</v>
      </c>
      <c r="AB321" s="317">
        <f t="shared" si="248"/>
        <v>0</v>
      </c>
      <c r="AC321" s="317">
        <f t="shared" si="249"/>
        <v>0</v>
      </c>
      <c r="AD321" s="317">
        <f t="shared" si="230"/>
        <v>0</v>
      </c>
      <c r="AE321" s="317">
        <f t="shared" si="231"/>
        <v>0</v>
      </c>
      <c r="AF321" s="317">
        <f t="shared" si="224"/>
        <v>0</v>
      </c>
      <c r="AG321" s="317">
        <f t="shared" si="225"/>
        <v>0</v>
      </c>
      <c r="AH321" s="317">
        <f t="shared" si="250"/>
        <v>0</v>
      </c>
      <c r="AI321" s="317">
        <f t="shared" si="251"/>
        <v>0</v>
      </c>
      <c r="AJ321" s="317">
        <f t="shared" si="252"/>
        <v>0</v>
      </c>
      <c r="AK321" s="317">
        <f t="shared" si="253"/>
        <v>0</v>
      </c>
      <c r="AL321" s="317">
        <f t="shared" si="254"/>
        <v>0</v>
      </c>
      <c r="AM321" s="317">
        <f t="shared" si="255"/>
        <v>0</v>
      </c>
      <c r="AN321" s="317">
        <f t="shared" si="256"/>
        <v>0</v>
      </c>
      <c r="AO321" s="317">
        <f t="shared" si="257"/>
        <v>0</v>
      </c>
      <c r="AP321" s="317">
        <f t="shared" si="258"/>
        <v>0</v>
      </c>
      <c r="AQ321" s="317">
        <f t="shared" si="259"/>
        <v>0</v>
      </c>
      <c r="AR321" s="317">
        <f t="shared" si="232"/>
        <v>0</v>
      </c>
      <c r="AS321" s="317">
        <f t="shared" si="233"/>
        <v>0</v>
      </c>
      <c r="AT321" s="317">
        <f t="shared" si="260"/>
        <v>0</v>
      </c>
      <c r="AU321" s="317">
        <f t="shared" si="261"/>
        <v>0</v>
      </c>
      <c r="AV321" s="317">
        <f t="shared" si="262"/>
        <v>0</v>
      </c>
      <c r="AW321" s="317">
        <f t="shared" si="263"/>
        <v>0</v>
      </c>
      <c r="AX321" s="317">
        <f t="shared" si="234"/>
        <v>0</v>
      </c>
      <c r="AY321" s="317">
        <f t="shared" si="235"/>
        <v>0</v>
      </c>
      <c r="AZ321" s="317">
        <f t="shared" si="236"/>
        <v>0</v>
      </c>
      <c r="BA321" s="317">
        <f t="shared" si="237"/>
        <v>0</v>
      </c>
    </row>
    <row r="322" spans="1:53" s="314" customFormat="1" ht="16.5" customHeight="1">
      <c r="A322" s="63" t="str">
        <f t="array" ref="A322">IF(C322&lt;&gt;0,SUM(($C$11:C322&lt;&gt;0)*1),"")</f>
        <v/>
      </c>
      <c r="B322" s="315"/>
      <c r="C322" s="315"/>
      <c r="D322" s="315"/>
      <c r="E322" s="433"/>
      <c r="F322" s="371"/>
      <c r="G322" s="373"/>
      <c r="H322" s="373"/>
      <c r="I322" s="63" t="str">
        <f t="shared" si="264"/>
        <v/>
      </c>
      <c r="J322" s="317">
        <f t="shared" si="226"/>
        <v>0</v>
      </c>
      <c r="K322" s="317">
        <f t="shared" si="227"/>
        <v>0</v>
      </c>
      <c r="L322" s="317">
        <f t="shared" si="238"/>
        <v>0</v>
      </c>
      <c r="M322" s="317">
        <f t="shared" si="239"/>
        <v>0</v>
      </c>
      <c r="N322" s="317">
        <f t="shared" si="220"/>
        <v>0</v>
      </c>
      <c r="O322" s="317">
        <f t="shared" si="221"/>
        <v>0</v>
      </c>
      <c r="P322" s="317">
        <f t="shared" si="240"/>
        <v>0</v>
      </c>
      <c r="Q322" s="317">
        <f t="shared" si="241"/>
        <v>0</v>
      </c>
      <c r="R322" s="317">
        <f t="shared" si="242"/>
        <v>0</v>
      </c>
      <c r="S322" s="317">
        <f t="shared" si="243"/>
        <v>0</v>
      </c>
      <c r="T322" s="317">
        <f t="shared" si="222"/>
        <v>0</v>
      </c>
      <c r="U322" s="317">
        <f t="shared" si="223"/>
        <v>0</v>
      </c>
      <c r="V322" s="317">
        <f t="shared" si="244"/>
        <v>0</v>
      </c>
      <c r="W322" s="317">
        <f t="shared" si="245"/>
        <v>0</v>
      </c>
      <c r="X322" s="317">
        <f t="shared" si="246"/>
        <v>0</v>
      </c>
      <c r="Y322" s="317">
        <f t="shared" si="247"/>
        <v>0</v>
      </c>
      <c r="Z322" s="317">
        <f t="shared" si="228"/>
        <v>0</v>
      </c>
      <c r="AA322" s="317">
        <f t="shared" si="229"/>
        <v>0</v>
      </c>
      <c r="AB322" s="317">
        <f t="shared" si="248"/>
        <v>0</v>
      </c>
      <c r="AC322" s="317">
        <f t="shared" si="249"/>
        <v>0</v>
      </c>
      <c r="AD322" s="317">
        <f t="shared" si="230"/>
        <v>0</v>
      </c>
      <c r="AE322" s="317">
        <f t="shared" si="231"/>
        <v>0</v>
      </c>
      <c r="AF322" s="317">
        <f t="shared" si="224"/>
        <v>0</v>
      </c>
      <c r="AG322" s="317">
        <f t="shared" si="225"/>
        <v>0</v>
      </c>
      <c r="AH322" s="317">
        <f t="shared" si="250"/>
        <v>0</v>
      </c>
      <c r="AI322" s="317">
        <f t="shared" si="251"/>
        <v>0</v>
      </c>
      <c r="AJ322" s="317">
        <f t="shared" si="252"/>
        <v>0</v>
      </c>
      <c r="AK322" s="317">
        <f t="shared" si="253"/>
        <v>0</v>
      </c>
      <c r="AL322" s="317">
        <f t="shared" si="254"/>
        <v>0</v>
      </c>
      <c r="AM322" s="317">
        <f t="shared" si="255"/>
        <v>0</v>
      </c>
      <c r="AN322" s="317">
        <f t="shared" si="256"/>
        <v>0</v>
      </c>
      <c r="AO322" s="317">
        <f t="shared" si="257"/>
        <v>0</v>
      </c>
      <c r="AP322" s="317">
        <f t="shared" si="258"/>
        <v>0</v>
      </c>
      <c r="AQ322" s="317">
        <f t="shared" si="259"/>
        <v>0</v>
      </c>
      <c r="AR322" s="317">
        <f t="shared" si="232"/>
        <v>0</v>
      </c>
      <c r="AS322" s="317">
        <f t="shared" si="233"/>
        <v>0</v>
      </c>
      <c r="AT322" s="317">
        <f t="shared" si="260"/>
        <v>0</v>
      </c>
      <c r="AU322" s="317">
        <f t="shared" si="261"/>
        <v>0</v>
      </c>
      <c r="AV322" s="317">
        <f t="shared" si="262"/>
        <v>0</v>
      </c>
      <c r="AW322" s="317">
        <f t="shared" si="263"/>
        <v>0</v>
      </c>
      <c r="AX322" s="317">
        <f t="shared" si="234"/>
        <v>0</v>
      </c>
      <c r="AY322" s="317">
        <f t="shared" si="235"/>
        <v>0</v>
      </c>
      <c r="AZ322" s="317">
        <f t="shared" si="236"/>
        <v>0</v>
      </c>
      <c r="BA322" s="317">
        <f t="shared" si="237"/>
        <v>0</v>
      </c>
    </row>
    <row r="323" spans="1:53" s="314" customFormat="1" ht="16.5" customHeight="1">
      <c r="A323" s="63" t="str">
        <f t="array" ref="A323">IF(C323&lt;&gt;0,SUM(($C$11:C323&lt;&gt;0)*1),"")</f>
        <v/>
      </c>
      <c r="B323" s="315"/>
      <c r="C323" s="315"/>
      <c r="D323" s="315"/>
      <c r="E323" s="433"/>
      <c r="F323" s="371"/>
      <c r="G323" s="373"/>
      <c r="H323" s="373"/>
      <c r="I323" s="63" t="str">
        <f t="shared" si="264"/>
        <v/>
      </c>
      <c r="J323" s="317">
        <f t="shared" si="226"/>
        <v>0</v>
      </c>
      <c r="K323" s="317">
        <f t="shared" si="227"/>
        <v>0</v>
      </c>
      <c r="L323" s="317">
        <f t="shared" si="238"/>
        <v>0</v>
      </c>
      <c r="M323" s="317">
        <f t="shared" si="239"/>
        <v>0</v>
      </c>
      <c r="N323" s="317">
        <f t="shared" si="220"/>
        <v>0</v>
      </c>
      <c r="O323" s="317">
        <f t="shared" si="221"/>
        <v>0</v>
      </c>
      <c r="P323" s="317">
        <f t="shared" si="240"/>
        <v>0</v>
      </c>
      <c r="Q323" s="317">
        <f t="shared" si="241"/>
        <v>0</v>
      </c>
      <c r="R323" s="317">
        <f t="shared" si="242"/>
        <v>0</v>
      </c>
      <c r="S323" s="317">
        <f t="shared" si="243"/>
        <v>0</v>
      </c>
      <c r="T323" s="317">
        <f t="shared" si="222"/>
        <v>0</v>
      </c>
      <c r="U323" s="317">
        <f t="shared" si="223"/>
        <v>0</v>
      </c>
      <c r="V323" s="317">
        <f t="shared" si="244"/>
        <v>0</v>
      </c>
      <c r="W323" s="317">
        <f t="shared" si="245"/>
        <v>0</v>
      </c>
      <c r="X323" s="317">
        <f t="shared" si="246"/>
        <v>0</v>
      </c>
      <c r="Y323" s="317">
        <f t="shared" si="247"/>
        <v>0</v>
      </c>
      <c r="Z323" s="317">
        <f t="shared" si="228"/>
        <v>0</v>
      </c>
      <c r="AA323" s="317">
        <f t="shared" si="229"/>
        <v>0</v>
      </c>
      <c r="AB323" s="317">
        <f t="shared" si="248"/>
        <v>0</v>
      </c>
      <c r="AC323" s="317">
        <f t="shared" si="249"/>
        <v>0</v>
      </c>
      <c r="AD323" s="317">
        <f t="shared" si="230"/>
        <v>0</v>
      </c>
      <c r="AE323" s="317">
        <f t="shared" si="231"/>
        <v>0</v>
      </c>
      <c r="AF323" s="317">
        <f t="shared" si="224"/>
        <v>0</v>
      </c>
      <c r="AG323" s="317">
        <f t="shared" si="225"/>
        <v>0</v>
      </c>
      <c r="AH323" s="317">
        <f t="shared" si="250"/>
        <v>0</v>
      </c>
      <c r="AI323" s="317">
        <f t="shared" si="251"/>
        <v>0</v>
      </c>
      <c r="AJ323" s="317">
        <f t="shared" si="252"/>
        <v>0</v>
      </c>
      <c r="AK323" s="317">
        <f t="shared" si="253"/>
        <v>0</v>
      </c>
      <c r="AL323" s="317">
        <f t="shared" si="254"/>
        <v>0</v>
      </c>
      <c r="AM323" s="317">
        <f t="shared" si="255"/>
        <v>0</v>
      </c>
      <c r="AN323" s="317">
        <f t="shared" si="256"/>
        <v>0</v>
      </c>
      <c r="AO323" s="317">
        <f t="shared" si="257"/>
        <v>0</v>
      </c>
      <c r="AP323" s="317">
        <f t="shared" si="258"/>
        <v>0</v>
      </c>
      <c r="AQ323" s="317">
        <f t="shared" si="259"/>
        <v>0</v>
      </c>
      <c r="AR323" s="317">
        <f t="shared" si="232"/>
        <v>0</v>
      </c>
      <c r="AS323" s="317">
        <f t="shared" si="233"/>
        <v>0</v>
      </c>
      <c r="AT323" s="317">
        <f t="shared" si="260"/>
        <v>0</v>
      </c>
      <c r="AU323" s="317">
        <f t="shared" si="261"/>
        <v>0</v>
      </c>
      <c r="AV323" s="317">
        <f t="shared" si="262"/>
        <v>0</v>
      </c>
      <c r="AW323" s="317">
        <f t="shared" si="263"/>
        <v>0</v>
      </c>
      <c r="AX323" s="317">
        <f t="shared" si="234"/>
        <v>0</v>
      </c>
      <c r="AY323" s="317">
        <f t="shared" si="235"/>
        <v>0</v>
      </c>
      <c r="AZ323" s="317">
        <f t="shared" si="236"/>
        <v>0</v>
      </c>
      <c r="BA323" s="317">
        <f t="shared" si="237"/>
        <v>0</v>
      </c>
    </row>
    <row r="324" spans="1:53" s="314" customFormat="1" ht="16.5" customHeight="1">
      <c r="A324" s="63" t="str">
        <f t="array" ref="A324">IF(C324&lt;&gt;0,SUM(($C$11:C324&lt;&gt;0)*1),"")</f>
        <v/>
      </c>
      <c r="B324" s="315"/>
      <c r="C324" s="315"/>
      <c r="D324" s="315"/>
      <c r="E324" s="433"/>
      <c r="F324" s="371"/>
      <c r="G324" s="373"/>
      <c r="H324" s="373"/>
      <c r="I324" s="63" t="str">
        <f t="shared" si="264"/>
        <v/>
      </c>
      <c r="J324" s="317">
        <f t="shared" si="226"/>
        <v>0</v>
      </c>
      <c r="K324" s="317">
        <f t="shared" si="227"/>
        <v>0</v>
      </c>
      <c r="L324" s="317">
        <f t="shared" si="238"/>
        <v>0</v>
      </c>
      <c r="M324" s="317">
        <f t="shared" si="239"/>
        <v>0</v>
      </c>
      <c r="N324" s="317">
        <f t="shared" si="220"/>
        <v>0</v>
      </c>
      <c r="O324" s="317">
        <f t="shared" si="221"/>
        <v>0</v>
      </c>
      <c r="P324" s="317">
        <f t="shared" si="240"/>
        <v>0</v>
      </c>
      <c r="Q324" s="317">
        <f t="shared" si="241"/>
        <v>0</v>
      </c>
      <c r="R324" s="317">
        <f t="shared" si="242"/>
        <v>0</v>
      </c>
      <c r="S324" s="317">
        <f t="shared" si="243"/>
        <v>0</v>
      </c>
      <c r="T324" s="317">
        <f t="shared" si="222"/>
        <v>0</v>
      </c>
      <c r="U324" s="317">
        <f t="shared" si="223"/>
        <v>0</v>
      </c>
      <c r="V324" s="317">
        <f t="shared" si="244"/>
        <v>0</v>
      </c>
      <c r="W324" s="317">
        <f t="shared" si="245"/>
        <v>0</v>
      </c>
      <c r="X324" s="317">
        <f t="shared" si="246"/>
        <v>0</v>
      </c>
      <c r="Y324" s="317">
        <f t="shared" si="247"/>
        <v>0</v>
      </c>
      <c r="Z324" s="317">
        <f t="shared" si="228"/>
        <v>0</v>
      </c>
      <c r="AA324" s="317">
        <f t="shared" si="229"/>
        <v>0</v>
      </c>
      <c r="AB324" s="317">
        <f t="shared" si="248"/>
        <v>0</v>
      </c>
      <c r="AC324" s="317">
        <f t="shared" si="249"/>
        <v>0</v>
      </c>
      <c r="AD324" s="317">
        <f t="shared" si="230"/>
        <v>0</v>
      </c>
      <c r="AE324" s="317">
        <f t="shared" si="231"/>
        <v>0</v>
      </c>
      <c r="AF324" s="317">
        <f t="shared" si="224"/>
        <v>0</v>
      </c>
      <c r="AG324" s="317">
        <f t="shared" si="225"/>
        <v>0</v>
      </c>
      <c r="AH324" s="317">
        <f t="shared" si="250"/>
        <v>0</v>
      </c>
      <c r="AI324" s="317">
        <f t="shared" si="251"/>
        <v>0</v>
      </c>
      <c r="AJ324" s="317">
        <f t="shared" si="252"/>
        <v>0</v>
      </c>
      <c r="AK324" s="317">
        <f t="shared" si="253"/>
        <v>0</v>
      </c>
      <c r="AL324" s="317">
        <f t="shared" si="254"/>
        <v>0</v>
      </c>
      <c r="AM324" s="317">
        <f t="shared" si="255"/>
        <v>0</v>
      </c>
      <c r="AN324" s="317">
        <f t="shared" si="256"/>
        <v>0</v>
      </c>
      <c r="AO324" s="317">
        <f t="shared" si="257"/>
        <v>0</v>
      </c>
      <c r="AP324" s="317">
        <f t="shared" si="258"/>
        <v>0</v>
      </c>
      <c r="AQ324" s="317">
        <f t="shared" si="259"/>
        <v>0</v>
      </c>
      <c r="AR324" s="317">
        <f t="shared" si="232"/>
        <v>0</v>
      </c>
      <c r="AS324" s="317">
        <f t="shared" si="233"/>
        <v>0</v>
      </c>
      <c r="AT324" s="317">
        <f t="shared" si="260"/>
        <v>0</v>
      </c>
      <c r="AU324" s="317">
        <f t="shared" si="261"/>
        <v>0</v>
      </c>
      <c r="AV324" s="317">
        <f t="shared" si="262"/>
        <v>0</v>
      </c>
      <c r="AW324" s="317">
        <f t="shared" si="263"/>
        <v>0</v>
      </c>
      <c r="AX324" s="317">
        <f t="shared" si="234"/>
        <v>0</v>
      </c>
      <c r="AY324" s="317">
        <f t="shared" si="235"/>
        <v>0</v>
      </c>
      <c r="AZ324" s="317">
        <f t="shared" si="236"/>
        <v>0</v>
      </c>
      <c r="BA324" s="317">
        <f t="shared" si="237"/>
        <v>0</v>
      </c>
    </row>
    <row r="325" spans="1:53" s="314" customFormat="1" ht="16.5" customHeight="1">
      <c r="A325" s="63" t="str">
        <f t="array" ref="A325">IF(C325&lt;&gt;0,SUM(($C$11:C325&lt;&gt;0)*1),"")</f>
        <v/>
      </c>
      <c r="B325" s="315"/>
      <c r="C325" s="315"/>
      <c r="D325" s="315"/>
      <c r="E325" s="433"/>
      <c r="F325" s="371"/>
      <c r="G325" s="373"/>
      <c r="H325" s="373"/>
      <c r="I325" s="63" t="str">
        <f t="shared" si="264"/>
        <v/>
      </c>
      <c r="J325" s="317">
        <f t="shared" si="226"/>
        <v>0</v>
      </c>
      <c r="K325" s="317">
        <f t="shared" si="227"/>
        <v>0</v>
      </c>
      <c r="L325" s="317">
        <f t="shared" si="238"/>
        <v>0</v>
      </c>
      <c r="M325" s="317">
        <f t="shared" si="239"/>
        <v>0</v>
      </c>
      <c r="N325" s="317">
        <f t="shared" si="220"/>
        <v>0</v>
      </c>
      <c r="O325" s="317">
        <f t="shared" si="221"/>
        <v>0</v>
      </c>
      <c r="P325" s="317">
        <f t="shared" si="240"/>
        <v>0</v>
      </c>
      <c r="Q325" s="317">
        <f t="shared" si="241"/>
        <v>0</v>
      </c>
      <c r="R325" s="317">
        <f t="shared" si="242"/>
        <v>0</v>
      </c>
      <c r="S325" s="317">
        <f t="shared" si="243"/>
        <v>0</v>
      </c>
      <c r="T325" s="317">
        <f t="shared" si="222"/>
        <v>0</v>
      </c>
      <c r="U325" s="317">
        <f t="shared" si="223"/>
        <v>0</v>
      </c>
      <c r="V325" s="317">
        <f t="shared" si="244"/>
        <v>0</v>
      </c>
      <c r="W325" s="317">
        <f t="shared" si="245"/>
        <v>0</v>
      </c>
      <c r="X325" s="317">
        <f t="shared" si="246"/>
        <v>0</v>
      </c>
      <c r="Y325" s="317">
        <f t="shared" si="247"/>
        <v>0</v>
      </c>
      <c r="Z325" s="317">
        <f t="shared" si="228"/>
        <v>0</v>
      </c>
      <c r="AA325" s="317">
        <f t="shared" si="229"/>
        <v>0</v>
      </c>
      <c r="AB325" s="317">
        <f t="shared" si="248"/>
        <v>0</v>
      </c>
      <c r="AC325" s="317">
        <f t="shared" si="249"/>
        <v>0</v>
      </c>
      <c r="AD325" s="317">
        <f t="shared" si="230"/>
        <v>0</v>
      </c>
      <c r="AE325" s="317">
        <f t="shared" si="231"/>
        <v>0</v>
      </c>
      <c r="AF325" s="317">
        <f t="shared" si="224"/>
        <v>0</v>
      </c>
      <c r="AG325" s="317">
        <f t="shared" si="225"/>
        <v>0</v>
      </c>
      <c r="AH325" s="317">
        <f t="shared" si="250"/>
        <v>0</v>
      </c>
      <c r="AI325" s="317">
        <f t="shared" si="251"/>
        <v>0</v>
      </c>
      <c r="AJ325" s="317">
        <f t="shared" si="252"/>
        <v>0</v>
      </c>
      <c r="AK325" s="317">
        <f t="shared" si="253"/>
        <v>0</v>
      </c>
      <c r="AL325" s="317">
        <f t="shared" si="254"/>
        <v>0</v>
      </c>
      <c r="AM325" s="317">
        <f t="shared" si="255"/>
        <v>0</v>
      </c>
      <c r="AN325" s="317">
        <f t="shared" si="256"/>
        <v>0</v>
      </c>
      <c r="AO325" s="317">
        <f t="shared" si="257"/>
        <v>0</v>
      </c>
      <c r="AP325" s="317">
        <f t="shared" si="258"/>
        <v>0</v>
      </c>
      <c r="AQ325" s="317">
        <f t="shared" si="259"/>
        <v>0</v>
      </c>
      <c r="AR325" s="317">
        <f t="shared" si="232"/>
        <v>0</v>
      </c>
      <c r="AS325" s="317">
        <f t="shared" si="233"/>
        <v>0</v>
      </c>
      <c r="AT325" s="317">
        <f t="shared" si="260"/>
        <v>0</v>
      </c>
      <c r="AU325" s="317">
        <f t="shared" si="261"/>
        <v>0</v>
      </c>
      <c r="AV325" s="317">
        <f t="shared" si="262"/>
        <v>0</v>
      </c>
      <c r="AW325" s="317">
        <f t="shared" si="263"/>
        <v>0</v>
      </c>
      <c r="AX325" s="317">
        <f t="shared" si="234"/>
        <v>0</v>
      </c>
      <c r="AY325" s="317">
        <f t="shared" si="235"/>
        <v>0</v>
      </c>
      <c r="AZ325" s="317">
        <f t="shared" si="236"/>
        <v>0</v>
      </c>
      <c r="BA325" s="317">
        <f t="shared" si="237"/>
        <v>0</v>
      </c>
    </row>
    <row r="326" spans="1:53" s="314" customFormat="1" ht="16.5" customHeight="1">
      <c r="A326" s="63" t="str">
        <f t="array" ref="A326">IF(C326&lt;&gt;0,SUM(($C$11:C326&lt;&gt;0)*1),"")</f>
        <v/>
      </c>
      <c r="B326" s="315"/>
      <c r="C326" s="315"/>
      <c r="D326" s="315"/>
      <c r="E326" s="433"/>
      <c r="F326" s="371"/>
      <c r="G326" s="373"/>
      <c r="H326" s="373"/>
      <c r="I326" s="63" t="str">
        <f t="shared" si="264"/>
        <v/>
      </c>
      <c r="J326" s="317">
        <f t="shared" si="226"/>
        <v>0</v>
      </c>
      <c r="K326" s="317">
        <f t="shared" si="227"/>
        <v>0</v>
      </c>
      <c r="L326" s="317">
        <f t="shared" si="238"/>
        <v>0</v>
      </c>
      <c r="M326" s="317">
        <f t="shared" si="239"/>
        <v>0</v>
      </c>
      <c r="N326" s="317">
        <f t="shared" si="220"/>
        <v>0</v>
      </c>
      <c r="O326" s="317">
        <f t="shared" si="221"/>
        <v>0</v>
      </c>
      <c r="P326" s="317">
        <f t="shared" si="240"/>
        <v>0</v>
      </c>
      <c r="Q326" s="317">
        <f t="shared" si="241"/>
        <v>0</v>
      </c>
      <c r="R326" s="317">
        <f t="shared" si="242"/>
        <v>0</v>
      </c>
      <c r="S326" s="317">
        <f t="shared" si="243"/>
        <v>0</v>
      </c>
      <c r="T326" s="317">
        <f t="shared" si="222"/>
        <v>0</v>
      </c>
      <c r="U326" s="317">
        <f t="shared" si="223"/>
        <v>0</v>
      </c>
      <c r="V326" s="317">
        <f t="shared" si="244"/>
        <v>0</v>
      </c>
      <c r="W326" s="317">
        <f t="shared" si="245"/>
        <v>0</v>
      </c>
      <c r="X326" s="317">
        <f t="shared" si="246"/>
        <v>0</v>
      </c>
      <c r="Y326" s="317">
        <f t="shared" si="247"/>
        <v>0</v>
      </c>
      <c r="Z326" s="317">
        <f t="shared" si="228"/>
        <v>0</v>
      </c>
      <c r="AA326" s="317">
        <f t="shared" si="229"/>
        <v>0</v>
      </c>
      <c r="AB326" s="317">
        <f t="shared" si="248"/>
        <v>0</v>
      </c>
      <c r="AC326" s="317">
        <f t="shared" si="249"/>
        <v>0</v>
      </c>
      <c r="AD326" s="317">
        <f t="shared" si="230"/>
        <v>0</v>
      </c>
      <c r="AE326" s="317">
        <f t="shared" si="231"/>
        <v>0</v>
      </c>
      <c r="AF326" s="317">
        <f t="shared" si="224"/>
        <v>0</v>
      </c>
      <c r="AG326" s="317">
        <f t="shared" si="225"/>
        <v>0</v>
      </c>
      <c r="AH326" s="317">
        <f t="shared" si="250"/>
        <v>0</v>
      </c>
      <c r="AI326" s="317">
        <f t="shared" si="251"/>
        <v>0</v>
      </c>
      <c r="AJ326" s="317">
        <f t="shared" si="252"/>
        <v>0</v>
      </c>
      <c r="AK326" s="317">
        <f t="shared" si="253"/>
        <v>0</v>
      </c>
      <c r="AL326" s="317">
        <f t="shared" si="254"/>
        <v>0</v>
      </c>
      <c r="AM326" s="317">
        <f t="shared" si="255"/>
        <v>0</v>
      </c>
      <c r="AN326" s="317">
        <f t="shared" si="256"/>
        <v>0</v>
      </c>
      <c r="AO326" s="317">
        <f t="shared" si="257"/>
        <v>0</v>
      </c>
      <c r="AP326" s="317">
        <f t="shared" si="258"/>
        <v>0</v>
      </c>
      <c r="AQ326" s="317">
        <f t="shared" si="259"/>
        <v>0</v>
      </c>
      <c r="AR326" s="317">
        <f t="shared" si="232"/>
        <v>0</v>
      </c>
      <c r="AS326" s="317">
        <f t="shared" si="233"/>
        <v>0</v>
      </c>
      <c r="AT326" s="317">
        <f t="shared" si="260"/>
        <v>0</v>
      </c>
      <c r="AU326" s="317">
        <f t="shared" si="261"/>
        <v>0</v>
      </c>
      <c r="AV326" s="317">
        <f t="shared" si="262"/>
        <v>0</v>
      </c>
      <c r="AW326" s="317">
        <f t="shared" si="263"/>
        <v>0</v>
      </c>
      <c r="AX326" s="317">
        <f t="shared" si="234"/>
        <v>0</v>
      </c>
      <c r="AY326" s="317">
        <f t="shared" si="235"/>
        <v>0</v>
      </c>
      <c r="AZ326" s="317">
        <f t="shared" si="236"/>
        <v>0</v>
      </c>
      <c r="BA326" s="317">
        <f t="shared" si="237"/>
        <v>0</v>
      </c>
    </row>
    <row r="327" spans="1:53" s="314" customFormat="1" ht="16.5" customHeight="1">
      <c r="A327" s="63" t="str">
        <f t="array" ref="A327">IF(C327&lt;&gt;0,SUM(($C$11:C327&lt;&gt;0)*1),"")</f>
        <v/>
      </c>
      <c r="B327" s="315"/>
      <c r="C327" s="315"/>
      <c r="D327" s="315"/>
      <c r="E327" s="433"/>
      <c r="F327" s="371"/>
      <c r="G327" s="373"/>
      <c r="H327" s="373"/>
      <c r="I327" s="63" t="str">
        <f t="shared" si="264"/>
        <v/>
      </c>
      <c r="J327" s="317">
        <f t="shared" si="226"/>
        <v>0</v>
      </c>
      <c r="K327" s="317">
        <f t="shared" si="227"/>
        <v>0</v>
      </c>
      <c r="L327" s="317">
        <f t="shared" si="238"/>
        <v>0</v>
      </c>
      <c r="M327" s="317">
        <f t="shared" si="239"/>
        <v>0</v>
      </c>
      <c r="N327" s="317">
        <f t="shared" si="220"/>
        <v>0</v>
      </c>
      <c r="O327" s="317">
        <f t="shared" si="221"/>
        <v>0</v>
      </c>
      <c r="P327" s="317">
        <f t="shared" si="240"/>
        <v>0</v>
      </c>
      <c r="Q327" s="317">
        <f t="shared" si="241"/>
        <v>0</v>
      </c>
      <c r="R327" s="317">
        <f t="shared" si="242"/>
        <v>0</v>
      </c>
      <c r="S327" s="317">
        <f t="shared" si="243"/>
        <v>0</v>
      </c>
      <c r="T327" s="317">
        <f t="shared" si="222"/>
        <v>0</v>
      </c>
      <c r="U327" s="317">
        <f t="shared" si="223"/>
        <v>0</v>
      </c>
      <c r="V327" s="317">
        <f t="shared" si="244"/>
        <v>0</v>
      </c>
      <c r="W327" s="317">
        <f t="shared" si="245"/>
        <v>0</v>
      </c>
      <c r="X327" s="317">
        <f t="shared" si="246"/>
        <v>0</v>
      </c>
      <c r="Y327" s="317">
        <f t="shared" si="247"/>
        <v>0</v>
      </c>
      <c r="Z327" s="317">
        <f t="shared" si="228"/>
        <v>0</v>
      </c>
      <c r="AA327" s="317">
        <f t="shared" si="229"/>
        <v>0</v>
      </c>
      <c r="AB327" s="317">
        <f t="shared" si="248"/>
        <v>0</v>
      </c>
      <c r="AC327" s="317">
        <f t="shared" si="249"/>
        <v>0</v>
      </c>
      <c r="AD327" s="317">
        <f t="shared" si="230"/>
        <v>0</v>
      </c>
      <c r="AE327" s="317">
        <f t="shared" si="231"/>
        <v>0</v>
      </c>
      <c r="AF327" s="317">
        <f t="shared" si="224"/>
        <v>0</v>
      </c>
      <c r="AG327" s="317">
        <f t="shared" si="225"/>
        <v>0</v>
      </c>
      <c r="AH327" s="317">
        <f t="shared" si="250"/>
        <v>0</v>
      </c>
      <c r="AI327" s="317">
        <f t="shared" si="251"/>
        <v>0</v>
      </c>
      <c r="AJ327" s="317">
        <f t="shared" si="252"/>
        <v>0</v>
      </c>
      <c r="AK327" s="317">
        <f t="shared" si="253"/>
        <v>0</v>
      </c>
      <c r="AL327" s="317">
        <f t="shared" si="254"/>
        <v>0</v>
      </c>
      <c r="AM327" s="317">
        <f t="shared" si="255"/>
        <v>0</v>
      </c>
      <c r="AN327" s="317">
        <f t="shared" si="256"/>
        <v>0</v>
      </c>
      <c r="AO327" s="317">
        <f t="shared" si="257"/>
        <v>0</v>
      </c>
      <c r="AP327" s="317">
        <f t="shared" si="258"/>
        <v>0</v>
      </c>
      <c r="AQ327" s="317">
        <f t="shared" si="259"/>
        <v>0</v>
      </c>
      <c r="AR327" s="317">
        <f t="shared" si="232"/>
        <v>0</v>
      </c>
      <c r="AS327" s="317">
        <f t="shared" si="233"/>
        <v>0</v>
      </c>
      <c r="AT327" s="317">
        <f t="shared" si="260"/>
        <v>0</v>
      </c>
      <c r="AU327" s="317">
        <f t="shared" si="261"/>
        <v>0</v>
      </c>
      <c r="AV327" s="317">
        <f t="shared" si="262"/>
        <v>0</v>
      </c>
      <c r="AW327" s="317">
        <f t="shared" si="263"/>
        <v>0</v>
      </c>
      <c r="AX327" s="317">
        <f t="shared" si="234"/>
        <v>0</v>
      </c>
      <c r="AY327" s="317">
        <f t="shared" si="235"/>
        <v>0</v>
      </c>
      <c r="AZ327" s="317">
        <f t="shared" si="236"/>
        <v>0</v>
      </c>
      <c r="BA327" s="317">
        <f t="shared" si="237"/>
        <v>0</v>
      </c>
    </row>
    <row r="328" spans="1:53" s="314" customFormat="1" ht="16.5" customHeight="1">
      <c r="A328" s="63" t="str">
        <f t="array" ref="A328">IF(C328&lt;&gt;0,SUM(($C$11:C328&lt;&gt;0)*1),"")</f>
        <v/>
      </c>
      <c r="B328" s="315"/>
      <c r="C328" s="315"/>
      <c r="D328" s="315"/>
      <c r="E328" s="433"/>
      <c r="F328" s="371"/>
      <c r="G328" s="373"/>
      <c r="H328" s="373"/>
      <c r="I328" s="63" t="str">
        <f t="shared" si="264"/>
        <v/>
      </c>
      <c r="J328" s="317">
        <f t="shared" si="226"/>
        <v>0</v>
      </c>
      <c r="K328" s="317">
        <f t="shared" si="227"/>
        <v>0</v>
      </c>
      <c r="L328" s="317">
        <f t="shared" si="238"/>
        <v>0</v>
      </c>
      <c r="M328" s="317">
        <f t="shared" si="239"/>
        <v>0</v>
      </c>
      <c r="N328" s="317">
        <f t="shared" si="220"/>
        <v>0</v>
      </c>
      <c r="O328" s="317">
        <f t="shared" si="221"/>
        <v>0</v>
      </c>
      <c r="P328" s="317">
        <f t="shared" si="240"/>
        <v>0</v>
      </c>
      <c r="Q328" s="317">
        <f t="shared" si="241"/>
        <v>0</v>
      </c>
      <c r="R328" s="317">
        <f t="shared" si="242"/>
        <v>0</v>
      </c>
      <c r="S328" s="317">
        <f t="shared" si="243"/>
        <v>0</v>
      </c>
      <c r="T328" s="317">
        <f t="shared" si="222"/>
        <v>0</v>
      </c>
      <c r="U328" s="317">
        <f t="shared" si="223"/>
        <v>0</v>
      </c>
      <c r="V328" s="317">
        <f t="shared" si="244"/>
        <v>0</v>
      </c>
      <c r="W328" s="317">
        <f t="shared" si="245"/>
        <v>0</v>
      </c>
      <c r="X328" s="317">
        <f t="shared" si="246"/>
        <v>0</v>
      </c>
      <c r="Y328" s="317">
        <f t="shared" si="247"/>
        <v>0</v>
      </c>
      <c r="Z328" s="317">
        <f t="shared" si="228"/>
        <v>0</v>
      </c>
      <c r="AA328" s="317">
        <f t="shared" si="229"/>
        <v>0</v>
      </c>
      <c r="AB328" s="317">
        <f t="shared" si="248"/>
        <v>0</v>
      </c>
      <c r="AC328" s="317">
        <f t="shared" si="249"/>
        <v>0</v>
      </c>
      <c r="AD328" s="317">
        <f t="shared" si="230"/>
        <v>0</v>
      </c>
      <c r="AE328" s="317">
        <f t="shared" si="231"/>
        <v>0</v>
      </c>
      <c r="AF328" s="317">
        <f t="shared" si="224"/>
        <v>0</v>
      </c>
      <c r="AG328" s="317">
        <f t="shared" si="225"/>
        <v>0</v>
      </c>
      <c r="AH328" s="317">
        <f t="shared" si="250"/>
        <v>0</v>
      </c>
      <c r="AI328" s="317">
        <f t="shared" si="251"/>
        <v>0</v>
      </c>
      <c r="AJ328" s="317">
        <f t="shared" si="252"/>
        <v>0</v>
      </c>
      <c r="AK328" s="317">
        <f t="shared" si="253"/>
        <v>0</v>
      </c>
      <c r="AL328" s="317">
        <f t="shared" si="254"/>
        <v>0</v>
      </c>
      <c r="AM328" s="317">
        <f t="shared" si="255"/>
        <v>0</v>
      </c>
      <c r="AN328" s="317">
        <f t="shared" si="256"/>
        <v>0</v>
      </c>
      <c r="AO328" s="317">
        <f t="shared" si="257"/>
        <v>0</v>
      </c>
      <c r="AP328" s="317">
        <f t="shared" si="258"/>
        <v>0</v>
      </c>
      <c r="AQ328" s="317">
        <f t="shared" si="259"/>
        <v>0</v>
      </c>
      <c r="AR328" s="317">
        <f t="shared" si="232"/>
        <v>0</v>
      </c>
      <c r="AS328" s="317">
        <f t="shared" si="233"/>
        <v>0</v>
      </c>
      <c r="AT328" s="317">
        <f t="shared" si="260"/>
        <v>0</v>
      </c>
      <c r="AU328" s="317">
        <f t="shared" si="261"/>
        <v>0</v>
      </c>
      <c r="AV328" s="317">
        <f t="shared" si="262"/>
        <v>0</v>
      </c>
      <c r="AW328" s="317">
        <f t="shared" si="263"/>
        <v>0</v>
      </c>
      <c r="AX328" s="317">
        <f t="shared" si="234"/>
        <v>0</v>
      </c>
      <c r="AY328" s="317">
        <f t="shared" si="235"/>
        <v>0</v>
      </c>
      <c r="AZ328" s="317">
        <f t="shared" si="236"/>
        <v>0</v>
      </c>
      <c r="BA328" s="317">
        <f t="shared" si="237"/>
        <v>0</v>
      </c>
    </row>
    <row r="329" spans="1:53" s="314" customFormat="1" ht="16.5" customHeight="1">
      <c r="A329" s="63" t="str">
        <f t="array" ref="A329">IF(C329&lt;&gt;0,SUM(($C$11:C329&lt;&gt;0)*1),"")</f>
        <v/>
      </c>
      <c r="B329" s="315"/>
      <c r="C329" s="315"/>
      <c r="D329" s="315"/>
      <c r="E329" s="433"/>
      <c r="F329" s="371"/>
      <c r="G329" s="373"/>
      <c r="H329" s="373"/>
      <c r="I329" s="63" t="str">
        <f t="shared" si="264"/>
        <v/>
      </c>
      <c r="J329" s="317">
        <f t="shared" si="226"/>
        <v>0</v>
      </c>
      <c r="K329" s="317">
        <f t="shared" si="227"/>
        <v>0</v>
      </c>
      <c r="L329" s="317">
        <f t="shared" si="238"/>
        <v>0</v>
      </c>
      <c r="M329" s="317">
        <f t="shared" si="239"/>
        <v>0</v>
      </c>
      <c r="N329" s="317">
        <f t="shared" si="220"/>
        <v>0</v>
      </c>
      <c r="O329" s="317">
        <f t="shared" si="221"/>
        <v>0</v>
      </c>
      <c r="P329" s="317">
        <f t="shared" si="240"/>
        <v>0</v>
      </c>
      <c r="Q329" s="317">
        <f t="shared" si="241"/>
        <v>0</v>
      </c>
      <c r="R329" s="317">
        <f t="shared" si="242"/>
        <v>0</v>
      </c>
      <c r="S329" s="317">
        <f t="shared" si="243"/>
        <v>0</v>
      </c>
      <c r="T329" s="317">
        <f t="shared" si="222"/>
        <v>0</v>
      </c>
      <c r="U329" s="317">
        <f t="shared" si="223"/>
        <v>0</v>
      </c>
      <c r="V329" s="317">
        <f t="shared" si="244"/>
        <v>0</v>
      </c>
      <c r="W329" s="317">
        <f t="shared" si="245"/>
        <v>0</v>
      </c>
      <c r="X329" s="317">
        <f t="shared" si="246"/>
        <v>0</v>
      </c>
      <c r="Y329" s="317">
        <f t="shared" si="247"/>
        <v>0</v>
      </c>
      <c r="Z329" s="317">
        <f t="shared" si="228"/>
        <v>0</v>
      </c>
      <c r="AA329" s="317">
        <f t="shared" si="229"/>
        <v>0</v>
      </c>
      <c r="AB329" s="317">
        <f t="shared" si="248"/>
        <v>0</v>
      </c>
      <c r="AC329" s="317">
        <f t="shared" si="249"/>
        <v>0</v>
      </c>
      <c r="AD329" s="317">
        <f t="shared" si="230"/>
        <v>0</v>
      </c>
      <c r="AE329" s="317">
        <f t="shared" si="231"/>
        <v>0</v>
      </c>
      <c r="AF329" s="317">
        <f t="shared" si="224"/>
        <v>0</v>
      </c>
      <c r="AG329" s="317">
        <f t="shared" si="225"/>
        <v>0</v>
      </c>
      <c r="AH329" s="317">
        <f t="shared" si="250"/>
        <v>0</v>
      </c>
      <c r="AI329" s="317">
        <f t="shared" si="251"/>
        <v>0</v>
      </c>
      <c r="AJ329" s="317">
        <f t="shared" si="252"/>
        <v>0</v>
      </c>
      <c r="AK329" s="317">
        <f t="shared" si="253"/>
        <v>0</v>
      </c>
      <c r="AL329" s="317">
        <f t="shared" si="254"/>
        <v>0</v>
      </c>
      <c r="AM329" s="317">
        <f t="shared" si="255"/>
        <v>0</v>
      </c>
      <c r="AN329" s="317">
        <f t="shared" si="256"/>
        <v>0</v>
      </c>
      <c r="AO329" s="317">
        <f t="shared" si="257"/>
        <v>0</v>
      </c>
      <c r="AP329" s="317">
        <f t="shared" si="258"/>
        <v>0</v>
      </c>
      <c r="AQ329" s="317">
        <f t="shared" si="259"/>
        <v>0</v>
      </c>
      <c r="AR329" s="317">
        <f t="shared" si="232"/>
        <v>0</v>
      </c>
      <c r="AS329" s="317">
        <f t="shared" si="233"/>
        <v>0</v>
      </c>
      <c r="AT329" s="317">
        <f t="shared" si="260"/>
        <v>0</v>
      </c>
      <c r="AU329" s="317">
        <f t="shared" si="261"/>
        <v>0</v>
      </c>
      <c r="AV329" s="317">
        <f t="shared" si="262"/>
        <v>0</v>
      </c>
      <c r="AW329" s="317">
        <f t="shared" si="263"/>
        <v>0</v>
      </c>
      <c r="AX329" s="317">
        <f t="shared" si="234"/>
        <v>0</v>
      </c>
      <c r="AY329" s="317">
        <f t="shared" si="235"/>
        <v>0</v>
      </c>
      <c r="AZ329" s="317">
        <f t="shared" si="236"/>
        <v>0</v>
      </c>
      <c r="BA329" s="317">
        <f t="shared" si="237"/>
        <v>0</v>
      </c>
    </row>
    <row r="330" spans="1:53" s="314" customFormat="1" ht="16.5" customHeight="1">
      <c r="A330" s="63" t="str">
        <f t="array" ref="A330">IF(C330&lt;&gt;0,SUM(($C$11:C330&lt;&gt;0)*1),"")</f>
        <v/>
      </c>
      <c r="B330" s="315"/>
      <c r="C330" s="315"/>
      <c r="D330" s="315"/>
      <c r="E330" s="433"/>
      <c r="F330" s="371"/>
      <c r="G330" s="373"/>
      <c r="H330" s="373"/>
      <c r="I330" s="63" t="str">
        <f t="shared" si="264"/>
        <v/>
      </c>
      <c r="J330" s="317">
        <f t="shared" si="226"/>
        <v>0</v>
      </c>
      <c r="K330" s="317">
        <f t="shared" si="227"/>
        <v>0</v>
      </c>
      <c r="L330" s="317">
        <f t="shared" si="238"/>
        <v>0</v>
      </c>
      <c r="M330" s="317">
        <f t="shared" si="239"/>
        <v>0</v>
      </c>
      <c r="N330" s="317">
        <f t="shared" si="220"/>
        <v>0</v>
      </c>
      <c r="O330" s="317">
        <f t="shared" si="221"/>
        <v>0</v>
      </c>
      <c r="P330" s="317">
        <f t="shared" si="240"/>
        <v>0</v>
      </c>
      <c r="Q330" s="317">
        <f t="shared" si="241"/>
        <v>0</v>
      </c>
      <c r="R330" s="317">
        <f t="shared" si="242"/>
        <v>0</v>
      </c>
      <c r="S330" s="317">
        <f t="shared" si="243"/>
        <v>0</v>
      </c>
      <c r="T330" s="317">
        <f t="shared" si="222"/>
        <v>0</v>
      </c>
      <c r="U330" s="317">
        <f t="shared" si="223"/>
        <v>0</v>
      </c>
      <c r="V330" s="317">
        <f t="shared" si="244"/>
        <v>0</v>
      </c>
      <c r="W330" s="317">
        <f t="shared" si="245"/>
        <v>0</v>
      </c>
      <c r="X330" s="317">
        <f t="shared" si="246"/>
        <v>0</v>
      </c>
      <c r="Y330" s="317">
        <f t="shared" si="247"/>
        <v>0</v>
      </c>
      <c r="Z330" s="317">
        <f t="shared" si="228"/>
        <v>0</v>
      </c>
      <c r="AA330" s="317">
        <f t="shared" si="229"/>
        <v>0</v>
      </c>
      <c r="AB330" s="317">
        <f t="shared" si="248"/>
        <v>0</v>
      </c>
      <c r="AC330" s="317">
        <f t="shared" si="249"/>
        <v>0</v>
      </c>
      <c r="AD330" s="317">
        <f t="shared" si="230"/>
        <v>0</v>
      </c>
      <c r="AE330" s="317">
        <f t="shared" si="231"/>
        <v>0</v>
      </c>
      <c r="AF330" s="317">
        <f t="shared" si="224"/>
        <v>0</v>
      </c>
      <c r="AG330" s="317">
        <f t="shared" si="225"/>
        <v>0</v>
      </c>
      <c r="AH330" s="317">
        <f t="shared" si="250"/>
        <v>0</v>
      </c>
      <c r="AI330" s="317">
        <f t="shared" si="251"/>
        <v>0</v>
      </c>
      <c r="AJ330" s="317">
        <f t="shared" si="252"/>
        <v>0</v>
      </c>
      <c r="AK330" s="317">
        <f t="shared" si="253"/>
        <v>0</v>
      </c>
      <c r="AL330" s="317">
        <f t="shared" si="254"/>
        <v>0</v>
      </c>
      <c r="AM330" s="317">
        <f t="shared" si="255"/>
        <v>0</v>
      </c>
      <c r="AN330" s="317">
        <f t="shared" si="256"/>
        <v>0</v>
      </c>
      <c r="AO330" s="317">
        <f t="shared" si="257"/>
        <v>0</v>
      </c>
      <c r="AP330" s="317">
        <f t="shared" si="258"/>
        <v>0</v>
      </c>
      <c r="AQ330" s="317">
        <f t="shared" si="259"/>
        <v>0</v>
      </c>
      <c r="AR330" s="317">
        <f t="shared" si="232"/>
        <v>0</v>
      </c>
      <c r="AS330" s="317">
        <f t="shared" si="233"/>
        <v>0</v>
      </c>
      <c r="AT330" s="317">
        <f t="shared" si="260"/>
        <v>0</v>
      </c>
      <c r="AU330" s="317">
        <f t="shared" si="261"/>
        <v>0</v>
      </c>
      <c r="AV330" s="317">
        <f t="shared" si="262"/>
        <v>0</v>
      </c>
      <c r="AW330" s="317">
        <f t="shared" si="263"/>
        <v>0</v>
      </c>
      <c r="AX330" s="317">
        <f t="shared" si="234"/>
        <v>0</v>
      </c>
      <c r="AY330" s="317">
        <f t="shared" si="235"/>
        <v>0</v>
      </c>
      <c r="AZ330" s="317">
        <f t="shared" si="236"/>
        <v>0</v>
      </c>
      <c r="BA330" s="317">
        <f t="shared" si="237"/>
        <v>0</v>
      </c>
    </row>
    <row r="331" spans="1:53" s="314" customFormat="1" ht="16.5" customHeight="1">
      <c r="A331" s="63" t="str">
        <f t="array" ref="A331">IF(C331&lt;&gt;0,SUM(($C$11:C331&lt;&gt;0)*1),"")</f>
        <v/>
      </c>
      <c r="B331" s="315"/>
      <c r="C331" s="315"/>
      <c r="D331" s="315"/>
      <c r="E331" s="433"/>
      <c r="F331" s="371"/>
      <c r="G331" s="373"/>
      <c r="H331" s="373"/>
      <c r="I331" s="63" t="str">
        <f t="shared" si="264"/>
        <v/>
      </c>
      <c r="J331" s="317">
        <f t="shared" si="226"/>
        <v>0</v>
      </c>
      <c r="K331" s="317">
        <f t="shared" si="227"/>
        <v>0</v>
      </c>
      <c r="L331" s="317">
        <f t="shared" si="238"/>
        <v>0</v>
      </c>
      <c r="M331" s="317">
        <f t="shared" si="239"/>
        <v>0</v>
      </c>
      <c r="N331" s="317">
        <f t="shared" si="220"/>
        <v>0</v>
      </c>
      <c r="O331" s="317">
        <f t="shared" si="221"/>
        <v>0</v>
      </c>
      <c r="P331" s="317">
        <f t="shared" si="240"/>
        <v>0</v>
      </c>
      <c r="Q331" s="317">
        <f t="shared" si="241"/>
        <v>0</v>
      </c>
      <c r="R331" s="317">
        <f t="shared" si="242"/>
        <v>0</v>
      </c>
      <c r="S331" s="317">
        <f t="shared" si="243"/>
        <v>0</v>
      </c>
      <c r="T331" s="317">
        <f t="shared" si="222"/>
        <v>0</v>
      </c>
      <c r="U331" s="317">
        <f t="shared" si="223"/>
        <v>0</v>
      </c>
      <c r="V331" s="317">
        <f t="shared" si="244"/>
        <v>0</v>
      </c>
      <c r="W331" s="317">
        <f t="shared" si="245"/>
        <v>0</v>
      </c>
      <c r="X331" s="317">
        <f t="shared" si="246"/>
        <v>0</v>
      </c>
      <c r="Y331" s="317">
        <f t="shared" si="247"/>
        <v>0</v>
      </c>
      <c r="Z331" s="317">
        <f t="shared" si="228"/>
        <v>0</v>
      </c>
      <c r="AA331" s="317">
        <f t="shared" si="229"/>
        <v>0</v>
      </c>
      <c r="AB331" s="317">
        <f t="shared" si="248"/>
        <v>0</v>
      </c>
      <c r="AC331" s="317">
        <f t="shared" si="249"/>
        <v>0</v>
      </c>
      <c r="AD331" s="317">
        <f t="shared" si="230"/>
        <v>0</v>
      </c>
      <c r="AE331" s="317">
        <f t="shared" si="231"/>
        <v>0</v>
      </c>
      <c r="AF331" s="317">
        <f t="shared" si="224"/>
        <v>0</v>
      </c>
      <c r="AG331" s="317">
        <f t="shared" si="225"/>
        <v>0</v>
      </c>
      <c r="AH331" s="317">
        <f t="shared" si="250"/>
        <v>0</v>
      </c>
      <c r="AI331" s="317">
        <f t="shared" si="251"/>
        <v>0</v>
      </c>
      <c r="AJ331" s="317">
        <f t="shared" si="252"/>
        <v>0</v>
      </c>
      <c r="AK331" s="317">
        <f t="shared" si="253"/>
        <v>0</v>
      </c>
      <c r="AL331" s="317">
        <f t="shared" si="254"/>
        <v>0</v>
      </c>
      <c r="AM331" s="317">
        <f t="shared" si="255"/>
        <v>0</v>
      </c>
      <c r="AN331" s="317">
        <f t="shared" si="256"/>
        <v>0</v>
      </c>
      <c r="AO331" s="317">
        <f t="shared" si="257"/>
        <v>0</v>
      </c>
      <c r="AP331" s="317">
        <f t="shared" si="258"/>
        <v>0</v>
      </c>
      <c r="AQ331" s="317">
        <f t="shared" si="259"/>
        <v>0</v>
      </c>
      <c r="AR331" s="317">
        <f t="shared" si="232"/>
        <v>0</v>
      </c>
      <c r="AS331" s="317">
        <f t="shared" si="233"/>
        <v>0</v>
      </c>
      <c r="AT331" s="317">
        <f t="shared" si="260"/>
        <v>0</v>
      </c>
      <c r="AU331" s="317">
        <f t="shared" si="261"/>
        <v>0</v>
      </c>
      <c r="AV331" s="317">
        <f t="shared" si="262"/>
        <v>0</v>
      </c>
      <c r="AW331" s="317">
        <f t="shared" si="263"/>
        <v>0</v>
      </c>
      <c r="AX331" s="317">
        <f t="shared" si="234"/>
        <v>0</v>
      </c>
      <c r="AY331" s="317">
        <f t="shared" si="235"/>
        <v>0</v>
      </c>
      <c r="AZ331" s="317">
        <f t="shared" si="236"/>
        <v>0</v>
      </c>
      <c r="BA331" s="317">
        <f t="shared" si="237"/>
        <v>0</v>
      </c>
    </row>
    <row r="332" spans="1:53" s="314" customFormat="1" ht="16.5" customHeight="1">
      <c r="A332" s="63" t="str">
        <f t="array" ref="A332">IF(C332&lt;&gt;0,SUM(($C$11:C332&lt;&gt;0)*1),"")</f>
        <v/>
      </c>
      <c r="B332" s="315"/>
      <c r="C332" s="315"/>
      <c r="D332" s="315"/>
      <c r="E332" s="433"/>
      <c r="F332" s="371"/>
      <c r="G332" s="373"/>
      <c r="H332" s="373"/>
      <c r="I332" s="63" t="str">
        <f t="shared" si="264"/>
        <v/>
      </c>
      <c r="J332" s="317">
        <f t="shared" si="226"/>
        <v>0</v>
      </c>
      <c r="K332" s="317">
        <f t="shared" si="227"/>
        <v>0</v>
      </c>
      <c r="L332" s="317">
        <f t="shared" si="238"/>
        <v>0</v>
      </c>
      <c r="M332" s="317">
        <f t="shared" si="239"/>
        <v>0</v>
      </c>
      <c r="N332" s="317">
        <f t="shared" ref="N332:N355" si="265">IF($G332="1122",$F332,0)</f>
        <v>0</v>
      </c>
      <c r="O332" s="317">
        <f t="shared" ref="O332:O355" si="266">IF($H332="1122",$F332,0)</f>
        <v>0</v>
      </c>
      <c r="P332" s="317">
        <f t="shared" si="240"/>
        <v>0</v>
      </c>
      <c r="Q332" s="317">
        <f t="shared" si="241"/>
        <v>0</v>
      </c>
      <c r="R332" s="317">
        <f t="shared" si="242"/>
        <v>0</v>
      </c>
      <c r="S332" s="317">
        <f t="shared" si="243"/>
        <v>0</v>
      </c>
      <c r="T332" s="317">
        <f t="shared" si="222"/>
        <v>0</v>
      </c>
      <c r="U332" s="317">
        <f t="shared" si="223"/>
        <v>0</v>
      </c>
      <c r="V332" s="317">
        <f t="shared" si="244"/>
        <v>0</v>
      </c>
      <c r="W332" s="317">
        <f t="shared" si="245"/>
        <v>0</v>
      </c>
      <c r="X332" s="317">
        <f t="shared" si="246"/>
        <v>0</v>
      </c>
      <c r="Y332" s="317">
        <f t="shared" si="247"/>
        <v>0</v>
      </c>
      <c r="Z332" s="317">
        <f t="shared" si="228"/>
        <v>0</v>
      </c>
      <c r="AA332" s="317">
        <f t="shared" si="229"/>
        <v>0</v>
      </c>
      <c r="AB332" s="317">
        <f t="shared" si="248"/>
        <v>0</v>
      </c>
      <c r="AC332" s="317">
        <f t="shared" si="249"/>
        <v>0</v>
      </c>
      <c r="AD332" s="317">
        <f t="shared" si="230"/>
        <v>0</v>
      </c>
      <c r="AE332" s="317">
        <f t="shared" si="231"/>
        <v>0</v>
      </c>
      <c r="AF332" s="317">
        <f t="shared" ref="AF332:AF355" si="267">IF($G332="3412",$F332,0)</f>
        <v>0</v>
      </c>
      <c r="AG332" s="317">
        <f t="shared" ref="AG332:AG355" si="268">IF($H332="3412",$F332,0)</f>
        <v>0</v>
      </c>
      <c r="AH332" s="317">
        <f t="shared" si="250"/>
        <v>0</v>
      </c>
      <c r="AI332" s="317">
        <f t="shared" si="251"/>
        <v>0</v>
      </c>
      <c r="AJ332" s="317">
        <f t="shared" si="252"/>
        <v>0</v>
      </c>
      <c r="AK332" s="317">
        <f t="shared" si="253"/>
        <v>0</v>
      </c>
      <c r="AL332" s="317">
        <f t="shared" si="254"/>
        <v>0</v>
      </c>
      <c r="AM332" s="317">
        <f t="shared" si="255"/>
        <v>0</v>
      </c>
      <c r="AN332" s="317">
        <f t="shared" si="256"/>
        <v>0</v>
      </c>
      <c r="AO332" s="317">
        <f t="shared" si="257"/>
        <v>0</v>
      </c>
      <c r="AP332" s="317">
        <f t="shared" si="258"/>
        <v>0</v>
      </c>
      <c r="AQ332" s="317">
        <f t="shared" si="259"/>
        <v>0</v>
      </c>
      <c r="AR332" s="317">
        <f t="shared" si="232"/>
        <v>0</v>
      </c>
      <c r="AS332" s="317">
        <f t="shared" si="233"/>
        <v>0</v>
      </c>
      <c r="AT332" s="317">
        <f t="shared" si="260"/>
        <v>0</v>
      </c>
      <c r="AU332" s="317">
        <f t="shared" si="261"/>
        <v>0</v>
      </c>
      <c r="AV332" s="317">
        <f t="shared" si="262"/>
        <v>0</v>
      </c>
      <c r="AW332" s="317">
        <f t="shared" si="263"/>
        <v>0</v>
      </c>
      <c r="AX332" s="317">
        <f t="shared" si="234"/>
        <v>0</v>
      </c>
      <c r="AY332" s="317">
        <f t="shared" si="235"/>
        <v>0</v>
      </c>
      <c r="AZ332" s="317">
        <f t="shared" si="236"/>
        <v>0</v>
      </c>
      <c r="BA332" s="317">
        <f t="shared" si="237"/>
        <v>0</v>
      </c>
    </row>
    <row r="333" spans="1:53" s="314" customFormat="1" ht="16.5" customHeight="1">
      <c r="A333" s="63" t="str">
        <f t="array" ref="A333">IF(C333&lt;&gt;0,SUM(($C$11:C333&lt;&gt;0)*1),"")</f>
        <v/>
      </c>
      <c r="B333" s="315"/>
      <c r="C333" s="315"/>
      <c r="D333" s="315"/>
      <c r="E333" s="433"/>
      <c r="F333" s="371"/>
      <c r="G333" s="373"/>
      <c r="H333" s="373"/>
      <c r="I333" s="63" t="str">
        <f t="shared" si="264"/>
        <v/>
      </c>
      <c r="J333" s="317">
        <f t="shared" si="226"/>
        <v>0</v>
      </c>
      <c r="K333" s="317">
        <f t="shared" si="227"/>
        <v>0</v>
      </c>
      <c r="L333" s="317">
        <f t="shared" si="238"/>
        <v>0</v>
      </c>
      <c r="M333" s="317">
        <f t="shared" si="239"/>
        <v>0</v>
      </c>
      <c r="N333" s="317">
        <f t="shared" si="265"/>
        <v>0</v>
      </c>
      <c r="O333" s="317">
        <f t="shared" si="266"/>
        <v>0</v>
      </c>
      <c r="P333" s="317">
        <f t="shared" si="240"/>
        <v>0</v>
      </c>
      <c r="Q333" s="317">
        <f t="shared" si="241"/>
        <v>0</v>
      </c>
      <c r="R333" s="317">
        <f t="shared" si="242"/>
        <v>0</v>
      </c>
      <c r="S333" s="317">
        <f t="shared" si="243"/>
        <v>0</v>
      </c>
      <c r="T333" s="317">
        <f t="shared" si="222"/>
        <v>0</v>
      </c>
      <c r="U333" s="317">
        <f t="shared" si="223"/>
        <v>0</v>
      </c>
      <c r="V333" s="317">
        <f t="shared" si="244"/>
        <v>0</v>
      </c>
      <c r="W333" s="317">
        <f t="shared" si="245"/>
        <v>0</v>
      </c>
      <c r="X333" s="317">
        <f t="shared" si="246"/>
        <v>0</v>
      </c>
      <c r="Y333" s="317">
        <f t="shared" si="247"/>
        <v>0</v>
      </c>
      <c r="Z333" s="317">
        <f t="shared" si="228"/>
        <v>0</v>
      </c>
      <c r="AA333" s="317">
        <f t="shared" si="229"/>
        <v>0</v>
      </c>
      <c r="AB333" s="317">
        <f t="shared" si="248"/>
        <v>0</v>
      </c>
      <c r="AC333" s="317">
        <f t="shared" si="249"/>
        <v>0</v>
      </c>
      <c r="AD333" s="317">
        <f t="shared" si="230"/>
        <v>0</v>
      </c>
      <c r="AE333" s="317">
        <f t="shared" si="231"/>
        <v>0</v>
      </c>
      <c r="AF333" s="317">
        <f t="shared" si="267"/>
        <v>0</v>
      </c>
      <c r="AG333" s="317">
        <f t="shared" si="268"/>
        <v>0</v>
      </c>
      <c r="AH333" s="317">
        <f t="shared" si="250"/>
        <v>0</v>
      </c>
      <c r="AI333" s="317">
        <f t="shared" si="251"/>
        <v>0</v>
      </c>
      <c r="AJ333" s="317">
        <f t="shared" si="252"/>
        <v>0</v>
      </c>
      <c r="AK333" s="317">
        <f t="shared" si="253"/>
        <v>0</v>
      </c>
      <c r="AL333" s="317">
        <f t="shared" si="254"/>
        <v>0</v>
      </c>
      <c r="AM333" s="317">
        <f t="shared" si="255"/>
        <v>0</v>
      </c>
      <c r="AN333" s="317">
        <f t="shared" si="256"/>
        <v>0</v>
      </c>
      <c r="AO333" s="317">
        <f t="shared" si="257"/>
        <v>0</v>
      </c>
      <c r="AP333" s="317">
        <f t="shared" si="258"/>
        <v>0</v>
      </c>
      <c r="AQ333" s="317">
        <f t="shared" si="259"/>
        <v>0</v>
      </c>
      <c r="AR333" s="317">
        <f t="shared" si="232"/>
        <v>0</v>
      </c>
      <c r="AS333" s="317">
        <f t="shared" si="233"/>
        <v>0</v>
      </c>
      <c r="AT333" s="317">
        <f t="shared" si="260"/>
        <v>0</v>
      </c>
      <c r="AU333" s="317">
        <f t="shared" si="261"/>
        <v>0</v>
      </c>
      <c r="AV333" s="317">
        <f t="shared" si="262"/>
        <v>0</v>
      </c>
      <c r="AW333" s="317">
        <f t="shared" si="263"/>
        <v>0</v>
      </c>
      <c r="AX333" s="317">
        <f t="shared" si="234"/>
        <v>0</v>
      </c>
      <c r="AY333" s="317">
        <f t="shared" si="235"/>
        <v>0</v>
      </c>
      <c r="AZ333" s="317">
        <f t="shared" si="236"/>
        <v>0</v>
      </c>
      <c r="BA333" s="317">
        <f t="shared" si="237"/>
        <v>0</v>
      </c>
    </row>
    <row r="334" spans="1:53" s="314" customFormat="1" ht="16.5" customHeight="1">
      <c r="A334" s="63" t="str">
        <f t="array" ref="A334">IF(C334&lt;&gt;0,SUM(($C$11:C334&lt;&gt;0)*1),"")</f>
        <v/>
      </c>
      <c r="B334" s="315"/>
      <c r="C334" s="315"/>
      <c r="D334" s="315"/>
      <c r="E334" s="433"/>
      <c r="F334" s="371"/>
      <c r="G334" s="373"/>
      <c r="H334" s="373"/>
      <c r="I334" s="63" t="str">
        <f t="shared" si="264"/>
        <v/>
      </c>
      <c r="J334" s="317">
        <f t="shared" si="226"/>
        <v>0</v>
      </c>
      <c r="K334" s="317">
        <f t="shared" si="227"/>
        <v>0</v>
      </c>
      <c r="L334" s="317">
        <f t="shared" si="238"/>
        <v>0</v>
      </c>
      <c r="M334" s="317">
        <f t="shared" si="239"/>
        <v>0</v>
      </c>
      <c r="N334" s="317">
        <f t="shared" si="265"/>
        <v>0</v>
      </c>
      <c r="O334" s="317">
        <f t="shared" si="266"/>
        <v>0</v>
      </c>
      <c r="P334" s="317">
        <f t="shared" si="240"/>
        <v>0</v>
      </c>
      <c r="Q334" s="317">
        <f t="shared" si="241"/>
        <v>0</v>
      </c>
      <c r="R334" s="317">
        <f t="shared" si="242"/>
        <v>0</v>
      </c>
      <c r="S334" s="317">
        <f t="shared" si="243"/>
        <v>0</v>
      </c>
      <c r="T334" s="317">
        <f t="shared" si="222"/>
        <v>0</v>
      </c>
      <c r="U334" s="317">
        <f t="shared" si="223"/>
        <v>0</v>
      </c>
      <c r="V334" s="317">
        <f t="shared" si="244"/>
        <v>0</v>
      </c>
      <c r="W334" s="317">
        <f t="shared" si="245"/>
        <v>0</v>
      </c>
      <c r="X334" s="317">
        <f t="shared" si="246"/>
        <v>0</v>
      </c>
      <c r="Y334" s="317">
        <f t="shared" si="247"/>
        <v>0</v>
      </c>
      <c r="Z334" s="317">
        <f t="shared" si="228"/>
        <v>0</v>
      </c>
      <c r="AA334" s="317">
        <f t="shared" si="229"/>
        <v>0</v>
      </c>
      <c r="AB334" s="317">
        <f t="shared" si="248"/>
        <v>0</v>
      </c>
      <c r="AC334" s="317">
        <f t="shared" si="249"/>
        <v>0</v>
      </c>
      <c r="AD334" s="317">
        <f t="shared" si="230"/>
        <v>0</v>
      </c>
      <c r="AE334" s="317">
        <f t="shared" si="231"/>
        <v>0</v>
      </c>
      <c r="AF334" s="317">
        <f t="shared" si="267"/>
        <v>0</v>
      </c>
      <c r="AG334" s="317">
        <f t="shared" si="268"/>
        <v>0</v>
      </c>
      <c r="AH334" s="317">
        <f t="shared" si="250"/>
        <v>0</v>
      </c>
      <c r="AI334" s="317">
        <f t="shared" si="251"/>
        <v>0</v>
      </c>
      <c r="AJ334" s="317">
        <f t="shared" si="252"/>
        <v>0</v>
      </c>
      <c r="AK334" s="317">
        <f t="shared" si="253"/>
        <v>0</v>
      </c>
      <c r="AL334" s="317">
        <f t="shared" si="254"/>
        <v>0</v>
      </c>
      <c r="AM334" s="317">
        <f t="shared" si="255"/>
        <v>0</v>
      </c>
      <c r="AN334" s="317">
        <f t="shared" si="256"/>
        <v>0</v>
      </c>
      <c r="AO334" s="317">
        <f t="shared" si="257"/>
        <v>0</v>
      </c>
      <c r="AP334" s="317">
        <f t="shared" si="258"/>
        <v>0</v>
      </c>
      <c r="AQ334" s="317">
        <f t="shared" si="259"/>
        <v>0</v>
      </c>
      <c r="AR334" s="317">
        <f t="shared" si="232"/>
        <v>0</v>
      </c>
      <c r="AS334" s="317">
        <f t="shared" si="233"/>
        <v>0</v>
      </c>
      <c r="AT334" s="317">
        <f t="shared" si="260"/>
        <v>0</v>
      </c>
      <c r="AU334" s="317">
        <f t="shared" si="261"/>
        <v>0</v>
      </c>
      <c r="AV334" s="317">
        <f t="shared" si="262"/>
        <v>0</v>
      </c>
      <c r="AW334" s="317">
        <f t="shared" si="263"/>
        <v>0</v>
      </c>
      <c r="AX334" s="317">
        <f t="shared" si="234"/>
        <v>0</v>
      </c>
      <c r="AY334" s="317">
        <f t="shared" si="235"/>
        <v>0</v>
      </c>
      <c r="AZ334" s="317">
        <f t="shared" si="236"/>
        <v>0</v>
      </c>
      <c r="BA334" s="317">
        <f t="shared" si="237"/>
        <v>0</v>
      </c>
    </row>
    <row r="335" spans="1:53" s="314" customFormat="1" ht="16.5" customHeight="1">
      <c r="A335" s="63" t="str">
        <f t="array" ref="A335">IF(C335&lt;&gt;0,SUM(($C$11:C335&lt;&gt;0)*1),"")</f>
        <v/>
      </c>
      <c r="B335" s="315"/>
      <c r="C335" s="315"/>
      <c r="D335" s="315"/>
      <c r="E335" s="433"/>
      <c r="F335" s="371"/>
      <c r="G335" s="373"/>
      <c r="H335" s="373"/>
      <c r="I335" s="63" t="str">
        <f t="shared" si="264"/>
        <v/>
      </c>
      <c r="J335" s="317">
        <f t="shared" si="226"/>
        <v>0</v>
      </c>
      <c r="K335" s="317">
        <f t="shared" si="227"/>
        <v>0</v>
      </c>
      <c r="L335" s="317">
        <f t="shared" si="238"/>
        <v>0</v>
      </c>
      <c r="M335" s="317">
        <f t="shared" si="239"/>
        <v>0</v>
      </c>
      <c r="N335" s="317">
        <f t="shared" si="265"/>
        <v>0</v>
      </c>
      <c r="O335" s="317">
        <f t="shared" si="266"/>
        <v>0</v>
      </c>
      <c r="P335" s="317">
        <f t="shared" si="240"/>
        <v>0</v>
      </c>
      <c r="Q335" s="317">
        <f t="shared" si="241"/>
        <v>0</v>
      </c>
      <c r="R335" s="317">
        <f t="shared" si="242"/>
        <v>0</v>
      </c>
      <c r="S335" s="317">
        <f t="shared" si="243"/>
        <v>0</v>
      </c>
      <c r="T335" s="317">
        <f t="shared" si="222"/>
        <v>0</v>
      </c>
      <c r="U335" s="317">
        <f t="shared" si="223"/>
        <v>0</v>
      </c>
      <c r="V335" s="317">
        <f t="shared" si="244"/>
        <v>0</v>
      </c>
      <c r="W335" s="317">
        <f t="shared" si="245"/>
        <v>0</v>
      </c>
      <c r="X335" s="317">
        <f t="shared" si="246"/>
        <v>0</v>
      </c>
      <c r="Y335" s="317">
        <f t="shared" si="247"/>
        <v>0</v>
      </c>
      <c r="Z335" s="317">
        <f t="shared" si="228"/>
        <v>0</v>
      </c>
      <c r="AA335" s="317">
        <f t="shared" si="229"/>
        <v>0</v>
      </c>
      <c r="AB335" s="317">
        <f t="shared" si="248"/>
        <v>0</v>
      </c>
      <c r="AC335" s="317">
        <f t="shared" si="249"/>
        <v>0</v>
      </c>
      <c r="AD335" s="317">
        <f t="shared" si="230"/>
        <v>0</v>
      </c>
      <c r="AE335" s="317">
        <f t="shared" si="231"/>
        <v>0</v>
      </c>
      <c r="AF335" s="317">
        <f t="shared" si="267"/>
        <v>0</v>
      </c>
      <c r="AG335" s="317">
        <f t="shared" si="268"/>
        <v>0</v>
      </c>
      <c r="AH335" s="317">
        <f t="shared" si="250"/>
        <v>0</v>
      </c>
      <c r="AI335" s="317">
        <f t="shared" si="251"/>
        <v>0</v>
      </c>
      <c r="AJ335" s="317">
        <f t="shared" si="252"/>
        <v>0</v>
      </c>
      <c r="AK335" s="317">
        <f t="shared" si="253"/>
        <v>0</v>
      </c>
      <c r="AL335" s="317">
        <f t="shared" si="254"/>
        <v>0</v>
      </c>
      <c r="AM335" s="317">
        <f t="shared" si="255"/>
        <v>0</v>
      </c>
      <c r="AN335" s="317">
        <f t="shared" si="256"/>
        <v>0</v>
      </c>
      <c r="AO335" s="317">
        <f t="shared" si="257"/>
        <v>0</v>
      </c>
      <c r="AP335" s="317">
        <f t="shared" si="258"/>
        <v>0</v>
      </c>
      <c r="AQ335" s="317">
        <f t="shared" si="259"/>
        <v>0</v>
      </c>
      <c r="AR335" s="317">
        <f t="shared" si="232"/>
        <v>0</v>
      </c>
      <c r="AS335" s="317">
        <f t="shared" si="233"/>
        <v>0</v>
      </c>
      <c r="AT335" s="317">
        <f t="shared" si="260"/>
        <v>0</v>
      </c>
      <c r="AU335" s="317">
        <f t="shared" si="261"/>
        <v>0</v>
      </c>
      <c r="AV335" s="317">
        <f t="shared" si="262"/>
        <v>0</v>
      </c>
      <c r="AW335" s="317">
        <f t="shared" si="263"/>
        <v>0</v>
      </c>
      <c r="AX335" s="317">
        <f t="shared" si="234"/>
        <v>0</v>
      </c>
      <c r="AY335" s="317">
        <f t="shared" si="235"/>
        <v>0</v>
      </c>
      <c r="AZ335" s="317">
        <f t="shared" si="236"/>
        <v>0</v>
      </c>
      <c r="BA335" s="317">
        <f t="shared" si="237"/>
        <v>0</v>
      </c>
    </row>
    <row r="336" spans="1:53" s="314" customFormat="1" ht="16.5" customHeight="1">
      <c r="A336" s="63" t="str">
        <f t="array" ref="A336">IF(C336&lt;&gt;0,SUM(($C$11:C336&lt;&gt;0)*1),"")</f>
        <v/>
      </c>
      <c r="B336" s="315"/>
      <c r="C336" s="315"/>
      <c r="D336" s="315"/>
      <c r="E336" s="433"/>
      <c r="F336" s="371"/>
      <c r="G336" s="373"/>
      <c r="H336" s="373"/>
      <c r="I336" s="63" t="str">
        <f t="shared" si="264"/>
        <v/>
      </c>
      <c r="J336" s="317">
        <f t="shared" si="226"/>
        <v>0</v>
      </c>
      <c r="K336" s="317">
        <f t="shared" si="227"/>
        <v>0</v>
      </c>
      <c r="L336" s="317">
        <f t="shared" si="238"/>
        <v>0</v>
      </c>
      <c r="M336" s="317">
        <f t="shared" si="239"/>
        <v>0</v>
      </c>
      <c r="N336" s="317">
        <f t="shared" si="265"/>
        <v>0</v>
      </c>
      <c r="O336" s="317">
        <f t="shared" si="266"/>
        <v>0</v>
      </c>
      <c r="P336" s="317">
        <f t="shared" si="240"/>
        <v>0</v>
      </c>
      <c r="Q336" s="317">
        <f t="shared" si="241"/>
        <v>0</v>
      </c>
      <c r="R336" s="317">
        <f t="shared" si="242"/>
        <v>0</v>
      </c>
      <c r="S336" s="317">
        <f t="shared" si="243"/>
        <v>0</v>
      </c>
      <c r="T336" s="317">
        <f t="shared" si="222"/>
        <v>0</v>
      </c>
      <c r="U336" s="317">
        <f t="shared" si="223"/>
        <v>0</v>
      </c>
      <c r="V336" s="317">
        <f t="shared" si="244"/>
        <v>0</v>
      </c>
      <c r="W336" s="317">
        <f t="shared" si="245"/>
        <v>0</v>
      </c>
      <c r="X336" s="317">
        <f t="shared" si="246"/>
        <v>0</v>
      </c>
      <c r="Y336" s="317">
        <f t="shared" si="247"/>
        <v>0</v>
      </c>
      <c r="Z336" s="317">
        <f t="shared" si="228"/>
        <v>0</v>
      </c>
      <c r="AA336" s="317">
        <f t="shared" si="229"/>
        <v>0</v>
      </c>
      <c r="AB336" s="317">
        <f t="shared" si="248"/>
        <v>0</v>
      </c>
      <c r="AC336" s="317">
        <f t="shared" si="249"/>
        <v>0</v>
      </c>
      <c r="AD336" s="317">
        <f t="shared" si="230"/>
        <v>0</v>
      </c>
      <c r="AE336" s="317">
        <f t="shared" si="231"/>
        <v>0</v>
      </c>
      <c r="AF336" s="317">
        <f t="shared" si="267"/>
        <v>0</v>
      </c>
      <c r="AG336" s="317">
        <f t="shared" si="268"/>
        <v>0</v>
      </c>
      <c r="AH336" s="317">
        <f t="shared" si="250"/>
        <v>0</v>
      </c>
      <c r="AI336" s="317">
        <f t="shared" si="251"/>
        <v>0</v>
      </c>
      <c r="AJ336" s="317">
        <f t="shared" si="252"/>
        <v>0</v>
      </c>
      <c r="AK336" s="317">
        <f t="shared" si="253"/>
        <v>0</v>
      </c>
      <c r="AL336" s="317">
        <f t="shared" si="254"/>
        <v>0</v>
      </c>
      <c r="AM336" s="317">
        <f t="shared" si="255"/>
        <v>0</v>
      </c>
      <c r="AN336" s="317">
        <f t="shared" si="256"/>
        <v>0</v>
      </c>
      <c r="AO336" s="317">
        <f t="shared" si="257"/>
        <v>0</v>
      </c>
      <c r="AP336" s="317">
        <f t="shared" si="258"/>
        <v>0</v>
      </c>
      <c r="AQ336" s="317">
        <f t="shared" si="259"/>
        <v>0</v>
      </c>
      <c r="AR336" s="317">
        <f t="shared" si="232"/>
        <v>0</v>
      </c>
      <c r="AS336" s="317">
        <f t="shared" si="233"/>
        <v>0</v>
      </c>
      <c r="AT336" s="317">
        <f t="shared" si="260"/>
        <v>0</v>
      </c>
      <c r="AU336" s="317">
        <f t="shared" si="261"/>
        <v>0</v>
      </c>
      <c r="AV336" s="317">
        <f t="shared" si="262"/>
        <v>0</v>
      </c>
      <c r="AW336" s="317">
        <f t="shared" si="263"/>
        <v>0</v>
      </c>
      <c r="AX336" s="317">
        <f t="shared" si="234"/>
        <v>0</v>
      </c>
      <c r="AY336" s="317">
        <f t="shared" si="235"/>
        <v>0</v>
      </c>
      <c r="AZ336" s="317">
        <f t="shared" si="236"/>
        <v>0</v>
      </c>
      <c r="BA336" s="317">
        <f t="shared" si="237"/>
        <v>0</v>
      </c>
    </row>
    <row r="337" spans="1:53" s="314" customFormat="1" ht="16.5" customHeight="1">
      <c r="A337" s="63" t="str">
        <f t="array" ref="A337">IF(C337&lt;&gt;0,SUM(($C$11:C337&lt;&gt;0)*1),"")</f>
        <v/>
      </c>
      <c r="B337" s="315"/>
      <c r="C337" s="315"/>
      <c r="D337" s="315"/>
      <c r="E337" s="433"/>
      <c r="F337" s="371"/>
      <c r="G337" s="373"/>
      <c r="H337" s="373"/>
      <c r="I337" s="63" t="str">
        <f t="shared" si="264"/>
        <v/>
      </c>
      <c r="J337" s="317">
        <f t="shared" si="226"/>
        <v>0</v>
      </c>
      <c r="K337" s="317">
        <f t="shared" si="227"/>
        <v>0</v>
      </c>
      <c r="L337" s="317">
        <f t="shared" si="238"/>
        <v>0</v>
      </c>
      <c r="M337" s="317">
        <f t="shared" si="239"/>
        <v>0</v>
      </c>
      <c r="N337" s="317">
        <f t="shared" si="265"/>
        <v>0</v>
      </c>
      <c r="O337" s="317">
        <f t="shared" si="266"/>
        <v>0</v>
      </c>
      <c r="P337" s="317">
        <f t="shared" si="240"/>
        <v>0</v>
      </c>
      <c r="Q337" s="317">
        <f t="shared" si="241"/>
        <v>0</v>
      </c>
      <c r="R337" s="317">
        <f t="shared" si="242"/>
        <v>0</v>
      </c>
      <c r="S337" s="317">
        <f t="shared" si="243"/>
        <v>0</v>
      </c>
      <c r="T337" s="317">
        <f t="shared" si="222"/>
        <v>0</v>
      </c>
      <c r="U337" s="317">
        <f t="shared" si="223"/>
        <v>0</v>
      </c>
      <c r="V337" s="317">
        <f t="shared" si="244"/>
        <v>0</v>
      </c>
      <c r="W337" s="317">
        <f t="shared" si="245"/>
        <v>0</v>
      </c>
      <c r="X337" s="317">
        <f t="shared" si="246"/>
        <v>0</v>
      </c>
      <c r="Y337" s="317">
        <f t="shared" si="247"/>
        <v>0</v>
      </c>
      <c r="Z337" s="317">
        <f t="shared" si="228"/>
        <v>0</v>
      </c>
      <c r="AA337" s="317">
        <f t="shared" si="229"/>
        <v>0</v>
      </c>
      <c r="AB337" s="317">
        <f t="shared" si="248"/>
        <v>0</v>
      </c>
      <c r="AC337" s="317">
        <f t="shared" si="249"/>
        <v>0</v>
      </c>
      <c r="AD337" s="317">
        <f t="shared" si="230"/>
        <v>0</v>
      </c>
      <c r="AE337" s="317">
        <f t="shared" si="231"/>
        <v>0</v>
      </c>
      <c r="AF337" s="317">
        <f t="shared" si="267"/>
        <v>0</v>
      </c>
      <c r="AG337" s="317">
        <f t="shared" si="268"/>
        <v>0</v>
      </c>
      <c r="AH337" s="317">
        <f t="shared" si="250"/>
        <v>0</v>
      </c>
      <c r="AI337" s="317">
        <f t="shared" si="251"/>
        <v>0</v>
      </c>
      <c r="AJ337" s="317">
        <f t="shared" si="252"/>
        <v>0</v>
      </c>
      <c r="AK337" s="317">
        <f t="shared" si="253"/>
        <v>0</v>
      </c>
      <c r="AL337" s="317">
        <f t="shared" si="254"/>
        <v>0</v>
      </c>
      <c r="AM337" s="317">
        <f t="shared" si="255"/>
        <v>0</v>
      </c>
      <c r="AN337" s="317">
        <f t="shared" si="256"/>
        <v>0</v>
      </c>
      <c r="AO337" s="317">
        <f t="shared" si="257"/>
        <v>0</v>
      </c>
      <c r="AP337" s="317">
        <f t="shared" si="258"/>
        <v>0</v>
      </c>
      <c r="AQ337" s="317">
        <f t="shared" si="259"/>
        <v>0</v>
      </c>
      <c r="AR337" s="317">
        <f t="shared" si="232"/>
        <v>0</v>
      </c>
      <c r="AS337" s="317">
        <f t="shared" si="233"/>
        <v>0</v>
      </c>
      <c r="AT337" s="317">
        <f t="shared" si="260"/>
        <v>0</v>
      </c>
      <c r="AU337" s="317">
        <f t="shared" si="261"/>
        <v>0</v>
      </c>
      <c r="AV337" s="317">
        <f t="shared" si="262"/>
        <v>0</v>
      </c>
      <c r="AW337" s="317">
        <f t="shared" si="263"/>
        <v>0</v>
      </c>
      <c r="AX337" s="317">
        <f t="shared" si="234"/>
        <v>0</v>
      </c>
      <c r="AY337" s="317">
        <f t="shared" si="235"/>
        <v>0</v>
      </c>
      <c r="AZ337" s="317">
        <f t="shared" si="236"/>
        <v>0</v>
      </c>
      <c r="BA337" s="317">
        <f t="shared" si="237"/>
        <v>0</v>
      </c>
    </row>
    <row r="338" spans="1:53" s="314" customFormat="1" ht="16.5" customHeight="1">
      <c r="A338" s="63" t="str">
        <f t="array" ref="A338">IF(C338&lt;&gt;0,SUM(($C$11:C338&lt;&gt;0)*1),"")</f>
        <v/>
      </c>
      <c r="B338" s="315"/>
      <c r="C338" s="315"/>
      <c r="D338" s="315"/>
      <c r="E338" s="433"/>
      <c r="F338" s="371"/>
      <c r="G338" s="373"/>
      <c r="H338" s="373"/>
      <c r="I338" s="63" t="str">
        <f t="shared" si="264"/>
        <v/>
      </c>
      <c r="J338" s="317">
        <f t="shared" si="226"/>
        <v>0</v>
      </c>
      <c r="K338" s="317">
        <f t="shared" si="227"/>
        <v>0</v>
      </c>
      <c r="L338" s="317">
        <f t="shared" si="238"/>
        <v>0</v>
      </c>
      <c r="M338" s="317">
        <f t="shared" si="239"/>
        <v>0</v>
      </c>
      <c r="N338" s="317">
        <f t="shared" si="265"/>
        <v>0</v>
      </c>
      <c r="O338" s="317">
        <f t="shared" si="266"/>
        <v>0</v>
      </c>
      <c r="P338" s="317">
        <f t="shared" si="240"/>
        <v>0</v>
      </c>
      <c r="Q338" s="317">
        <f t="shared" si="241"/>
        <v>0</v>
      </c>
      <c r="R338" s="317">
        <f t="shared" si="242"/>
        <v>0</v>
      </c>
      <c r="S338" s="317">
        <f t="shared" si="243"/>
        <v>0</v>
      </c>
      <c r="T338" s="317">
        <f t="shared" si="222"/>
        <v>0</v>
      </c>
      <c r="U338" s="317">
        <f t="shared" si="223"/>
        <v>0</v>
      </c>
      <c r="V338" s="317">
        <f t="shared" si="244"/>
        <v>0</v>
      </c>
      <c r="W338" s="317">
        <f t="shared" si="245"/>
        <v>0</v>
      </c>
      <c r="X338" s="317">
        <f t="shared" si="246"/>
        <v>0</v>
      </c>
      <c r="Y338" s="317">
        <f t="shared" si="247"/>
        <v>0</v>
      </c>
      <c r="Z338" s="317">
        <f t="shared" si="228"/>
        <v>0</v>
      </c>
      <c r="AA338" s="317">
        <f t="shared" si="229"/>
        <v>0</v>
      </c>
      <c r="AB338" s="317">
        <f t="shared" si="248"/>
        <v>0</v>
      </c>
      <c r="AC338" s="317">
        <f t="shared" si="249"/>
        <v>0</v>
      </c>
      <c r="AD338" s="317">
        <f t="shared" si="230"/>
        <v>0</v>
      </c>
      <c r="AE338" s="317">
        <f t="shared" si="231"/>
        <v>0</v>
      </c>
      <c r="AF338" s="317">
        <f t="shared" si="267"/>
        <v>0</v>
      </c>
      <c r="AG338" s="317">
        <f t="shared" si="268"/>
        <v>0</v>
      </c>
      <c r="AH338" s="317">
        <f t="shared" si="250"/>
        <v>0</v>
      </c>
      <c r="AI338" s="317">
        <f t="shared" si="251"/>
        <v>0</v>
      </c>
      <c r="AJ338" s="317">
        <f t="shared" si="252"/>
        <v>0</v>
      </c>
      <c r="AK338" s="317">
        <f t="shared" si="253"/>
        <v>0</v>
      </c>
      <c r="AL338" s="317">
        <f t="shared" si="254"/>
        <v>0</v>
      </c>
      <c r="AM338" s="317">
        <f t="shared" si="255"/>
        <v>0</v>
      </c>
      <c r="AN338" s="317">
        <f t="shared" si="256"/>
        <v>0</v>
      </c>
      <c r="AO338" s="317">
        <f t="shared" si="257"/>
        <v>0</v>
      </c>
      <c r="AP338" s="317">
        <f t="shared" si="258"/>
        <v>0</v>
      </c>
      <c r="AQ338" s="317">
        <f t="shared" si="259"/>
        <v>0</v>
      </c>
      <c r="AR338" s="317">
        <f t="shared" si="232"/>
        <v>0</v>
      </c>
      <c r="AS338" s="317">
        <f t="shared" si="233"/>
        <v>0</v>
      </c>
      <c r="AT338" s="317">
        <f t="shared" si="260"/>
        <v>0</v>
      </c>
      <c r="AU338" s="317">
        <f t="shared" si="261"/>
        <v>0</v>
      </c>
      <c r="AV338" s="317">
        <f t="shared" si="262"/>
        <v>0</v>
      </c>
      <c r="AW338" s="317">
        <f t="shared" si="263"/>
        <v>0</v>
      </c>
      <c r="AX338" s="317">
        <f t="shared" si="234"/>
        <v>0</v>
      </c>
      <c r="AY338" s="317">
        <f t="shared" si="235"/>
        <v>0</v>
      </c>
      <c r="AZ338" s="317">
        <f t="shared" si="236"/>
        <v>0</v>
      </c>
      <c r="BA338" s="317">
        <f t="shared" si="237"/>
        <v>0</v>
      </c>
    </row>
    <row r="339" spans="1:53" s="314" customFormat="1" ht="16.5" customHeight="1">
      <c r="A339" s="63" t="str">
        <f t="array" ref="A339">IF(C339&lt;&gt;0,SUM(($C$11:C339&lt;&gt;0)*1),"")</f>
        <v/>
      </c>
      <c r="B339" s="315"/>
      <c r="C339" s="315"/>
      <c r="D339" s="315"/>
      <c r="E339" s="433"/>
      <c r="F339" s="371"/>
      <c r="G339" s="373"/>
      <c r="H339" s="373"/>
      <c r="I339" s="63" t="str">
        <f t="shared" si="264"/>
        <v/>
      </c>
      <c r="J339" s="317">
        <f t="shared" si="226"/>
        <v>0</v>
      </c>
      <c r="K339" s="317">
        <f t="shared" si="227"/>
        <v>0</v>
      </c>
      <c r="L339" s="317">
        <f t="shared" si="238"/>
        <v>0</v>
      </c>
      <c r="M339" s="317">
        <f t="shared" si="239"/>
        <v>0</v>
      </c>
      <c r="N339" s="317">
        <f t="shared" si="265"/>
        <v>0</v>
      </c>
      <c r="O339" s="317">
        <f t="shared" si="266"/>
        <v>0</v>
      </c>
      <c r="P339" s="317">
        <f t="shared" si="240"/>
        <v>0</v>
      </c>
      <c r="Q339" s="317">
        <f t="shared" si="241"/>
        <v>0</v>
      </c>
      <c r="R339" s="317">
        <f t="shared" si="242"/>
        <v>0</v>
      </c>
      <c r="S339" s="317">
        <f t="shared" si="243"/>
        <v>0</v>
      </c>
      <c r="T339" s="317">
        <f t="shared" si="222"/>
        <v>0</v>
      </c>
      <c r="U339" s="317">
        <f t="shared" si="223"/>
        <v>0</v>
      </c>
      <c r="V339" s="317">
        <f t="shared" si="244"/>
        <v>0</v>
      </c>
      <c r="W339" s="317">
        <f t="shared" si="245"/>
        <v>0</v>
      </c>
      <c r="X339" s="317">
        <f t="shared" si="246"/>
        <v>0</v>
      </c>
      <c r="Y339" s="317">
        <f t="shared" si="247"/>
        <v>0</v>
      </c>
      <c r="Z339" s="317">
        <f t="shared" si="228"/>
        <v>0</v>
      </c>
      <c r="AA339" s="317">
        <f t="shared" si="229"/>
        <v>0</v>
      </c>
      <c r="AB339" s="317">
        <f t="shared" si="248"/>
        <v>0</v>
      </c>
      <c r="AC339" s="317">
        <f t="shared" si="249"/>
        <v>0</v>
      </c>
      <c r="AD339" s="317">
        <f t="shared" si="230"/>
        <v>0</v>
      </c>
      <c r="AE339" s="317">
        <f t="shared" si="231"/>
        <v>0</v>
      </c>
      <c r="AF339" s="317">
        <f t="shared" si="267"/>
        <v>0</v>
      </c>
      <c r="AG339" s="317">
        <f t="shared" si="268"/>
        <v>0</v>
      </c>
      <c r="AH339" s="317">
        <f t="shared" si="250"/>
        <v>0</v>
      </c>
      <c r="AI339" s="317">
        <f t="shared" si="251"/>
        <v>0</v>
      </c>
      <c r="AJ339" s="317">
        <f t="shared" si="252"/>
        <v>0</v>
      </c>
      <c r="AK339" s="317">
        <f t="shared" si="253"/>
        <v>0</v>
      </c>
      <c r="AL339" s="317">
        <f t="shared" si="254"/>
        <v>0</v>
      </c>
      <c r="AM339" s="317">
        <f t="shared" si="255"/>
        <v>0</v>
      </c>
      <c r="AN339" s="317">
        <f t="shared" si="256"/>
        <v>0</v>
      </c>
      <c r="AO339" s="317">
        <f t="shared" si="257"/>
        <v>0</v>
      </c>
      <c r="AP339" s="317">
        <f t="shared" si="258"/>
        <v>0</v>
      </c>
      <c r="AQ339" s="317">
        <f t="shared" si="259"/>
        <v>0</v>
      </c>
      <c r="AR339" s="317">
        <f t="shared" si="232"/>
        <v>0</v>
      </c>
      <c r="AS339" s="317">
        <f t="shared" si="233"/>
        <v>0</v>
      </c>
      <c r="AT339" s="317">
        <f t="shared" si="260"/>
        <v>0</v>
      </c>
      <c r="AU339" s="317">
        <f t="shared" si="261"/>
        <v>0</v>
      </c>
      <c r="AV339" s="317">
        <f t="shared" si="262"/>
        <v>0</v>
      </c>
      <c r="AW339" s="317">
        <f t="shared" si="263"/>
        <v>0</v>
      </c>
      <c r="AX339" s="317">
        <f t="shared" si="234"/>
        <v>0</v>
      </c>
      <c r="AY339" s="317">
        <f t="shared" si="235"/>
        <v>0</v>
      </c>
      <c r="AZ339" s="317">
        <f t="shared" si="236"/>
        <v>0</v>
      </c>
      <c r="BA339" s="317">
        <f t="shared" si="237"/>
        <v>0</v>
      </c>
    </row>
    <row r="340" spans="1:53" s="314" customFormat="1" ht="16.5" customHeight="1">
      <c r="A340" s="63" t="str">
        <f t="array" ref="A340">IF(C340&lt;&gt;0,SUM(($C$11:C340&lt;&gt;0)*1),"")</f>
        <v/>
      </c>
      <c r="B340" s="315"/>
      <c r="C340" s="315"/>
      <c r="D340" s="315"/>
      <c r="E340" s="433"/>
      <c r="F340" s="371"/>
      <c r="G340" s="373"/>
      <c r="H340" s="373"/>
      <c r="I340" s="63" t="str">
        <f t="shared" si="264"/>
        <v/>
      </c>
      <c r="J340" s="317">
        <f t="shared" si="226"/>
        <v>0</v>
      </c>
      <c r="K340" s="317">
        <f t="shared" si="227"/>
        <v>0</v>
      </c>
      <c r="L340" s="317">
        <f t="shared" si="238"/>
        <v>0</v>
      </c>
      <c r="M340" s="317">
        <f t="shared" si="239"/>
        <v>0</v>
      </c>
      <c r="N340" s="317">
        <f t="shared" si="265"/>
        <v>0</v>
      </c>
      <c r="O340" s="317">
        <f t="shared" si="266"/>
        <v>0</v>
      </c>
      <c r="P340" s="317">
        <f t="shared" si="240"/>
        <v>0</v>
      </c>
      <c r="Q340" s="317">
        <f t="shared" si="241"/>
        <v>0</v>
      </c>
      <c r="R340" s="317">
        <f t="shared" si="242"/>
        <v>0</v>
      </c>
      <c r="S340" s="317">
        <f t="shared" si="243"/>
        <v>0</v>
      </c>
      <c r="T340" s="317">
        <f t="shared" si="222"/>
        <v>0</v>
      </c>
      <c r="U340" s="317">
        <f t="shared" si="223"/>
        <v>0</v>
      </c>
      <c r="V340" s="317">
        <f t="shared" si="244"/>
        <v>0</v>
      </c>
      <c r="W340" s="317">
        <f t="shared" si="245"/>
        <v>0</v>
      </c>
      <c r="X340" s="317">
        <f t="shared" si="246"/>
        <v>0</v>
      </c>
      <c r="Y340" s="317">
        <f t="shared" si="247"/>
        <v>0</v>
      </c>
      <c r="Z340" s="317">
        <f t="shared" si="228"/>
        <v>0</v>
      </c>
      <c r="AA340" s="317">
        <f t="shared" si="229"/>
        <v>0</v>
      </c>
      <c r="AB340" s="317">
        <f t="shared" si="248"/>
        <v>0</v>
      </c>
      <c r="AC340" s="317">
        <f t="shared" si="249"/>
        <v>0</v>
      </c>
      <c r="AD340" s="317">
        <f t="shared" si="230"/>
        <v>0</v>
      </c>
      <c r="AE340" s="317">
        <f t="shared" si="231"/>
        <v>0</v>
      </c>
      <c r="AF340" s="317">
        <f t="shared" si="267"/>
        <v>0</v>
      </c>
      <c r="AG340" s="317">
        <f t="shared" si="268"/>
        <v>0</v>
      </c>
      <c r="AH340" s="317">
        <f t="shared" si="250"/>
        <v>0</v>
      </c>
      <c r="AI340" s="317">
        <f t="shared" si="251"/>
        <v>0</v>
      </c>
      <c r="AJ340" s="317">
        <f t="shared" si="252"/>
        <v>0</v>
      </c>
      <c r="AK340" s="317">
        <f t="shared" si="253"/>
        <v>0</v>
      </c>
      <c r="AL340" s="317">
        <f t="shared" si="254"/>
        <v>0</v>
      </c>
      <c r="AM340" s="317">
        <f t="shared" si="255"/>
        <v>0</v>
      </c>
      <c r="AN340" s="317">
        <f t="shared" si="256"/>
        <v>0</v>
      </c>
      <c r="AO340" s="317">
        <f t="shared" si="257"/>
        <v>0</v>
      </c>
      <c r="AP340" s="317">
        <f t="shared" si="258"/>
        <v>0</v>
      </c>
      <c r="AQ340" s="317">
        <f t="shared" si="259"/>
        <v>0</v>
      </c>
      <c r="AR340" s="317">
        <f t="shared" si="232"/>
        <v>0</v>
      </c>
      <c r="AS340" s="317">
        <f t="shared" si="233"/>
        <v>0</v>
      </c>
      <c r="AT340" s="317">
        <f t="shared" si="260"/>
        <v>0</v>
      </c>
      <c r="AU340" s="317">
        <f t="shared" si="261"/>
        <v>0</v>
      </c>
      <c r="AV340" s="317">
        <f t="shared" si="262"/>
        <v>0</v>
      </c>
      <c r="AW340" s="317">
        <f t="shared" si="263"/>
        <v>0</v>
      </c>
      <c r="AX340" s="317">
        <f t="shared" si="234"/>
        <v>0</v>
      </c>
      <c r="AY340" s="317">
        <f t="shared" si="235"/>
        <v>0</v>
      </c>
      <c r="AZ340" s="317">
        <f t="shared" si="236"/>
        <v>0</v>
      </c>
      <c r="BA340" s="317">
        <f t="shared" si="237"/>
        <v>0</v>
      </c>
    </row>
    <row r="341" spans="1:53" s="314" customFormat="1" ht="16.5" customHeight="1">
      <c r="A341" s="63" t="str">
        <f t="array" ref="A341">IF(C341&lt;&gt;0,SUM(($C$11:C341&lt;&gt;0)*1),"")</f>
        <v/>
      </c>
      <c r="B341" s="315"/>
      <c r="C341" s="315"/>
      <c r="D341" s="315"/>
      <c r="E341" s="433"/>
      <c r="F341" s="371"/>
      <c r="G341" s="373"/>
      <c r="H341" s="373"/>
      <c r="I341" s="63" t="str">
        <f t="shared" si="264"/>
        <v/>
      </c>
      <c r="J341" s="317">
        <f t="shared" si="226"/>
        <v>0</v>
      </c>
      <c r="K341" s="317">
        <f t="shared" si="227"/>
        <v>0</v>
      </c>
      <c r="L341" s="317">
        <f t="shared" si="238"/>
        <v>0</v>
      </c>
      <c r="M341" s="317">
        <f t="shared" si="239"/>
        <v>0</v>
      </c>
      <c r="N341" s="317">
        <f t="shared" si="265"/>
        <v>0</v>
      </c>
      <c r="O341" s="317">
        <f t="shared" si="266"/>
        <v>0</v>
      </c>
      <c r="P341" s="317">
        <f t="shared" si="240"/>
        <v>0</v>
      </c>
      <c r="Q341" s="317">
        <f t="shared" si="241"/>
        <v>0</v>
      </c>
      <c r="R341" s="317">
        <f t="shared" si="242"/>
        <v>0</v>
      </c>
      <c r="S341" s="317">
        <f t="shared" si="243"/>
        <v>0</v>
      </c>
      <c r="T341" s="317">
        <f t="shared" si="222"/>
        <v>0</v>
      </c>
      <c r="U341" s="317">
        <f t="shared" si="223"/>
        <v>0</v>
      </c>
      <c r="V341" s="317">
        <f t="shared" si="244"/>
        <v>0</v>
      </c>
      <c r="W341" s="317">
        <f t="shared" si="245"/>
        <v>0</v>
      </c>
      <c r="X341" s="317">
        <f t="shared" si="246"/>
        <v>0</v>
      </c>
      <c r="Y341" s="317">
        <f t="shared" si="247"/>
        <v>0</v>
      </c>
      <c r="Z341" s="317">
        <f t="shared" si="228"/>
        <v>0</v>
      </c>
      <c r="AA341" s="317">
        <f t="shared" si="229"/>
        <v>0</v>
      </c>
      <c r="AB341" s="317">
        <f t="shared" si="248"/>
        <v>0</v>
      </c>
      <c r="AC341" s="317">
        <f t="shared" si="249"/>
        <v>0</v>
      </c>
      <c r="AD341" s="317">
        <f t="shared" si="230"/>
        <v>0</v>
      </c>
      <c r="AE341" s="317">
        <f t="shared" si="231"/>
        <v>0</v>
      </c>
      <c r="AF341" s="317">
        <f t="shared" si="267"/>
        <v>0</v>
      </c>
      <c r="AG341" s="317">
        <f t="shared" si="268"/>
        <v>0</v>
      </c>
      <c r="AH341" s="317">
        <f t="shared" si="250"/>
        <v>0</v>
      </c>
      <c r="AI341" s="317">
        <f t="shared" si="251"/>
        <v>0</v>
      </c>
      <c r="AJ341" s="317">
        <f t="shared" si="252"/>
        <v>0</v>
      </c>
      <c r="AK341" s="317">
        <f t="shared" si="253"/>
        <v>0</v>
      </c>
      <c r="AL341" s="317">
        <f t="shared" si="254"/>
        <v>0</v>
      </c>
      <c r="AM341" s="317">
        <f t="shared" si="255"/>
        <v>0</v>
      </c>
      <c r="AN341" s="317">
        <f t="shared" si="256"/>
        <v>0</v>
      </c>
      <c r="AO341" s="317">
        <f t="shared" si="257"/>
        <v>0</v>
      </c>
      <c r="AP341" s="317">
        <f t="shared" si="258"/>
        <v>0</v>
      </c>
      <c r="AQ341" s="317">
        <f t="shared" si="259"/>
        <v>0</v>
      </c>
      <c r="AR341" s="317">
        <f t="shared" si="232"/>
        <v>0</v>
      </c>
      <c r="AS341" s="317">
        <f t="shared" si="233"/>
        <v>0</v>
      </c>
      <c r="AT341" s="317">
        <f t="shared" si="260"/>
        <v>0</v>
      </c>
      <c r="AU341" s="317">
        <f t="shared" si="261"/>
        <v>0</v>
      </c>
      <c r="AV341" s="317">
        <f t="shared" si="262"/>
        <v>0</v>
      </c>
      <c r="AW341" s="317">
        <f t="shared" si="263"/>
        <v>0</v>
      </c>
      <c r="AX341" s="317">
        <f t="shared" si="234"/>
        <v>0</v>
      </c>
      <c r="AY341" s="317">
        <f t="shared" si="235"/>
        <v>0</v>
      </c>
      <c r="AZ341" s="317">
        <f t="shared" si="236"/>
        <v>0</v>
      </c>
      <c r="BA341" s="317">
        <f t="shared" si="237"/>
        <v>0</v>
      </c>
    </row>
    <row r="342" spans="1:53" s="314" customFormat="1" ht="16.5" customHeight="1">
      <c r="A342" s="63" t="str">
        <f t="array" ref="A342">IF(C342&lt;&gt;0,SUM(($C$11:C342&lt;&gt;0)*1),"")</f>
        <v/>
      </c>
      <c r="B342" s="315"/>
      <c r="C342" s="315"/>
      <c r="D342" s="315"/>
      <c r="E342" s="433"/>
      <c r="F342" s="371"/>
      <c r="G342" s="373"/>
      <c r="H342" s="373"/>
      <c r="I342" s="63" t="str">
        <f t="shared" si="264"/>
        <v/>
      </c>
      <c r="J342" s="317">
        <f t="shared" si="226"/>
        <v>0</v>
      </c>
      <c r="K342" s="317">
        <f t="shared" si="227"/>
        <v>0</v>
      </c>
      <c r="L342" s="317">
        <f t="shared" si="238"/>
        <v>0</v>
      </c>
      <c r="M342" s="317">
        <f t="shared" si="239"/>
        <v>0</v>
      </c>
      <c r="N342" s="317">
        <f t="shared" si="265"/>
        <v>0</v>
      </c>
      <c r="O342" s="317">
        <f t="shared" si="266"/>
        <v>0</v>
      </c>
      <c r="P342" s="317">
        <f t="shared" si="240"/>
        <v>0</v>
      </c>
      <c r="Q342" s="317">
        <f t="shared" si="241"/>
        <v>0</v>
      </c>
      <c r="R342" s="317">
        <f t="shared" si="242"/>
        <v>0</v>
      </c>
      <c r="S342" s="317">
        <f t="shared" si="243"/>
        <v>0</v>
      </c>
      <c r="T342" s="317">
        <f t="shared" si="222"/>
        <v>0</v>
      </c>
      <c r="U342" s="317">
        <f t="shared" si="223"/>
        <v>0</v>
      </c>
      <c r="V342" s="317">
        <f t="shared" si="244"/>
        <v>0</v>
      </c>
      <c r="W342" s="317">
        <f t="shared" si="245"/>
        <v>0</v>
      </c>
      <c r="X342" s="317">
        <f t="shared" si="246"/>
        <v>0</v>
      </c>
      <c r="Y342" s="317">
        <f t="shared" si="247"/>
        <v>0</v>
      </c>
      <c r="Z342" s="317">
        <f t="shared" si="228"/>
        <v>0</v>
      </c>
      <c r="AA342" s="317">
        <f t="shared" si="229"/>
        <v>0</v>
      </c>
      <c r="AB342" s="317">
        <f t="shared" si="248"/>
        <v>0</v>
      </c>
      <c r="AC342" s="317">
        <f t="shared" si="249"/>
        <v>0</v>
      </c>
      <c r="AD342" s="317">
        <f t="shared" si="230"/>
        <v>0</v>
      </c>
      <c r="AE342" s="317">
        <f t="shared" si="231"/>
        <v>0</v>
      </c>
      <c r="AF342" s="317">
        <f t="shared" si="267"/>
        <v>0</v>
      </c>
      <c r="AG342" s="317">
        <f t="shared" si="268"/>
        <v>0</v>
      </c>
      <c r="AH342" s="317">
        <f t="shared" si="250"/>
        <v>0</v>
      </c>
      <c r="AI342" s="317">
        <f t="shared" si="251"/>
        <v>0</v>
      </c>
      <c r="AJ342" s="317">
        <f t="shared" si="252"/>
        <v>0</v>
      </c>
      <c r="AK342" s="317">
        <f t="shared" si="253"/>
        <v>0</v>
      </c>
      <c r="AL342" s="317">
        <f t="shared" si="254"/>
        <v>0</v>
      </c>
      <c r="AM342" s="317">
        <f t="shared" si="255"/>
        <v>0</v>
      </c>
      <c r="AN342" s="317">
        <f t="shared" si="256"/>
        <v>0</v>
      </c>
      <c r="AO342" s="317">
        <f t="shared" si="257"/>
        <v>0</v>
      </c>
      <c r="AP342" s="317">
        <f t="shared" si="258"/>
        <v>0</v>
      </c>
      <c r="AQ342" s="317">
        <f t="shared" si="259"/>
        <v>0</v>
      </c>
      <c r="AR342" s="317">
        <f t="shared" si="232"/>
        <v>0</v>
      </c>
      <c r="AS342" s="317">
        <f t="shared" si="233"/>
        <v>0</v>
      </c>
      <c r="AT342" s="317">
        <f t="shared" si="260"/>
        <v>0</v>
      </c>
      <c r="AU342" s="317">
        <f t="shared" si="261"/>
        <v>0</v>
      </c>
      <c r="AV342" s="317">
        <f t="shared" si="262"/>
        <v>0</v>
      </c>
      <c r="AW342" s="317">
        <f t="shared" si="263"/>
        <v>0</v>
      </c>
      <c r="AX342" s="317">
        <f t="shared" si="234"/>
        <v>0</v>
      </c>
      <c r="AY342" s="317">
        <f t="shared" si="235"/>
        <v>0</v>
      </c>
      <c r="AZ342" s="317">
        <f t="shared" si="236"/>
        <v>0</v>
      </c>
      <c r="BA342" s="317">
        <f t="shared" si="237"/>
        <v>0</v>
      </c>
    </row>
    <row r="343" spans="1:53" s="314" customFormat="1" ht="16.5" customHeight="1">
      <c r="A343" s="63" t="str">
        <f t="array" ref="A343">IF(C343&lt;&gt;0,SUM(($C$11:C343&lt;&gt;0)*1),"")</f>
        <v/>
      </c>
      <c r="B343" s="315"/>
      <c r="C343" s="315"/>
      <c r="D343" s="315"/>
      <c r="E343" s="433"/>
      <c r="F343" s="371"/>
      <c r="G343" s="373"/>
      <c r="H343" s="373"/>
      <c r="I343" s="63" t="str">
        <f t="shared" si="264"/>
        <v/>
      </c>
      <c r="J343" s="317">
        <f t="shared" si="226"/>
        <v>0</v>
      </c>
      <c r="K343" s="317">
        <f t="shared" si="227"/>
        <v>0</v>
      </c>
      <c r="L343" s="317">
        <f t="shared" si="238"/>
        <v>0</v>
      </c>
      <c r="M343" s="317">
        <f t="shared" si="239"/>
        <v>0</v>
      </c>
      <c r="N343" s="317">
        <f t="shared" si="265"/>
        <v>0</v>
      </c>
      <c r="O343" s="317">
        <f t="shared" si="266"/>
        <v>0</v>
      </c>
      <c r="P343" s="317">
        <f t="shared" si="240"/>
        <v>0</v>
      </c>
      <c r="Q343" s="317">
        <f t="shared" si="241"/>
        <v>0</v>
      </c>
      <c r="R343" s="317">
        <f t="shared" si="242"/>
        <v>0</v>
      </c>
      <c r="S343" s="317">
        <f t="shared" si="243"/>
        <v>0</v>
      </c>
      <c r="T343" s="317">
        <f t="shared" si="222"/>
        <v>0</v>
      </c>
      <c r="U343" s="317">
        <f t="shared" si="223"/>
        <v>0</v>
      </c>
      <c r="V343" s="317">
        <f t="shared" si="244"/>
        <v>0</v>
      </c>
      <c r="W343" s="317">
        <f t="shared" si="245"/>
        <v>0</v>
      </c>
      <c r="X343" s="317">
        <f t="shared" si="246"/>
        <v>0</v>
      </c>
      <c r="Y343" s="317">
        <f t="shared" si="247"/>
        <v>0</v>
      </c>
      <c r="Z343" s="317">
        <f t="shared" si="228"/>
        <v>0</v>
      </c>
      <c r="AA343" s="317">
        <f t="shared" si="229"/>
        <v>0</v>
      </c>
      <c r="AB343" s="317">
        <f t="shared" si="248"/>
        <v>0</v>
      </c>
      <c r="AC343" s="317">
        <f t="shared" si="249"/>
        <v>0</v>
      </c>
      <c r="AD343" s="317">
        <f t="shared" si="230"/>
        <v>0</v>
      </c>
      <c r="AE343" s="317">
        <f t="shared" si="231"/>
        <v>0</v>
      </c>
      <c r="AF343" s="317">
        <f t="shared" si="267"/>
        <v>0</v>
      </c>
      <c r="AG343" s="317">
        <f t="shared" si="268"/>
        <v>0</v>
      </c>
      <c r="AH343" s="317">
        <f t="shared" si="250"/>
        <v>0</v>
      </c>
      <c r="AI343" s="317">
        <f t="shared" si="251"/>
        <v>0</v>
      </c>
      <c r="AJ343" s="317">
        <f t="shared" si="252"/>
        <v>0</v>
      </c>
      <c r="AK343" s="317">
        <f t="shared" si="253"/>
        <v>0</v>
      </c>
      <c r="AL343" s="317">
        <f t="shared" si="254"/>
        <v>0</v>
      </c>
      <c r="AM343" s="317">
        <f t="shared" si="255"/>
        <v>0</v>
      </c>
      <c r="AN343" s="317">
        <f t="shared" si="256"/>
        <v>0</v>
      </c>
      <c r="AO343" s="317">
        <f t="shared" si="257"/>
        <v>0</v>
      </c>
      <c r="AP343" s="317">
        <f t="shared" si="258"/>
        <v>0</v>
      </c>
      <c r="AQ343" s="317">
        <f t="shared" si="259"/>
        <v>0</v>
      </c>
      <c r="AR343" s="317">
        <f t="shared" si="232"/>
        <v>0</v>
      </c>
      <c r="AS343" s="317">
        <f t="shared" si="233"/>
        <v>0</v>
      </c>
      <c r="AT343" s="317">
        <f t="shared" si="260"/>
        <v>0</v>
      </c>
      <c r="AU343" s="317">
        <f t="shared" si="261"/>
        <v>0</v>
      </c>
      <c r="AV343" s="317">
        <f t="shared" si="262"/>
        <v>0</v>
      </c>
      <c r="AW343" s="317">
        <f t="shared" si="263"/>
        <v>0</v>
      </c>
      <c r="AX343" s="317">
        <f t="shared" si="234"/>
        <v>0</v>
      </c>
      <c r="AY343" s="317">
        <f t="shared" si="235"/>
        <v>0</v>
      </c>
      <c r="AZ343" s="317">
        <f t="shared" si="236"/>
        <v>0</v>
      </c>
      <c r="BA343" s="317">
        <f t="shared" si="237"/>
        <v>0</v>
      </c>
    </row>
    <row r="344" spans="1:53" s="314" customFormat="1" ht="16.5" customHeight="1">
      <c r="A344" s="63" t="str">
        <f t="array" ref="A344">IF(C344&lt;&gt;0,SUM(($C$11:C344&lt;&gt;0)*1),"")</f>
        <v/>
      </c>
      <c r="B344" s="315"/>
      <c r="C344" s="315"/>
      <c r="D344" s="315"/>
      <c r="E344" s="433"/>
      <c r="F344" s="371"/>
      <c r="G344" s="373"/>
      <c r="H344" s="373"/>
      <c r="I344" s="63" t="str">
        <f t="shared" si="264"/>
        <v/>
      </c>
      <c r="J344" s="317">
        <f t="shared" si="226"/>
        <v>0</v>
      </c>
      <c r="K344" s="317">
        <f t="shared" si="227"/>
        <v>0</v>
      </c>
      <c r="L344" s="317">
        <f t="shared" si="238"/>
        <v>0</v>
      </c>
      <c r="M344" s="317">
        <f t="shared" si="239"/>
        <v>0</v>
      </c>
      <c r="N344" s="317">
        <f t="shared" si="265"/>
        <v>0</v>
      </c>
      <c r="O344" s="317">
        <f t="shared" si="266"/>
        <v>0</v>
      </c>
      <c r="P344" s="317">
        <f t="shared" si="240"/>
        <v>0</v>
      </c>
      <c r="Q344" s="317">
        <f t="shared" si="241"/>
        <v>0</v>
      </c>
      <c r="R344" s="317">
        <f t="shared" si="242"/>
        <v>0</v>
      </c>
      <c r="S344" s="317">
        <f t="shared" si="243"/>
        <v>0</v>
      </c>
      <c r="T344" s="317">
        <f t="shared" si="222"/>
        <v>0</v>
      </c>
      <c r="U344" s="317">
        <f t="shared" si="223"/>
        <v>0</v>
      </c>
      <c r="V344" s="317">
        <f t="shared" si="244"/>
        <v>0</v>
      </c>
      <c r="W344" s="317">
        <f t="shared" si="245"/>
        <v>0</v>
      </c>
      <c r="X344" s="317">
        <f t="shared" si="246"/>
        <v>0</v>
      </c>
      <c r="Y344" s="317">
        <f t="shared" si="247"/>
        <v>0</v>
      </c>
      <c r="Z344" s="317">
        <f t="shared" si="228"/>
        <v>0</v>
      </c>
      <c r="AA344" s="317">
        <f t="shared" si="229"/>
        <v>0</v>
      </c>
      <c r="AB344" s="317">
        <f t="shared" si="248"/>
        <v>0</v>
      </c>
      <c r="AC344" s="317">
        <f t="shared" si="249"/>
        <v>0</v>
      </c>
      <c r="AD344" s="317">
        <f t="shared" si="230"/>
        <v>0</v>
      </c>
      <c r="AE344" s="317">
        <f t="shared" si="231"/>
        <v>0</v>
      </c>
      <c r="AF344" s="317">
        <f t="shared" si="267"/>
        <v>0</v>
      </c>
      <c r="AG344" s="317">
        <f t="shared" si="268"/>
        <v>0</v>
      </c>
      <c r="AH344" s="317">
        <f t="shared" si="250"/>
        <v>0</v>
      </c>
      <c r="AI344" s="317">
        <f t="shared" si="251"/>
        <v>0</v>
      </c>
      <c r="AJ344" s="317">
        <f t="shared" si="252"/>
        <v>0</v>
      </c>
      <c r="AK344" s="317">
        <f t="shared" si="253"/>
        <v>0</v>
      </c>
      <c r="AL344" s="317">
        <f t="shared" si="254"/>
        <v>0</v>
      </c>
      <c r="AM344" s="317">
        <f t="shared" si="255"/>
        <v>0</v>
      </c>
      <c r="AN344" s="317">
        <f t="shared" si="256"/>
        <v>0</v>
      </c>
      <c r="AO344" s="317">
        <f t="shared" si="257"/>
        <v>0</v>
      </c>
      <c r="AP344" s="317">
        <f t="shared" si="258"/>
        <v>0</v>
      </c>
      <c r="AQ344" s="317">
        <f t="shared" si="259"/>
        <v>0</v>
      </c>
      <c r="AR344" s="317">
        <f t="shared" si="232"/>
        <v>0</v>
      </c>
      <c r="AS344" s="317">
        <f t="shared" si="233"/>
        <v>0</v>
      </c>
      <c r="AT344" s="317">
        <f t="shared" si="260"/>
        <v>0</v>
      </c>
      <c r="AU344" s="317">
        <f t="shared" si="261"/>
        <v>0</v>
      </c>
      <c r="AV344" s="317">
        <f t="shared" si="262"/>
        <v>0</v>
      </c>
      <c r="AW344" s="317">
        <f t="shared" si="263"/>
        <v>0</v>
      </c>
      <c r="AX344" s="317">
        <f t="shared" si="234"/>
        <v>0</v>
      </c>
      <c r="AY344" s="317">
        <f t="shared" si="235"/>
        <v>0</v>
      </c>
      <c r="AZ344" s="317">
        <f t="shared" si="236"/>
        <v>0</v>
      </c>
      <c r="BA344" s="317">
        <f t="shared" si="237"/>
        <v>0</v>
      </c>
    </row>
    <row r="345" spans="1:53" s="314" customFormat="1" ht="16.5" customHeight="1">
      <c r="A345" s="63" t="str">
        <f t="array" ref="A345">IF(C345&lt;&gt;0,SUM(($C$11:C345&lt;&gt;0)*1),"")</f>
        <v/>
      </c>
      <c r="B345" s="315"/>
      <c r="C345" s="315"/>
      <c r="D345" s="315"/>
      <c r="E345" s="433"/>
      <c r="F345" s="371"/>
      <c r="G345" s="373"/>
      <c r="H345" s="373"/>
      <c r="I345" s="63" t="str">
        <f t="shared" si="264"/>
        <v/>
      </c>
      <c r="J345" s="317">
        <f t="shared" si="226"/>
        <v>0</v>
      </c>
      <c r="K345" s="317">
        <f t="shared" si="227"/>
        <v>0</v>
      </c>
      <c r="L345" s="317">
        <f t="shared" si="238"/>
        <v>0</v>
      </c>
      <c r="M345" s="317">
        <f t="shared" si="239"/>
        <v>0</v>
      </c>
      <c r="N345" s="317">
        <f t="shared" si="265"/>
        <v>0</v>
      </c>
      <c r="O345" s="317">
        <f t="shared" si="266"/>
        <v>0</v>
      </c>
      <c r="P345" s="317">
        <f t="shared" si="240"/>
        <v>0</v>
      </c>
      <c r="Q345" s="317">
        <f t="shared" si="241"/>
        <v>0</v>
      </c>
      <c r="R345" s="317">
        <f t="shared" si="242"/>
        <v>0</v>
      </c>
      <c r="S345" s="317">
        <f t="shared" si="243"/>
        <v>0</v>
      </c>
      <c r="T345" s="317">
        <f t="shared" si="222"/>
        <v>0</v>
      </c>
      <c r="U345" s="317">
        <f t="shared" si="223"/>
        <v>0</v>
      </c>
      <c r="V345" s="317">
        <f t="shared" si="244"/>
        <v>0</v>
      </c>
      <c r="W345" s="317">
        <f t="shared" si="245"/>
        <v>0</v>
      </c>
      <c r="X345" s="317">
        <f t="shared" si="246"/>
        <v>0</v>
      </c>
      <c r="Y345" s="317">
        <f t="shared" si="247"/>
        <v>0</v>
      </c>
      <c r="Z345" s="317">
        <f t="shared" si="228"/>
        <v>0</v>
      </c>
      <c r="AA345" s="317">
        <f t="shared" si="229"/>
        <v>0</v>
      </c>
      <c r="AB345" s="317">
        <f t="shared" si="248"/>
        <v>0</v>
      </c>
      <c r="AC345" s="317">
        <f t="shared" si="249"/>
        <v>0</v>
      </c>
      <c r="AD345" s="317">
        <f t="shared" si="230"/>
        <v>0</v>
      </c>
      <c r="AE345" s="317">
        <f t="shared" si="231"/>
        <v>0</v>
      </c>
      <c r="AF345" s="317">
        <f t="shared" si="267"/>
        <v>0</v>
      </c>
      <c r="AG345" s="317">
        <f t="shared" si="268"/>
        <v>0</v>
      </c>
      <c r="AH345" s="317">
        <f t="shared" si="250"/>
        <v>0</v>
      </c>
      <c r="AI345" s="317">
        <f t="shared" si="251"/>
        <v>0</v>
      </c>
      <c r="AJ345" s="317">
        <f t="shared" si="252"/>
        <v>0</v>
      </c>
      <c r="AK345" s="317">
        <f t="shared" si="253"/>
        <v>0</v>
      </c>
      <c r="AL345" s="317">
        <f t="shared" si="254"/>
        <v>0</v>
      </c>
      <c r="AM345" s="317">
        <f t="shared" si="255"/>
        <v>0</v>
      </c>
      <c r="AN345" s="317">
        <f t="shared" si="256"/>
        <v>0</v>
      </c>
      <c r="AO345" s="317">
        <f t="shared" si="257"/>
        <v>0</v>
      </c>
      <c r="AP345" s="317">
        <f t="shared" si="258"/>
        <v>0</v>
      </c>
      <c r="AQ345" s="317">
        <f t="shared" si="259"/>
        <v>0</v>
      </c>
      <c r="AR345" s="317">
        <f t="shared" si="232"/>
        <v>0</v>
      </c>
      <c r="AS345" s="317">
        <f t="shared" si="233"/>
        <v>0</v>
      </c>
      <c r="AT345" s="317">
        <f t="shared" si="260"/>
        <v>0</v>
      </c>
      <c r="AU345" s="317">
        <f t="shared" si="261"/>
        <v>0</v>
      </c>
      <c r="AV345" s="317">
        <f t="shared" si="262"/>
        <v>0</v>
      </c>
      <c r="AW345" s="317">
        <f t="shared" si="263"/>
        <v>0</v>
      </c>
      <c r="AX345" s="317">
        <f t="shared" si="234"/>
        <v>0</v>
      </c>
      <c r="AY345" s="317">
        <f t="shared" si="235"/>
        <v>0</v>
      </c>
      <c r="AZ345" s="317">
        <f t="shared" si="236"/>
        <v>0</v>
      </c>
      <c r="BA345" s="317">
        <f t="shared" si="237"/>
        <v>0</v>
      </c>
    </row>
    <row r="346" spans="1:53" s="314" customFormat="1" ht="16.5" customHeight="1">
      <c r="A346" s="63" t="str">
        <f t="array" ref="A346">IF(C346&lt;&gt;0,SUM(($C$11:C346&lt;&gt;0)*1),"")</f>
        <v/>
      </c>
      <c r="B346" s="315"/>
      <c r="C346" s="315"/>
      <c r="D346" s="315"/>
      <c r="E346" s="433"/>
      <c r="F346" s="371"/>
      <c r="G346" s="373"/>
      <c r="H346" s="373"/>
      <c r="I346" s="63" t="str">
        <f t="shared" si="264"/>
        <v/>
      </c>
      <c r="J346" s="317">
        <f t="shared" si="226"/>
        <v>0</v>
      </c>
      <c r="K346" s="317">
        <f t="shared" si="227"/>
        <v>0</v>
      </c>
      <c r="L346" s="317">
        <f t="shared" si="238"/>
        <v>0</v>
      </c>
      <c r="M346" s="317">
        <f t="shared" si="239"/>
        <v>0</v>
      </c>
      <c r="N346" s="317">
        <f t="shared" si="265"/>
        <v>0</v>
      </c>
      <c r="O346" s="317">
        <f t="shared" si="266"/>
        <v>0</v>
      </c>
      <c r="P346" s="317">
        <f t="shared" si="240"/>
        <v>0</v>
      </c>
      <c r="Q346" s="317">
        <f t="shared" si="241"/>
        <v>0</v>
      </c>
      <c r="R346" s="317">
        <f t="shared" si="242"/>
        <v>0</v>
      </c>
      <c r="S346" s="317">
        <f t="shared" si="243"/>
        <v>0</v>
      </c>
      <c r="T346" s="317">
        <f t="shared" si="222"/>
        <v>0</v>
      </c>
      <c r="U346" s="317">
        <f t="shared" si="223"/>
        <v>0</v>
      </c>
      <c r="V346" s="317">
        <f t="shared" si="244"/>
        <v>0</v>
      </c>
      <c r="W346" s="317">
        <f t="shared" si="245"/>
        <v>0</v>
      </c>
      <c r="X346" s="317">
        <f t="shared" si="246"/>
        <v>0</v>
      </c>
      <c r="Y346" s="317">
        <f t="shared" si="247"/>
        <v>0</v>
      </c>
      <c r="Z346" s="317">
        <f t="shared" si="228"/>
        <v>0</v>
      </c>
      <c r="AA346" s="317">
        <f t="shared" si="229"/>
        <v>0</v>
      </c>
      <c r="AB346" s="317">
        <f t="shared" si="248"/>
        <v>0</v>
      </c>
      <c r="AC346" s="317">
        <f t="shared" si="249"/>
        <v>0</v>
      </c>
      <c r="AD346" s="317">
        <f t="shared" si="230"/>
        <v>0</v>
      </c>
      <c r="AE346" s="317">
        <f t="shared" si="231"/>
        <v>0</v>
      </c>
      <c r="AF346" s="317">
        <f t="shared" si="267"/>
        <v>0</v>
      </c>
      <c r="AG346" s="317">
        <f t="shared" si="268"/>
        <v>0</v>
      </c>
      <c r="AH346" s="317">
        <f t="shared" si="250"/>
        <v>0</v>
      </c>
      <c r="AI346" s="317">
        <f t="shared" si="251"/>
        <v>0</v>
      </c>
      <c r="AJ346" s="317">
        <f t="shared" si="252"/>
        <v>0</v>
      </c>
      <c r="AK346" s="317">
        <f t="shared" si="253"/>
        <v>0</v>
      </c>
      <c r="AL346" s="317">
        <f t="shared" si="254"/>
        <v>0</v>
      </c>
      <c r="AM346" s="317">
        <f t="shared" si="255"/>
        <v>0</v>
      </c>
      <c r="AN346" s="317">
        <f t="shared" si="256"/>
        <v>0</v>
      </c>
      <c r="AO346" s="317">
        <f t="shared" si="257"/>
        <v>0</v>
      </c>
      <c r="AP346" s="317">
        <f t="shared" si="258"/>
        <v>0</v>
      </c>
      <c r="AQ346" s="317">
        <f t="shared" si="259"/>
        <v>0</v>
      </c>
      <c r="AR346" s="317">
        <f t="shared" si="232"/>
        <v>0</v>
      </c>
      <c r="AS346" s="317">
        <f t="shared" si="233"/>
        <v>0</v>
      </c>
      <c r="AT346" s="317">
        <f t="shared" si="260"/>
        <v>0</v>
      </c>
      <c r="AU346" s="317">
        <f t="shared" si="261"/>
        <v>0</v>
      </c>
      <c r="AV346" s="317">
        <f t="shared" si="262"/>
        <v>0</v>
      </c>
      <c r="AW346" s="317">
        <f t="shared" si="263"/>
        <v>0</v>
      </c>
      <c r="AX346" s="317">
        <f t="shared" si="234"/>
        <v>0</v>
      </c>
      <c r="AY346" s="317">
        <f t="shared" si="235"/>
        <v>0</v>
      </c>
      <c r="AZ346" s="317">
        <f t="shared" si="236"/>
        <v>0</v>
      </c>
      <c r="BA346" s="317">
        <f t="shared" si="237"/>
        <v>0</v>
      </c>
    </row>
    <row r="347" spans="1:53" s="314" customFormat="1" ht="16.5" customHeight="1">
      <c r="A347" s="63" t="str">
        <f t="array" ref="A347">IF(C347&lt;&gt;0,SUM(($C$11:C347&lt;&gt;0)*1),"")</f>
        <v/>
      </c>
      <c r="B347" s="315"/>
      <c r="C347" s="315"/>
      <c r="D347" s="315"/>
      <c r="E347" s="433"/>
      <c r="F347" s="371"/>
      <c r="G347" s="373"/>
      <c r="H347" s="373"/>
      <c r="I347" s="63" t="str">
        <f t="shared" si="264"/>
        <v/>
      </c>
      <c r="J347" s="317">
        <f t="shared" si="226"/>
        <v>0</v>
      </c>
      <c r="K347" s="317">
        <f t="shared" si="227"/>
        <v>0</v>
      </c>
      <c r="L347" s="317">
        <f t="shared" si="238"/>
        <v>0</v>
      </c>
      <c r="M347" s="317">
        <f t="shared" si="239"/>
        <v>0</v>
      </c>
      <c r="N347" s="317">
        <f t="shared" si="265"/>
        <v>0</v>
      </c>
      <c r="O347" s="317">
        <f t="shared" si="266"/>
        <v>0</v>
      </c>
      <c r="P347" s="317">
        <f t="shared" si="240"/>
        <v>0</v>
      </c>
      <c r="Q347" s="317">
        <f t="shared" si="241"/>
        <v>0</v>
      </c>
      <c r="R347" s="317">
        <f t="shared" si="242"/>
        <v>0</v>
      </c>
      <c r="S347" s="317">
        <f t="shared" si="243"/>
        <v>0</v>
      </c>
      <c r="T347" s="317">
        <f t="shared" si="222"/>
        <v>0</v>
      </c>
      <c r="U347" s="317">
        <f t="shared" si="223"/>
        <v>0</v>
      </c>
      <c r="V347" s="317">
        <f t="shared" si="244"/>
        <v>0</v>
      </c>
      <c r="W347" s="317">
        <f t="shared" si="245"/>
        <v>0</v>
      </c>
      <c r="X347" s="317">
        <f t="shared" si="246"/>
        <v>0</v>
      </c>
      <c r="Y347" s="317">
        <f t="shared" si="247"/>
        <v>0</v>
      </c>
      <c r="Z347" s="317">
        <f t="shared" si="228"/>
        <v>0</v>
      </c>
      <c r="AA347" s="317">
        <f t="shared" si="229"/>
        <v>0</v>
      </c>
      <c r="AB347" s="317">
        <f t="shared" si="248"/>
        <v>0</v>
      </c>
      <c r="AC347" s="317">
        <f t="shared" si="249"/>
        <v>0</v>
      </c>
      <c r="AD347" s="317">
        <f t="shared" si="230"/>
        <v>0</v>
      </c>
      <c r="AE347" s="317">
        <f t="shared" si="231"/>
        <v>0</v>
      </c>
      <c r="AF347" s="317">
        <f t="shared" si="267"/>
        <v>0</v>
      </c>
      <c r="AG347" s="317">
        <f t="shared" si="268"/>
        <v>0</v>
      </c>
      <c r="AH347" s="317">
        <f t="shared" si="250"/>
        <v>0</v>
      </c>
      <c r="AI347" s="317">
        <f t="shared" si="251"/>
        <v>0</v>
      </c>
      <c r="AJ347" s="317">
        <f t="shared" si="252"/>
        <v>0</v>
      </c>
      <c r="AK347" s="317">
        <f t="shared" si="253"/>
        <v>0</v>
      </c>
      <c r="AL347" s="317">
        <f t="shared" si="254"/>
        <v>0</v>
      </c>
      <c r="AM347" s="317">
        <f t="shared" si="255"/>
        <v>0</v>
      </c>
      <c r="AN347" s="317">
        <f t="shared" si="256"/>
        <v>0</v>
      </c>
      <c r="AO347" s="317">
        <f t="shared" si="257"/>
        <v>0</v>
      </c>
      <c r="AP347" s="317">
        <f t="shared" si="258"/>
        <v>0</v>
      </c>
      <c r="AQ347" s="317">
        <f t="shared" si="259"/>
        <v>0</v>
      </c>
      <c r="AR347" s="317">
        <f t="shared" si="232"/>
        <v>0</v>
      </c>
      <c r="AS347" s="317">
        <f t="shared" si="233"/>
        <v>0</v>
      </c>
      <c r="AT347" s="317">
        <f t="shared" si="260"/>
        <v>0</v>
      </c>
      <c r="AU347" s="317">
        <f t="shared" si="261"/>
        <v>0</v>
      </c>
      <c r="AV347" s="317">
        <f t="shared" si="262"/>
        <v>0</v>
      </c>
      <c r="AW347" s="317">
        <f t="shared" si="263"/>
        <v>0</v>
      </c>
      <c r="AX347" s="317">
        <f t="shared" si="234"/>
        <v>0</v>
      </c>
      <c r="AY347" s="317">
        <f t="shared" si="235"/>
        <v>0</v>
      </c>
      <c r="AZ347" s="317">
        <f t="shared" si="236"/>
        <v>0</v>
      </c>
      <c r="BA347" s="317">
        <f t="shared" si="237"/>
        <v>0</v>
      </c>
    </row>
    <row r="348" spans="1:53" s="314" customFormat="1" ht="16.5" customHeight="1">
      <c r="A348" s="63" t="str">
        <f t="array" ref="A348">IF(C348&lt;&gt;0,SUM(($C$11:C348&lt;&gt;0)*1),"")</f>
        <v/>
      </c>
      <c r="B348" s="315"/>
      <c r="C348" s="315"/>
      <c r="D348" s="315"/>
      <c r="E348" s="433"/>
      <c r="F348" s="371"/>
      <c r="G348" s="373"/>
      <c r="H348" s="373"/>
      <c r="I348" s="63" t="str">
        <f>A348</f>
        <v/>
      </c>
      <c r="J348" s="317">
        <f t="shared" si="226"/>
        <v>0</v>
      </c>
      <c r="K348" s="317">
        <f t="shared" si="227"/>
        <v>0</v>
      </c>
      <c r="L348" s="317">
        <f t="shared" si="238"/>
        <v>0</v>
      </c>
      <c r="M348" s="317">
        <f t="shared" si="239"/>
        <v>0</v>
      </c>
      <c r="N348" s="317">
        <f t="shared" si="265"/>
        <v>0</v>
      </c>
      <c r="O348" s="317">
        <f t="shared" si="266"/>
        <v>0</v>
      </c>
      <c r="P348" s="317">
        <f t="shared" si="240"/>
        <v>0</v>
      </c>
      <c r="Q348" s="317">
        <f t="shared" si="241"/>
        <v>0</v>
      </c>
      <c r="R348" s="317">
        <f t="shared" si="242"/>
        <v>0</v>
      </c>
      <c r="S348" s="317">
        <f t="shared" si="243"/>
        <v>0</v>
      </c>
      <c r="T348" s="317">
        <f t="shared" si="222"/>
        <v>0</v>
      </c>
      <c r="U348" s="317">
        <f t="shared" si="223"/>
        <v>0</v>
      </c>
      <c r="V348" s="317">
        <f t="shared" si="244"/>
        <v>0</v>
      </c>
      <c r="W348" s="317">
        <f t="shared" si="245"/>
        <v>0</v>
      </c>
      <c r="X348" s="317">
        <f t="shared" si="246"/>
        <v>0</v>
      </c>
      <c r="Y348" s="317">
        <f t="shared" si="247"/>
        <v>0</v>
      </c>
      <c r="Z348" s="317">
        <f t="shared" si="228"/>
        <v>0</v>
      </c>
      <c r="AA348" s="317">
        <f t="shared" si="229"/>
        <v>0</v>
      </c>
      <c r="AB348" s="317">
        <f t="shared" si="248"/>
        <v>0</v>
      </c>
      <c r="AC348" s="317">
        <f t="shared" si="249"/>
        <v>0</v>
      </c>
      <c r="AD348" s="317">
        <f t="shared" si="230"/>
        <v>0</v>
      </c>
      <c r="AE348" s="317">
        <f t="shared" si="231"/>
        <v>0</v>
      </c>
      <c r="AF348" s="317">
        <f t="shared" si="267"/>
        <v>0</v>
      </c>
      <c r="AG348" s="317">
        <f t="shared" si="268"/>
        <v>0</v>
      </c>
      <c r="AH348" s="317">
        <f t="shared" si="250"/>
        <v>0</v>
      </c>
      <c r="AI348" s="317">
        <f t="shared" si="251"/>
        <v>0</v>
      </c>
      <c r="AJ348" s="317">
        <f t="shared" si="252"/>
        <v>0</v>
      </c>
      <c r="AK348" s="317">
        <f t="shared" si="253"/>
        <v>0</v>
      </c>
      <c r="AL348" s="317">
        <f t="shared" si="254"/>
        <v>0</v>
      </c>
      <c r="AM348" s="317">
        <f t="shared" si="255"/>
        <v>0</v>
      </c>
      <c r="AN348" s="317">
        <f t="shared" si="256"/>
        <v>0</v>
      </c>
      <c r="AO348" s="317">
        <f t="shared" si="257"/>
        <v>0</v>
      </c>
      <c r="AP348" s="317">
        <f t="shared" si="258"/>
        <v>0</v>
      </c>
      <c r="AQ348" s="317">
        <f t="shared" si="259"/>
        <v>0</v>
      </c>
      <c r="AR348" s="317">
        <f t="shared" si="232"/>
        <v>0</v>
      </c>
      <c r="AS348" s="317">
        <f t="shared" si="233"/>
        <v>0</v>
      </c>
      <c r="AT348" s="317">
        <f t="shared" si="260"/>
        <v>0</v>
      </c>
      <c r="AU348" s="317">
        <f t="shared" si="261"/>
        <v>0</v>
      </c>
      <c r="AV348" s="317">
        <f t="shared" si="262"/>
        <v>0</v>
      </c>
      <c r="AW348" s="317">
        <f t="shared" si="263"/>
        <v>0</v>
      </c>
      <c r="AX348" s="317">
        <f t="shared" si="234"/>
        <v>0</v>
      </c>
      <c r="AY348" s="317">
        <f t="shared" si="235"/>
        <v>0</v>
      </c>
      <c r="AZ348" s="317">
        <f t="shared" si="236"/>
        <v>0</v>
      </c>
      <c r="BA348" s="317">
        <f t="shared" si="237"/>
        <v>0</v>
      </c>
    </row>
    <row r="349" spans="1:53" s="352" customFormat="1" ht="16.5" customHeight="1">
      <c r="A349" s="63">
        <f t="array" aca="1" ref="A349" ca="1">IF(C349&lt;&gt;0,SUM(($C$11:C349&lt;&gt;0)*1),"")</f>
        <v>2</v>
      </c>
      <c r="B349" s="318">
        <v>42369</v>
      </c>
      <c r="C349" s="318" t="s">
        <v>150</v>
      </c>
      <c r="D349" s="318">
        <f t="shared" ref="D349:D354" si="269">B349</f>
        <v>42369</v>
      </c>
      <c r="E349" s="319" t="s">
        <v>151</v>
      </c>
      <c r="F349" s="85">
        <f ca="1">AP356</f>
        <v>0</v>
      </c>
      <c r="G349" s="320" t="s">
        <v>243</v>
      </c>
      <c r="H349" s="320" t="s">
        <v>134</v>
      </c>
      <c r="I349" s="63">
        <f t="shared" ref="I349:I354" ca="1" si="270">A349</f>
        <v>2</v>
      </c>
      <c r="J349" s="317">
        <f t="shared" ref="J349:J355" si="271">IF($G349="1111",$F349,0)</f>
        <v>0</v>
      </c>
      <c r="K349" s="317">
        <f t="shared" ref="K349:K355" si="272">IF($H349="1111",$F349,0)</f>
        <v>0</v>
      </c>
      <c r="L349" s="317">
        <f t="shared" ref="L349:L355" si="273">IF($G349="1121",$F349,0)</f>
        <v>0</v>
      </c>
      <c r="M349" s="317">
        <f t="shared" ref="M349:M355" si="274">IF($H349="1121",$F349,0)</f>
        <v>0</v>
      </c>
      <c r="N349" s="317">
        <f t="shared" si="265"/>
        <v>0</v>
      </c>
      <c r="O349" s="317">
        <f t="shared" si="266"/>
        <v>0</v>
      </c>
      <c r="P349" s="317">
        <f t="shared" ref="P349:P355" si="275">IF($G349="1331",$F349,0)</f>
        <v>0</v>
      </c>
      <c r="Q349" s="317">
        <f t="shared" ref="Q349:Q355" si="276">IF($H349="1331",$F349,0)</f>
        <v>0</v>
      </c>
      <c r="R349" s="317">
        <f t="shared" ref="R349:R355" si="277">IF($G349="1388",$F349,0)</f>
        <v>0</v>
      </c>
      <c r="S349" s="317">
        <f t="shared" ref="S349:S355" si="278">IF($H349="1388",$F349,0)</f>
        <v>0</v>
      </c>
      <c r="T349" s="317">
        <f t="shared" ref="T349:T355" ca="1" si="279">IF($G349="2412",$F349,0)</f>
        <v>0</v>
      </c>
      <c r="U349" s="317">
        <f t="shared" ref="U349:U355" si="280">IF($H349="2412",$F349,0)</f>
        <v>0</v>
      </c>
      <c r="V349" s="317">
        <f t="shared" ref="V349:V355" si="281">IF($G349="331",$F349,0)</f>
        <v>0</v>
      </c>
      <c r="W349" s="317">
        <f t="shared" ref="W349:W355" si="282">IF($H349="331",$F349,0)</f>
        <v>0</v>
      </c>
      <c r="X349" s="317">
        <f t="shared" ref="X349:X355" si="283">IF($G349="3334",$F349,0)</f>
        <v>0</v>
      </c>
      <c r="Y349" s="317">
        <f t="shared" ref="Y349:Y355" si="284">IF($H349="3334",$F349,0)</f>
        <v>0</v>
      </c>
      <c r="Z349" s="317">
        <f t="shared" ref="Z349:Z355" si="285">IF($G349="33382",$F349,0)</f>
        <v>0</v>
      </c>
      <c r="AA349" s="317">
        <f t="shared" ref="AA349:AA355" si="286">IF($H349="33382",$F349,0)</f>
        <v>0</v>
      </c>
      <c r="AB349" s="317">
        <f t="shared" ref="AB349:AB355" si="287">IF($G349="3388",$F349,0)</f>
        <v>0</v>
      </c>
      <c r="AC349" s="317">
        <f t="shared" ref="AC349:AC355" si="288">IF($H349="3388",$F349,0)</f>
        <v>0</v>
      </c>
      <c r="AD349" s="317">
        <f t="shared" ref="AD349:AD355" si="289">IF($G349="3411",$F349,0)</f>
        <v>0</v>
      </c>
      <c r="AE349" s="317">
        <f t="shared" ref="AE349:AE355" si="290">IF($H349="3411",$F349,0)</f>
        <v>0</v>
      </c>
      <c r="AF349" s="317">
        <f t="shared" si="267"/>
        <v>0</v>
      </c>
      <c r="AG349" s="317">
        <f t="shared" si="268"/>
        <v>0</v>
      </c>
      <c r="AH349" s="317">
        <f t="shared" ref="AH349:AH355" si="291">IF($G349="4111",$F349,0)</f>
        <v>0</v>
      </c>
      <c r="AI349" s="317">
        <f t="shared" ref="AI349:AI355" si="292">IF($H349="4111",$F349,0)</f>
        <v>0</v>
      </c>
      <c r="AJ349" s="317">
        <f t="shared" ref="AJ349:AJ355" si="293">IF($G349="4211",$F349,0)</f>
        <v>0</v>
      </c>
      <c r="AK349" s="317">
        <f t="shared" ref="AK349:AK355" si="294">IF($H349="4211",$F349,0)</f>
        <v>0</v>
      </c>
      <c r="AL349" s="317">
        <f t="shared" ref="AL349:AL355" si="295">IF($G349="4212",$F349,0)</f>
        <v>0</v>
      </c>
      <c r="AM349" s="317">
        <f t="shared" ref="AM349:AM355" si="296">IF($H349="4212",$F349,0)</f>
        <v>0</v>
      </c>
      <c r="AN349" s="317">
        <f t="shared" ref="AN349:AN355" si="297">IF($G349="515",$F349,0)</f>
        <v>0</v>
      </c>
      <c r="AO349" s="317">
        <f t="shared" ref="AO349:AO355" si="298">IF($H349="515",$F349,0)</f>
        <v>0</v>
      </c>
      <c r="AP349" s="317">
        <f t="shared" ref="AP349:AP355" si="299">IF($G349="635",$F349,0)</f>
        <v>0</v>
      </c>
      <c r="AQ349" s="317">
        <f t="shared" ref="AQ349:AQ355" ca="1" si="300">IF($H349="635",$F349,0)</f>
        <v>0</v>
      </c>
      <c r="AR349" s="317">
        <f t="shared" ref="AR349:AR355" si="301">IF($G349="642",$F349,0)</f>
        <v>0</v>
      </c>
      <c r="AS349" s="317">
        <f t="shared" ref="AS349:AS355" si="302">IF($H349="642",$F349,0)</f>
        <v>0</v>
      </c>
      <c r="AT349" s="317">
        <f t="shared" ref="AT349:AT355" si="303">IF($G349="711",$F349,0)</f>
        <v>0</v>
      </c>
      <c r="AU349" s="317">
        <f t="shared" ref="AU349:AU355" si="304">IF($H349="711",$F349,0)</f>
        <v>0</v>
      </c>
      <c r="AV349" s="317">
        <f t="shared" ref="AV349:AV355" si="305">IF($G349="811",$F349,0)</f>
        <v>0</v>
      </c>
      <c r="AW349" s="317">
        <f t="shared" ref="AW349:AW355" si="306">IF($H349="811",$F349,0)</f>
        <v>0</v>
      </c>
      <c r="AX349" s="317">
        <f t="shared" ref="AX349:AX355" si="307">IF($G349="821",$F349,0)</f>
        <v>0</v>
      </c>
      <c r="AY349" s="317">
        <f t="shared" ref="AY349:AY355" si="308">IF($H349="821",$F349,0)</f>
        <v>0</v>
      </c>
      <c r="AZ349" s="317">
        <f t="shared" ref="AZ349:AZ355" si="309">IF($G349="911",$F349,0)</f>
        <v>0</v>
      </c>
      <c r="BA349" s="317">
        <f t="shared" ref="BA349:BA355" si="310">IF($H349="911",$F349,0)</f>
        <v>0</v>
      </c>
    </row>
    <row r="350" spans="1:53" s="352" customFormat="1" ht="16.5" customHeight="1">
      <c r="A350" s="63">
        <f t="array" aca="1" ref="A350" ca="1">IF(C350&lt;&gt;0,SUM(($C$11:C350&lt;&gt;0)*1),"")</f>
        <v>3</v>
      </c>
      <c r="B350" s="318">
        <v>42369</v>
      </c>
      <c r="C350" s="318" t="s">
        <v>150</v>
      </c>
      <c r="D350" s="318">
        <f t="shared" si="269"/>
        <v>42369</v>
      </c>
      <c r="E350" s="319" t="s">
        <v>152</v>
      </c>
      <c r="F350" s="85">
        <f ca="1">AR356</f>
        <v>0</v>
      </c>
      <c r="G350" s="320" t="s">
        <v>144</v>
      </c>
      <c r="H350" s="320" t="s">
        <v>136</v>
      </c>
      <c r="I350" s="63">
        <f t="shared" ca="1" si="270"/>
        <v>3</v>
      </c>
      <c r="J350" s="317">
        <f t="shared" si="271"/>
        <v>0</v>
      </c>
      <c r="K350" s="317">
        <f t="shared" si="272"/>
        <v>0</v>
      </c>
      <c r="L350" s="317">
        <f t="shared" si="273"/>
        <v>0</v>
      </c>
      <c r="M350" s="317">
        <f t="shared" si="274"/>
        <v>0</v>
      </c>
      <c r="N350" s="317">
        <f t="shared" si="265"/>
        <v>0</v>
      </c>
      <c r="O350" s="317">
        <f t="shared" si="266"/>
        <v>0</v>
      </c>
      <c r="P350" s="317">
        <f t="shared" si="275"/>
        <v>0</v>
      </c>
      <c r="Q350" s="317">
        <f t="shared" si="276"/>
        <v>0</v>
      </c>
      <c r="R350" s="317">
        <f t="shared" si="277"/>
        <v>0</v>
      </c>
      <c r="S350" s="317">
        <f t="shared" si="278"/>
        <v>0</v>
      </c>
      <c r="T350" s="317">
        <f t="shared" si="279"/>
        <v>0</v>
      </c>
      <c r="U350" s="317">
        <f t="shared" si="280"/>
        <v>0</v>
      </c>
      <c r="V350" s="317">
        <f t="shared" si="281"/>
        <v>0</v>
      </c>
      <c r="W350" s="317">
        <f t="shared" si="282"/>
        <v>0</v>
      </c>
      <c r="X350" s="317">
        <f t="shared" si="283"/>
        <v>0</v>
      </c>
      <c r="Y350" s="317">
        <f t="shared" si="284"/>
        <v>0</v>
      </c>
      <c r="Z350" s="317">
        <f t="shared" si="285"/>
        <v>0</v>
      </c>
      <c r="AA350" s="317">
        <f t="shared" si="286"/>
        <v>0</v>
      </c>
      <c r="AB350" s="317">
        <f t="shared" si="287"/>
        <v>0</v>
      </c>
      <c r="AC350" s="317">
        <f t="shared" si="288"/>
        <v>0</v>
      </c>
      <c r="AD350" s="317">
        <f t="shared" si="289"/>
        <v>0</v>
      </c>
      <c r="AE350" s="317">
        <f t="shared" si="290"/>
        <v>0</v>
      </c>
      <c r="AF350" s="317">
        <f t="shared" si="267"/>
        <v>0</v>
      </c>
      <c r="AG350" s="317">
        <f t="shared" si="268"/>
        <v>0</v>
      </c>
      <c r="AH350" s="317">
        <f t="shared" si="291"/>
        <v>0</v>
      </c>
      <c r="AI350" s="317">
        <f t="shared" si="292"/>
        <v>0</v>
      </c>
      <c r="AJ350" s="317">
        <f t="shared" si="293"/>
        <v>0</v>
      </c>
      <c r="AK350" s="317">
        <f t="shared" si="294"/>
        <v>0</v>
      </c>
      <c r="AL350" s="317">
        <f t="shared" si="295"/>
        <v>0</v>
      </c>
      <c r="AM350" s="317">
        <f t="shared" si="296"/>
        <v>0</v>
      </c>
      <c r="AN350" s="317">
        <f t="shared" si="297"/>
        <v>0</v>
      </c>
      <c r="AO350" s="317">
        <f t="shared" si="298"/>
        <v>0</v>
      </c>
      <c r="AP350" s="317">
        <f t="shared" si="299"/>
        <v>0</v>
      </c>
      <c r="AQ350" s="317">
        <f t="shared" si="300"/>
        <v>0</v>
      </c>
      <c r="AR350" s="317">
        <f t="shared" si="301"/>
        <v>0</v>
      </c>
      <c r="AS350" s="317">
        <f t="shared" ca="1" si="302"/>
        <v>0</v>
      </c>
      <c r="AT350" s="317">
        <f t="shared" si="303"/>
        <v>0</v>
      </c>
      <c r="AU350" s="317">
        <f t="shared" si="304"/>
        <v>0</v>
      </c>
      <c r="AV350" s="317">
        <f t="shared" si="305"/>
        <v>0</v>
      </c>
      <c r="AW350" s="317">
        <f t="shared" si="306"/>
        <v>0</v>
      </c>
      <c r="AX350" s="317">
        <f t="shared" si="307"/>
        <v>0</v>
      </c>
      <c r="AY350" s="317">
        <f t="shared" si="308"/>
        <v>0</v>
      </c>
      <c r="AZ350" s="317">
        <f t="shared" ca="1" si="309"/>
        <v>0</v>
      </c>
      <c r="BA350" s="317">
        <f t="shared" si="310"/>
        <v>0</v>
      </c>
    </row>
    <row r="351" spans="1:53" s="352" customFormat="1" ht="16.5" customHeight="1">
      <c r="A351" s="63">
        <f t="array" aca="1" ref="A351" ca="1">IF(C351&lt;&gt;0,SUM(($C$11:C351&lt;&gt;0)*1),"")</f>
        <v>4</v>
      </c>
      <c r="B351" s="318">
        <v>42369</v>
      </c>
      <c r="C351" s="318" t="s">
        <v>150</v>
      </c>
      <c r="D351" s="318">
        <f t="shared" si="269"/>
        <v>42369</v>
      </c>
      <c r="E351" s="319" t="s">
        <v>306</v>
      </c>
      <c r="F351" s="85">
        <v>304750266</v>
      </c>
      <c r="G351" s="320" t="s">
        <v>129</v>
      </c>
      <c r="H351" s="320" t="s">
        <v>144</v>
      </c>
      <c r="I351" s="63">
        <f t="shared" ca="1" si="270"/>
        <v>4</v>
      </c>
      <c r="J351" s="317">
        <f t="shared" si="271"/>
        <v>0</v>
      </c>
      <c r="K351" s="317">
        <f t="shared" si="272"/>
        <v>0</v>
      </c>
      <c r="L351" s="317">
        <f t="shared" si="273"/>
        <v>0</v>
      </c>
      <c r="M351" s="317">
        <f t="shared" si="274"/>
        <v>0</v>
      </c>
      <c r="N351" s="317">
        <f t="shared" si="265"/>
        <v>0</v>
      </c>
      <c r="O351" s="317">
        <f t="shared" si="266"/>
        <v>0</v>
      </c>
      <c r="P351" s="317">
        <f t="shared" si="275"/>
        <v>0</v>
      </c>
      <c r="Q351" s="317">
        <f t="shared" si="276"/>
        <v>0</v>
      </c>
      <c r="R351" s="317">
        <f t="shared" si="277"/>
        <v>0</v>
      </c>
      <c r="S351" s="317">
        <f t="shared" si="278"/>
        <v>0</v>
      </c>
      <c r="T351" s="317">
        <f t="shared" si="279"/>
        <v>0</v>
      </c>
      <c r="U351" s="317">
        <f t="shared" si="280"/>
        <v>0</v>
      </c>
      <c r="V351" s="317">
        <f t="shared" si="281"/>
        <v>0</v>
      </c>
      <c r="W351" s="317">
        <f t="shared" si="282"/>
        <v>0</v>
      </c>
      <c r="X351" s="317">
        <f t="shared" si="283"/>
        <v>0</v>
      </c>
      <c r="Y351" s="317">
        <f t="shared" si="284"/>
        <v>0</v>
      </c>
      <c r="Z351" s="317">
        <f t="shared" si="285"/>
        <v>0</v>
      </c>
      <c r="AA351" s="317">
        <f t="shared" si="286"/>
        <v>0</v>
      </c>
      <c r="AB351" s="317">
        <f t="shared" si="287"/>
        <v>0</v>
      </c>
      <c r="AC351" s="317">
        <f t="shared" si="288"/>
        <v>0</v>
      </c>
      <c r="AD351" s="317">
        <f t="shared" si="289"/>
        <v>0</v>
      </c>
      <c r="AE351" s="317">
        <f t="shared" si="290"/>
        <v>0</v>
      </c>
      <c r="AF351" s="317">
        <f t="shared" si="267"/>
        <v>0</v>
      </c>
      <c r="AG351" s="317">
        <f t="shared" si="268"/>
        <v>0</v>
      </c>
      <c r="AH351" s="317">
        <f t="shared" si="291"/>
        <v>0</v>
      </c>
      <c r="AI351" s="317">
        <f t="shared" si="292"/>
        <v>0</v>
      </c>
      <c r="AJ351" s="317">
        <f t="shared" si="293"/>
        <v>0</v>
      </c>
      <c r="AK351" s="317">
        <f t="shared" si="294"/>
        <v>0</v>
      </c>
      <c r="AL351" s="317">
        <f t="shared" si="295"/>
        <v>304750266</v>
      </c>
      <c r="AM351" s="317">
        <f t="shared" si="296"/>
        <v>0</v>
      </c>
      <c r="AN351" s="317">
        <f t="shared" si="297"/>
        <v>0</v>
      </c>
      <c r="AO351" s="317">
        <f t="shared" si="298"/>
        <v>0</v>
      </c>
      <c r="AP351" s="317">
        <f t="shared" si="299"/>
        <v>0</v>
      </c>
      <c r="AQ351" s="317">
        <f t="shared" si="300"/>
        <v>0</v>
      </c>
      <c r="AR351" s="317">
        <f t="shared" si="301"/>
        <v>0</v>
      </c>
      <c r="AS351" s="317">
        <f t="shared" si="302"/>
        <v>0</v>
      </c>
      <c r="AT351" s="317">
        <f t="shared" si="303"/>
        <v>0</v>
      </c>
      <c r="AU351" s="317">
        <f t="shared" si="304"/>
        <v>0</v>
      </c>
      <c r="AV351" s="317">
        <f t="shared" si="305"/>
        <v>0</v>
      </c>
      <c r="AW351" s="317">
        <f t="shared" si="306"/>
        <v>0</v>
      </c>
      <c r="AX351" s="317">
        <f t="shared" si="307"/>
        <v>0</v>
      </c>
      <c r="AY351" s="317">
        <f t="shared" si="308"/>
        <v>0</v>
      </c>
      <c r="AZ351" s="317">
        <f t="shared" si="309"/>
        <v>0</v>
      </c>
      <c r="BA351" s="317">
        <f t="shared" si="310"/>
        <v>304750266</v>
      </c>
    </row>
    <row r="352" spans="1:53" s="352" customFormat="1" ht="16.5" customHeight="1">
      <c r="A352" s="63">
        <f t="array" aca="1" ref="A352" ca="1">IF(C352&lt;&gt;0,SUM(($C$11:C352&lt;&gt;0)*1),"")</f>
        <v>5</v>
      </c>
      <c r="B352" s="318">
        <v>42369</v>
      </c>
      <c r="C352" s="318" t="s">
        <v>150</v>
      </c>
      <c r="D352" s="318">
        <f t="shared" si="269"/>
        <v>42369</v>
      </c>
      <c r="E352" s="319" t="s">
        <v>154</v>
      </c>
      <c r="F352" s="85">
        <f ca="1">AO356</f>
        <v>0</v>
      </c>
      <c r="G352" s="320" t="s">
        <v>59</v>
      </c>
      <c r="H352" s="320" t="s">
        <v>144</v>
      </c>
      <c r="I352" s="63">
        <f t="shared" ca="1" si="270"/>
        <v>5</v>
      </c>
      <c r="J352" s="317">
        <f t="shared" si="271"/>
        <v>0</v>
      </c>
      <c r="K352" s="317">
        <f t="shared" si="272"/>
        <v>0</v>
      </c>
      <c r="L352" s="317">
        <f t="shared" si="273"/>
        <v>0</v>
      </c>
      <c r="M352" s="317">
        <f t="shared" si="274"/>
        <v>0</v>
      </c>
      <c r="N352" s="317">
        <f t="shared" si="265"/>
        <v>0</v>
      </c>
      <c r="O352" s="317">
        <f t="shared" si="266"/>
        <v>0</v>
      </c>
      <c r="P352" s="317">
        <f t="shared" si="275"/>
        <v>0</v>
      </c>
      <c r="Q352" s="317">
        <f t="shared" si="276"/>
        <v>0</v>
      </c>
      <c r="R352" s="317">
        <f t="shared" si="277"/>
        <v>0</v>
      </c>
      <c r="S352" s="317">
        <f t="shared" si="278"/>
        <v>0</v>
      </c>
      <c r="T352" s="317">
        <f t="shared" si="279"/>
        <v>0</v>
      </c>
      <c r="U352" s="317">
        <f t="shared" si="280"/>
        <v>0</v>
      </c>
      <c r="V352" s="317">
        <f t="shared" si="281"/>
        <v>0</v>
      </c>
      <c r="W352" s="317">
        <f t="shared" si="282"/>
        <v>0</v>
      </c>
      <c r="X352" s="317">
        <f t="shared" si="283"/>
        <v>0</v>
      </c>
      <c r="Y352" s="317">
        <f t="shared" si="284"/>
        <v>0</v>
      </c>
      <c r="Z352" s="317">
        <f t="shared" si="285"/>
        <v>0</v>
      </c>
      <c r="AA352" s="317">
        <f t="shared" si="286"/>
        <v>0</v>
      </c>
      <c r="AB352" s="317">
        <f t="shared" si="287"/>
        <v>0</v>
      </c>
      <c r="AC352" s="317">
        <f t="shared" si="288"/>
        <v>0</v>
      </c>
      <c r="AD352" s="317">
        <f t="shared" si="289"/>
        <v>0</v>
      </c>
      <c r="AE352" s="317">
        <f t="shared" si="290"/>
        <v>0</v>
      </c>
      <c r="AF352" s="317">
        <f t="shared" si="267"/>
        <v>0</v>
      </c>
      <c r="AG352" s="317">
        <f t="shared" si="268"/>
        <v>0</v>
      </c>
      <c r="AH352" s="317">
        <f t="shared" si="291"/>
        <v>0</v>
      </c>
      <c r="AI352" s="317">
        <f t="shared" si="292"/>
        <v>0</v>
      </c>
      <c r="AJ352" s="317">
        <f t="shared" si="293"/>
        <v>0</v>
      </c>
      <c r="AK352" s="317">
        <f t="shared" si="294"/>
        <v>0</v>
      </c>
      <c r="AL352" s="317">
        <f t="shared" si="295"/>
        <v>0</v>
      </c>
      <c r="AM352" s="317">
        <f t="shared" si="296"/>
        <v>0</v>
      </c>
      <c r="AN352" s="317">
        <f t="shared" ca="1" si="297"/>
        <v>0</v>
      </c>
      <c r="AO352" s="317">
        <f t="shared" si="298"/>
        <v>0</v>
      </c>
      <c r="AP352" s="317">
        <f t="shared" si="299"/>
        <v>0</v>
      </c>
      <c r="AQ352" s="317">
        <f t="shared" si="300"/>
        <v>0</v>
      </c>
      <c r="AR352" s="317">
        <f t="shared" si="301"/>
        <v>0</v>
      </c>
      <c r="AS352" s="317">
        <f t="shared" si="302"/>
        <v>0</v>
      </c>
      <c r="AT352" s="317">
        <f t="shared" si="303"/>
        <v>0</v>
      </c>
      <c r="AU352" s="317">
        <f t="shared" si="304"/>
        <v>0</v>
      </c>
      <c r="AV352" s="317">
        <f t="shared" si="305"/>
        <v>0</v>
      </c>
      <c r="AW352" s="317">
        <f t="shared" si="306"/>
        <v>0</v>
      </c>
      <c r="AX352" s="317">
        <f t="shared" si="307"/>
        <v>0</v>
      </c>
      <c r="AY352" s="317">
        <f t="shared" si="308"/>
        <v>0</v>
      </c>
      <c r="AZ352" s="317">
        <f t="shared" si="309"/>
        <v>0</v>
      </c>
      <c r="BA352" s="317">
        <f t="shared" ca="1" si="310"/>
        <v>0</v>
      </c>
    </row>
    <row r="353" spans="1:53" s="352" customFormat="1" ht="16.5" customHeight="1">
      <c r="A353" s="63">
        <f t="array" aca="1" ref="A353" ca="1">IF(C353&lt;&gt;0,SUM(($C$11:C353&lt;&gt;0)*1),"")</f>
        <v>6</v>
      </c>
      <c r="B353" s="318">
        <v>42369</v>
      </c>
      <c r="C353" s="318" t="s">
        <v>150</v>
      </c>
      <c r="D353" s="318">
        <f t="shared" si="269"/>
        <v>42369</v>
      </c>
      <c r="E353" s="319" t="s">
        <v>155</v>
      </c>
      <c r="F353" s="85">
        <f ca="1">AU356</f>
        <v>0</v>
      </c>
      <c r="G353" s="320" t="s">
        <v>138</v>
      </c>
      <c r="H353" s="320" t="s">
        <v>144</v>
      </c>
      <c r="I353" s="63">
        <f t="shared" ca="1" si="270"/>
        <v>6</v>
      </c>
      <c r="J353" s="317">
        <f t="shared" si="271"/>
        <v>0</v>
      </c>
      <c r="K353" s="317">
        <f t="shared" si="272"/>
        <v>0</v>
      </c>
      <c r="L353" s="317">
        <f t="shared" si="273"/>
        <v>0</v>
      </c>
      <c r="M353" s="317">
        <f t="shared" si="274"/>
        <v>0</v>
      </c>
      <c r="N353" s="317">
        <f t="shared" si="265"/>
        <v>0</v>
      </c>
      <c r="O353" s="317">
        <f t="shared" si="266"/>
        <v>0</v>
      </c>
      <c r="P353" s="317">
        <f t="shared" si="275"/>
        <v>0</v>
      </c>
      <c r="Q353" s="317">
        <f t="shared" si="276"/>
        <v>0</v>
      </c>
      <c r="R353" s="317">
        <f t="shared" si="277"/>
        <v>0</v>
      </c>
      <c r="S353" s="317">
        <f t="shared" si="278"/>
        <v>0</v>
      </c>
      <c r="T353" s="317">
        <f t="shared" si="279"/>
        <v>0</v>
      </c>
      <c r="U353" s="317">
        <f t="shared" si="280"/>
        <v>0</v>
      </c>
      <c r="V353" s="317">
        <f t="shared" si="281"/>
        <v>0</v>
      </c>
      <c r="W353" s="317">
        <f t="shared" si="282"/>
        <v>0</v>
      </c>
      <c r="X353" s="317">
        <f t="shared" si="283"/>
        <v>0</v>
      </c>
      <c r="Y353" s="317">
        <f t="shared" si="284"/>
        <v>0</v>
      </c>
      <c r="Z353" s="317">
        <f t="shared" si="285"/>
        <v>0</v>
      </c>
      <c r="AA353" s="317">
        <f t="shared" si="286"/>
        <v>0</v>
      </c>
      <c r="AB353" s="317">
        <f t="shared" si="287"/>
        <v>0</v>
      </c>
      <c r="AC353" s="317">
        <f t="shared" si="288"/>
        <v>0</v>
      </c>
      <c r="AD353" s="317">
        <f t="shared" si="289"/>
        <v>0</v>
      </c>
      <c r="AE353" s="317">
        <f t="shared" si="290"/>
        <v>0</v>
      </c>
      <c r="AF353" s="317">
        <f t="shared" si="267"/>
        <v>0</v>
      </c>
      <c r="AG353" s="317">
        <f t="shared" si="268"/>
        <v>0</v>
      </c>
      <c r="AH353" s="317">
        <f t="shared" si="291"/>
        <v>0</v>
      </c>
      <c r="AI353" s="317">
        <f t="shared" si="292"/>
        <v>0</v>
      </c>
      <c r="AJ353" s="317">
        <f t="shared" si="293"/>
        <v>0</v>
      </c>
      <c r="AK353" s="317">
        <f t="shared" si="294"/>
        <v>0</v>
      </c>
      <c r="AL353" s="317">
        <f t="shared" si="295"/>
        <v>0</v>
      </c>
      <c r="AM353" s="317">
        <f t="shared" si="296"/>
        <v>0</v>
      </c>
      <c r="AN353" s="317">
        <f t="shared" si="297"/>
        <v>0</v>
      </c>
      <c r="AO353" s="317">
        <f t="shared" si="298"/>
        <v>0</v>
      </c>
      <c r="AP353" s="317">
        <f t="shared" si="299"/>
        <v>0</v>
      </c>
      <c r="AQ353" s="317">
        <f t="shared" si="300"/>
        <v>0</v>
      </c>
      <c r="AR353" s="317">
        <f t="shared" si="301"/>
        <v>0</v>
      </c>
      <c r="AS353" s="317">
        <f t="shared" si="302"/>
        <v>0</v>
      </c>
      <c r="AT353" s="317">
        <f t="shared" ca="1" si="303"/>
        <v>0</v>
      </c>
      <c r="AU353" s="317">
        <f t="shared" si="304"/>
        <v>0</v>
      </c>
      <c r="AV353" s="317">
        <f t="shared" si="305"/>
        <v>0</v>
      </c>
      <c r="AW353" s="317">
        <f t="shared" si="306"/>
        <v>0</v>
      </c>
      <c r="AX353" s="317">
        <f t="shared" si="307"/>
        <v>0</v>
      </c>
      <c r="AY353" s="317">
        <f t="shared" si="308"/>
        <v>0</v>
      </c>
      <c r="AZ353" s="317">
        <f t="shared" si="309"/>
        <v>0</v>
      </c>
      <c r="BA353" s="317">
        <f t="shared" ca="1" si="310"/>
        <v>0</v>
      </c>
    </row>
    <row r="354" spans="1:53" s="352" customFormat="1" ht="16.5" customHeight="1">
      <c r="A354" s="63">
        <f t="array" aca="1" ref="A354" ca="1">IF(C354&lt;&gt;0,SUM(($C$11:C354&lt;&gt;0)*1),"")</f>
        <v>7</v>
      </c>
      <c r="B354" s="318">
        <v>42369</v>
      </c>
      <c r="C354" s="318" t="s">
        <v>150</v>
      </c>
      <c r="D354" s="318">
        <f t="shared" si="269"/>
        <v>42369</v>
      </c>
      <c r="E354" s="319" t="s">
        <v>156</v>
      </c>
      <c r="F354" s="85">
        <f ca="1">AV356</f>
        <v>0</v>
      </c>
      <c r="G354" s="320" t="s">
        <v>144</v>
      </c>
      <c r="H354" s="320" t="s">
        <v>140</v>
      </c>
      <c r="I354" s="63">
        <f t="shared" ca="1" si="270"/>
        <v>7</v>
      </c>
      <c r="J354" s="317">
        <f t="shared" si="271"/>
        <v>0</v>
      </c>
      <c r="K354" s="317">
        <f t="shared" si="272"/>
        <v>0</v>
      </c>
      <c r="L354" s="317">
        <f t="shared" si="273"/>
        <v>0</v>
      </c>
      <c r="M354" s="317">
        <f t="shared" si="274"/>
        <v>0</v>
      </c>
      <c r="N354" s="317">
        <f t="shared" si="265"/>
        <v>0</v>
      </c>
      <c r="O354" s="317">
        <f t="shared" si="266"/>
        <v>0</v>
      </c>
      <c r="P354" s="317">
        <f t="shared" si="275"/>
        <v>0</v>
      </c>
      <c r="Q354" s="317">
        <f t="shared" si="276"/>
        <v>0</v>
      </c>
      <c r="R354" s="317">
        <f t="shared" si="277"/>
        <v>0</v>
      </c>
      <c r="S354" s="317">
        <f t="shared" si="278"/>
        <v>0</v>
      </c>
      <c r="T354" s="317">
        <f t="shared" si="279"/>
        <v>0</v>
      </c>
      <c r="U354" s="317">
        <f t="shared" si="280"/>
        <v>0</v>
      </c>
      <c r="V354" s="317">
        <f t="shared" si="281"/>
        <v>0</v>
      </c>
      <c r="W354" s="317">
        <f t="shared" si="282"/>
        <v>0</v>
      </c>
      <c r="X354" s="317">
        <f t="shared" si="283"/>
        <v>0</v>
      </c>
      <c r="Y354" s="317">
        <f t="shared" si="284"/>
        <v>0</v>
      </c>
      <c r="Z354" s="317">
        <f t="shared" si="285"/>
        <v>0</v>
      </c>
      <c r="AA354" s="317">
        <f t="shared" si="286"/>
        <v>0</v>
      </c>
      <c r="AB354" s="317">
        <f t="shared" si="287"/>
        <v>0</v>
      </c>
      <c r="AC354" s="317">
        <f t="shared" si="288"/>
        <v>0</v>
      </c>
      <c r="AD354" s="317">
        <f t="shared" si="289"/>
        <v>0</v>
      </c>
      <c r="AE354" s="317">
        <f t="shared" si="290"/>
        <v>0</v>
      </c>
      <c r="AF354" s="317">
        <f t="shared" si="267"/>
        <v>0</v>
      </c>
      <c r="AG354" s="317">
        <f t="shared" si="268"/>
        <v>0</v>
      </c>
      <c r="AH354" s="317">
        <f t="shared" si="291"/>
        <v>0</v>
      </c>
      <c r="AI354" s="317">
        <f t="shared" si="292"/>
        <v>0</v>
      </c>
      <c r="AJ354" s="317">
        <f t="shared" si="293"/>
        <v>0</v>
      </c>
      <c r="AK354" s="317">
        <f t="shared" si="294"/>
        <v>0</v>
      </c>
      <c r="AL354" s="317">
        <f t="shared" si="295"/>
        <v>0</v>
      </c>
      <c r="AM354" s="317">
        <f t="shared" si="296"/>
        <v>0</v>
      </c>
      <c r="AN354" s="317">
        <f t="shared" si="297"/>
        <v>0</v>
      </c>
      <c r="AO354" s="317">
        <f t="shared" si="298"/>
        <v>0</v>
      </c>
      <c r="AP354" s="317">
        <f t="shared" si="299"/>
        <v>0</v>
      </c>
      <c r="AQ354" s="317">
        <f t="shared" si="300"/>
        <v>0</v>
      </c>
      <c r="AR354" s="317">
        <f t="shared" si="301"/>
        <v>0</v>
      </c>
      <c r="AS354" s="317">
        <f t="shared" si="302"/>
        <v>0</v>
      </c>
      <c r="AT354" s="317">
        <f t="shared" si="303"/>
        <v>0</v>
      </c>
      <c r="AU354" s="317">
        <f t="shared" si="304"/>
        <v>0</v>
      </c>
      <c r="AV354" s="317">
        <f t="shared" si="305"/>
        <v>0</v>
      </c>
      <c r="AW354" s="317">
        <f t="shared" ca="1" si="306"/>
        <v>0</v>
      </c>
      <c r="AX354" s="317">
        <f t="shared" si="307"/>
        <v>0</v>
      </c>
      <c r="AY354" s="317">
        <f t="shared" si="308"/>
        <v>0</v>
      </c>
      <c r="AZ354" s="317">
        <f t="shared" ca="1" si="309"/>
        <v>0</v>
      </c>
      <c r="BA354" s="317">
        <f t="shared" si="310"/>
        <v>0</v>
      </c>
    </row>
    <row r="355" spans="1:53" s="314" customFormat="1" ht="16.5" customHeight="1">
      <c r="A355" s="63" t="str">
        <f t="array" ref="A355">IF(C355&lt;&gt;0,SUM(($C$11:C355&lt;&gt;0)*1),"")</f>
        <v/>
      </c>
      <c r="B355" s="278"/>
      <c r="C355" s="278"/>
      <c r="D355" s="278"/>
      <c r="E355" s="316"/>
      <c r="F355" s="65"/>
      <c r="G355" s="322"/>
      <c r="H355" s="322"/>
      <c r="I355" s="63" t="str">
        <f>A355</f>
        <v/>
      </c>
      <c r="J355" s="317">
        <f t="shared" si="271"/>
        <v>0</v>
      </c>
      <c r="K355" s="317">
        <f t="shared" si="272"/>
        <v>0</v>
      </c>
      <c r="L355" s="317">
        <f t="shared" si="273"/>
        <v>0</v>
      </c>
      <c r="M355" s="317">
        <f t="shared" si="274"/>
        <v>0</v>
      </c>
      <c r="N355" s="317">
        <f t="shared" si="265"/>
        <v>0</v>
      </c>
      <c r="O355" s="317">
        <f t="shared" si="266"/>
        <v>0</v>
      </c>
      <c r="P355" s="317">
        <f t="shared" si="275"/>
        <v>0</v>
      </c>
      <c r="Q355" s="317">
        <f t="shared" si="276"/>
        <v>0</v>
      </c>
      <c r="R355" s="317">
        <f t="shared" si="277"/>
        <v>0</v>
      </c>
      <c r="S355" s="317">
        <f t="shared" si="278"/>
        <v>0</v>
      </c>
      <c r="T355" s="317">
        <f t="shared" si="279"/>
        <v>0</v>
      </c>
      <c r="U355" s="317">
        <f t="shared" si="280"/>
        <v>0</v>
      </c>
      <c r="V355" s="317">
        <f t="shared" si="281"/>
        <v>0</v>
      </c>
      <c r="W355" s="317">
        <f t="shared" si="282"/>
        <v>0</v>
      </c>
      <c r="X355" s="317">
        <f t="shared" si="283"/>
        <v>0</v>
      </c>
      <c r="Y355" s="317">
        <f t="shared" si="284"/>
        <v>0</v>
      </c>
      <c r="Z355" s="317">
        <f t="shared" si="285"/>
        <v>0</v>
      </c>
      <c r="AA355" s="317">
        <f t="shared" si="286"/>
        <v>0</v>
      </c>
      <c r="AB355" s="317">
        <f t="shared" si="287"/>
        <v>0</v>
      </c>
      <c r="AC355" s="317">
        <f t="shared" si="288"/>
        <v>0</v>
      </c>
      <c r="AD355" s="317">
        <f t="shared" si="289"/>
        <v>0</v>
      </c>
      <c r="AE355" s="317">
        <f t="shared" si="290"/>
        <v>0</v>
      </c>
      <c r="AF355" s="317">
        <f t="shared" si="267"/>
        <v>0</v>
      </c>
      <c r="AG355" s="317">
        <f t="shared" si="268"/>
        <v>0</v>
      </c>
      <c r="AH355" s="317">
        <f t="shared" si="291"/>
        <v>0</v>
      </c>
      <c r="AI355" s="317">
        <f t="shared" si="292"/>
        <v>0</v>
      </c>
      <c r="AJ355" s="317">
        <f t="shared" si="293"/>
        <v>0</v>
      </c>
      <c r="AK355" s="317">
        <f t="shared" si="294"/>
        <v>0</v>
      </c>
      <c r="AL355" s="317">
        <f t="shared" si="295"/>
        <v>0</v>
      </c>
      <c r="AM355" s="317">
        <f t="shared" si="296"/>
        <v>0</v>
      </c>
      <c r="AN355" s="317">
        <f t="shared" si="297"/>
        <v>0</v>
      </c>
      <c r="AO355" s="317">
        <f t="shared" si="298"/>
        <v>0</v>
      </c>
      <c r="AP355" s="317">
        <f t="shared" si="299"/>
        <v>0</v>
      </c>
      <c r="AQ355" s="317">
        <f t="shared" si="300"/>
        <v>0</v>
      </c>
      <c r="AR355" s="317">
        <f t="shared" si="301"/>
        <v>0</v>
      </c>
      <c r="AS355" s="317">
        <f t="shared" si="302"/>
        <v>0</v>
      </c>
      <c r="AT355" s="317">
        <f t="shared" si="303"/>
        <v>0</v>
      </c>
      <c r="AU355" s="317">
        <f t="shared" si="304"/>
        <v>0</v>
      </c>
      <c r="AV355" s="317">
        <f t="shared" si="305"/>
        <v>0</v>
      </c>
      <c r="AW355" s="317">
        <f t="shared" si="306"/>
        <v>0</v>
      </c>
      <c r="AX355" s="317">
        <f t="shared" si="307"/>
        <v>0</v>
      </c>
      <c r="AY355" s="317">
        <f t="shared" si="308"/>
        <v>0</v>
      </c>
      <c r="AZ355" s="317">
        <f t="shared" si="309"/>
        <v>0</v>
      </c>
      <c r="BA355" s="317">
        <f t="shared" si="310"/>
        <v>0</v>
      </c>
    </row>
    <row r="356" spans="1:53" s="314" customFormat="1" ht="16.5" customHeight="1">
      <c r="A356" s="323"/>
      <c r="B356" s="278"/>
      <c r="C356" s="353"/>
      <c r="D356" s="278"/>
      <c r="E356" s="316" t="s">
        <v>264</v>
      </c>
      <c r="F356" s="323"/>
      <c r="G356" s="322"/>
      <c r="H356" s="322"/>
      <c r="I356" s="323"/>
      <c r="J356" s="323">
        <f t="shared" ref="J356:BA356" ca="1" si="311">SUM(J11:J355)</f>
        <v>0</v>
      </c>
      <c r="K356" s="323">
        <f t="shared" ca="1" si="311"/>
        <v>0</v>
      </c>
      <c r="L356" s="323">
        <f t="shared" ca="1" si="311"/>
        <v>0</v>
      </c>
      <c r="M356" s="323">
        <f t="shared" ca="1" si="311"/>
        <v>0</v>
      </c>
      <c r="N356" s="323">
        <f ca="1">SUM(N11:N355)</f>
        <v>0</v>
      </c>
      <c r="O356" s="323">
        <f ca="1">SUM(O11:O355)</f>
        <v>0</v>
      </c>
      <c r="P356" s="323">
        <f t="shared" ca="1" si="311"/>
        <v>0</v>
      </c>
      <c r="Q356" s="323">
        <f t="shared" ca="1" si="311"/>
        <v>0</v>
      </c>
      <c r="R356" s="323">
        <f t="shared" ca="1" si="311"/>
        <v>0</v>
      </c>
      <c r="S356" s="323">
        <f t="shared" ca="1" si="311"/>
        <v>0</v>
      </c>
      <c r="T356" s="323">
        <f t="shared" ca="1" si="311"/>
        <v>0</v>
      </c>
      <c r="U356" s="323">
        <f t="shared" ca="1" si="311"/>
        <v>0</v>
      </c>
      <c r="V356" s="323">
        <f t="shared" ca="1" si="311"/>
        <v>0</v>
      </c>
      <c r="W356" s="323">
        <f t="shared" ca="1" si="311"/>
        <v>0</v>
      </c>
      <c r="X356" s="323">
        <f t="shared" ca="1" si="311"/>
        <v>0</v>
      </c>
      <c r="Y356" s="323">
        <f t="shared" ca="1" si="311"/>
        <v>0</v>
      </c>
      <c r="Z356" s="323">
        <f t="shared" ca="1" si="311"/>
        <v>0</v>
      </c>
      <c r="AA356" s="323">
        <f t="shared" ca="1" si="311"/>
        <v>0</v>
      </c>
      <c r="AB356" s="323">
        <f t="shared" ca="1" si="311"/>
        <v>0</v>
      </c>
      <c r="AC356" s="323">
        <f t="shared" ca="1" si="311"/>
        <v>0</v>
      </c>
      <c r="AD356" s="323">
        <f t="shared" ca="1" si="311"/>
        <v>0</v>
      </c>
      <c r="AE356" s="323">
        <f t="shared" ca="1" si="311"/>
        <v>0</v>
      </c>
      <c r="AF356" s="323">
        <f ca="1">SUM(AF11:AF355)</f>
        <v>0</v>
      </c>
      <c r="AG356" s="323">
        <f ca="1">SUM(AG11:AG355)</f>
        <v>0</v>
      </c>
      <c r="AH356" s="323">
        <f t="shared" ca="1" si="311"/>
        <v>0</v>
      </c>
      <c r="AI356" s="323">
        <f t="shared" ca="1" si="311"/>
        <v>0</v>
      </c>
      <c r="AJ356" s="323">
        <f t="shared" ca="1" si="311"/>
        <v>0</v>
      </c>
      <c r="AK356" s="323">
        <f t="shared" ca="1" si="311"/>
        <v>0</v>
      </c>
      <c r="AL356" s="323">
        <f t="shared" ca="1" si="311"/>
        <v>304750266</v>
      </c>
      <c r="AM356" s="323">
        <f t="shared" ca="1" si="311"/>
        <v>0</v>
      </c>
      <c r="AN356" s="323">
        <f t="shared" ca="1" si="311"/>
        <v>0</v>
      </c>
      <c r="AO356" s="323">
        <f t="shared" ca="1" si="311"/>
        <v>0</v>
      </c>
      <c r="AP356" s="323">
        <f t="shared" ca="1" si="311"/>
        <v>0</v>
      </c>
      <c r="AQ356" s="323">
        <f t="shared" ca="1" si="311"/>
        <v>0</v>
      </c>
      <c r="AR356" s="323">
        <f t="shared" ca="1" si="311"/>
        <v>0</v>
      </c>
      <c r="AS356" s="323">
        <f t="shared" ca="1" si="311"/>
        <v>0</v>
      </c>
      <c r="AT356" s="323">
        <f t="shared" ca="1" si="311"/>
        <v>0</v>
      </c>
      <c r="AU356" s="323">
        <f t="shared" ca="1" si="311"/>
        <v>0</v>
      </c>
      <c r="AV356" s="323">
        <f t="shared" ca="1" si="311"/>
        <v>0</v>
      </c>
      <c r="AW356" s="323">
        <f t="shared" ca="1" si="311"/>
        <v>0</v>
      </c>
      <c r="AX356" s="323">
        <f t="shared" ca="1" si="311"/>
        <v>0</v>
      </c>
      <c r="AY356" s="323">
        <f t="shared" ca="1" si="311"/>
        <v>0</v>
      </c>
      <c r="AZ356" s="323">
        <f t="shared" ca="1" si="311"/>
        <v>0</v>
      </c>
      <c r="BA356" s="323">
        <f t="shared" ca="1" si="311"/>
        <v>304750266</v>
      </c>
    </row>
    <row r="357" spans="1:53" s="314" customFormat="1" ht="16.5" customHeight="1">
      <c r="A357" s="324"/>
      <c r="B357" s="324"/>
      <c r="C357" s="324"/>
      <c r="D357" s="324"/>
      <c r="E357" s="325" t="s">
        <v>307</v>
      </c>
      <c r="F357" s="324"/>
      <c r="G357" s="326"/>
      <c r="H357" s="326"/>
      <c r="I357" s="324"/>
      <c r="J357" s="346">
        <f ca="1">MAX(J10+J356-K10-K356,0)</f>
        <v>1332078410</v>
      </c>
      <c r="K357" s="346">
        <f ca="1">MAX(K10+K356-J10-J356,0)</f>
        <v>0</v>
      </c>
      <c r="L357" s="346">
        <f ca="1">MAX(L10+L356-M10-M356,0)</f>
        <v>1694774692</v>
      </c>
      <c r="M357" s="346">
        <f ca="1">MAX(M10+M356-L10-L356,0)</f>
        <v>0</v>
      </c>
      <c r="N357" s="346">
        <f ca="1">MAX(N10+N356-O10-O356,0)</f>
        <v>0</v>
      </c>
      <c r="O357" s="346">
        <f ca="1">MAX(O10+O356-N10-N356,0)</f>
        <v>0</v>
      </c>
      <c r="P357" s="346">
        <f ca="1">MAX(P10+P356-Q10-Q356,0)</f>
        <v>452614594</v>
      </c>
      <c r="Q357" s="346">
        <f ca="1">MAX(Q10+Q356-P10-P356,0)</f>
        <v>0</v>
      </c>
      <c r="R357" s="346">
        <f ca="1">MAX(R10+R356-S10-S356,0)</f>
        <v>0</v>
      </c>
      <c r="S357" s="346">
        <f ca="1">MAX(S10+S356-R10-R356,0)</f>
        <v>0</v>
      </c>
      <c r="T357" s="346">
        <f ca="1">MAX(T10+T356-U10-U356,0)</f>
        <v>22610074302</v>
      </c>
      <c r="U357" s="346">
        <f ca="1">MAX(U10+U356-T10-T356,0)</f>
        <v>0</v>
      </c>
      <c r="V357" s="346">
        <f ca="1">MAX(V10+V356-W10-W356,0)</f>
        <v>4299540884</v>
      </c>
      <c r="W357" s="346">
        <f ca="1">MAX(W10+W356-V10-V356,0)</f>
        <v>0</v>
      </c>
      <c r="X357" s="346">
        <f ca="1">MAX(X10+X356-Y10-Y356,0)</f>
        <v>0</v>
      </c>
      <c r="Y357" s="346">
        <f ca="1">MAX(Y10+Y356-X10-X356,0)</f>
        <v>0</v>
      </c>
      <c r="Z357" s="346">
        <f ca="1">MAX(Z10+Z356-AA10-AA356,0)</f>
        <v>0</v>
      </c>
      <c r="AA357" s="346">
        <f ca="1">MAX(AA10+AA356-Z10-Z356,0)</f>
        <v>0</v>
      </c>
      <c r="AB357" s="346">
        <f ca="1">MAX(AB10+AB356-AC10-AC356,0)</f>
        <v>0</v>
      </c>
      <c r="AC357" s="346">
        <f ca="1">MAX(AC10+AC356-AB10-AB356,0)</f>
        <v>5000000000</v>
      </c>
      <c r="AD357" s="346">
        <f ca="1">MAX(AD10+AD356-AE10-AE356,0)</f>
        <v>0</v>
      </c>
      <c r="AE357" s="346">
        <f ca="1">MAX(AE10+AE356-AD10-AD356,0)</f>
        <v>20000000000</v>
      </c>
      <c r="AF357" s="346">
        <f ca="1">MAX(AF10+AF356-AG10-AG356,0)</f>
        <v>0</v>
      </c>
      <c r="AG357" s="346">
        <f ca="1">MAX(AG10+AG356-AF10-AF356,0)</f>
        <v>1982640000</v>
      </c>
      <c r="AH357" s="346">
        <f ca="1">MAX(AH10+AH356-AI10-AI356,0)</f>
        <v>0</v>
      </c>
      <c r="AI357" s="346">
        <f ca="1">MAX(AI10+AI356-AH10-AH356,0)</f>
        <v>4000000000</v>
      </c>
      <c r="AJ357" s="346">
        <f ca="1">MAX(AJ10+AJ356-AK10-AK356,0)</f>
        <v>583066238</v>
      </c>
      <c r="AK357" s="346">
        <f ca="1">MAX(AK10+AK356-AJ10-AJ356,0)</f>
        <v>0</v>
      </c>
      <c r="AL357" s="346">
        <f ca="1">MAX(AL10+AL356-AM10-AM356,0)</f>
        <v>359476733</v>
      </c>
      <c r="AM357" s="346">
        <f ca="1">MAX(AM10+AM356-AL10-AL356,0)</f>
        <v>0</v>
      </c>
      <c r="AN357" s="346">
        <f ca="1">MAX(AN10+AN356-AO10-AO356,0)</f>
        <v>0</v>
      </c>
      <c r="AO357" s="346">
        <f ca="1">MAX(AO10+AO356-AN10-AN356,0)</f>
        <v>0</v>
      </c>
      <c r="AP357" s="346">
        <f ca="1">MAX(AP10+AP356-AQ10-AQ356,0)</f>
        <v>0</v>
      </c>
      <c r="AQ357" s="346">
        <f ca="1">MAX(AQ10+AQ356-AP10-AP356,0)</f>
        <v>0</v>
      </c>
      <c r="AR357" s="346">
        <f ca="1">MAX(AR10+AR356-AS10-AS356,0)</f>
        <v>0</v>
      </c>
      <c r="AS357" s="346">
        <f ca="1">MAX(AS10+AS356-AR10-AR356,0)</f>
        <v>0</v>
      </c>
      <c r="AT357" s="346">
        <f ca="1">MAX(AT10+AT356-AU10-AU356,0)</f>
        <v>0</v>
      </c>
      <c r="AU357" s="346">
        <f ca="1">MAX(AU10+AU356-AT10-AT356,0)</f>
        <v>0</v>
      </c>
      <c r="AV357" s="346">
        <f ca="1">MAX(AV10+AV356-AW10-AW356,0)</f>
        <v>0</v>
      </c>
      <c r="AW357" s="346">
        <f ca="1">MAX(AW10+AW356-AV10-AV356,0)</f>
        <v>0</v>
      </c>
      <c r="AX357" s="346">
        <f ca="1">MAX(AX10+AX356-AY10-AY356,0)</f>
        <v>0</v>
      </c>
      <c r="AY357" s="346">
        <f ca="1">MAX(AY10+AY356-AX10-AX356,0)</f>
        <v>0</v>
      </c>
      <c r="AZ357" s="346">
        <f ca="1">MAX(AZ10+AZ356-BA10-BA356,0)</f>
        <v>0</v>
      </c>
      <c r="BA357" s="346">
        <f ca="1">MAX(BA10+BA356-AZ10-AZ356,0)</f>
        <v>348985853</v>
      </c>
    </row>
    <row r="358" spans="1:53" s="314" customFormat="1" ht="16.5" customHeight="1">
      <c r="A358" s="328"/>
      <c r="B358" s="328"/>
      <c r="C358" s="329"/>
      <c r="D358" s="328"/>
      <c r="E358" s="330" t="s">
        <v>308</v>
      </c>
      <c r="F358" s="328"/>
      <c r="G358" s="331"/>
      <c r="H358" s="331"/>
      <c r="I358" s="328"/>
      <c r="J358" s="328">
        <f ca="1">J356+'SC-III'!J245</f>
        <v>0</v>
      </c>
      <c r="K358" s="328">
        <f ca="1">K356+'SC-III'!K245</f>
        <v>10087000</v>
      </c>
      <c r="L358" s="328">
        <f ca="1">L356+'SC-III'!L245</f>
        <v>0</v>
      </c>
      <c r="M358" s="328">
        <f ca="1">M356+'SC-III'!M245</f>
        <v>0</v>
      </c>
      <c r="N358" s="328">
        <f ca="1">N356+'SC-III'!N245</f>
        <v>0</v>
      </c>
      <c r="O358" s="328">
        <f ca="1">O356+'SC-III'!O245</f>
        <v>0</v>
      </c>
      <c r="P358" s="328">
        <f ca="1">P356+'SC-III'!P245</f>
        <v>0</v>
      </c>
      <c r="Q358" s="328">
        <f ca="1">Q356+'SC-III'!Q245</f>
        <v>0</v>
      </c>
      <c r="R358" s="328">
        <f ca="1">R356+'SC-III'!R245</f>
        <v>0</v>
      </c>
      <c r="S358" s="328">
        <f ca="1">S356+'SC-III'!S245</f>
        <v>0</v>
      </c>
      <c r="T358" s="328">
        <f ca="1">T356+'SC-III'!T245</f>
        <v>10087000</v>
      </c>
      <c r="U358" s="328">
        <f ca="1">U356+'SC-III'!U245</f>
        <v>0</v>
      </c>
      <c r="V358" s="328">
        <f ca="1">V356+'SC-III'!V245</f>
        <v>0</v>
      </c>
      <c r="W358" s="328">
        <f ca="1">W356+'SC-III'!W245</f>
        <v>10490880</v>
      </c>
      <c r="X358" s="328">
        <f ca="1">X356+'SC-III'!X245</f>
        <v>0</v>
      </c>
      <c r="Y358" s="328">
        <f ca="1">Y356+'SC-III'!Y245</f>
        <v>0</v>
      </c>
      <c r="Z358" s="328">
        <f ca="1">Z356+'SC-III'!Z245</f>
        <v>0</v>
      </c>
      <c r="AA358" s="328">
        <f ca="1">AA356+'SC-III'!AA245</f>
        <v>0</v>
      </c>
      <c r="AB358" s="328">
        <f ca="1">AB356+'SC-III'!AB245</f>
        <v>0</v>
      </c>
      <c r="AC358" s="328">
        <f ca="1">AC356+'SC-III'!AC245</f>
        <v>0</v>
      </c>
      <c r="AD358" s="328">
        <f ca="1">AD356+'SC-III'!AD245</f>
        <v>0</v>
      </c>
      <c r="AE358" s="328">
        <f ca="1">AE356+'SC-III'!AE245</f>
        <v>0</v>
      </c>
      <c r="AF358" s="328">
        <f ca="1">AF356+'SC-III'!AF245</f>
        <v>0</v>
      </c>
      <c r="AG358" s="328">
        <f ca="1">AG356+'SC-III'!AG245</f>
        <v>0</v>
      </c>
      <c r="AH358" s="328">
        <f ca="1">AH356+'SC-III'!AH245</f>
        <v>0</v>
      </c>
      <c r="AI358" s="328">
        <f ca="1">AI356+'SC-III'!AI245</f>
        <v>0</v>
      </c>
      <c r="AJ358" s="328">
        <f ca="1">AJ356+'SC-III'!AJ245</f>
        <v>359476733</v>
      </c>
      <c r="AK358" s="328">
        <f ca="1">AK356+'SC-III'!AK245</f>
        <v>0</v>
      </c>
      <c r="AL358" s="328">
        <f ca="1">AL356+'SC-III'!AL245</f>
        <v>359476733</v>
      </c>
      <c r="AM358" s="328">
        <f ca="1">AM356+'SC-III'!AM245</f>
        <v>359476733</v>
      </c>
      <c r="AN358" s="328">
        <f ca="1">AN356+'SC-III'!AN245</f>
        <v>0</v>
      </c>
      <c r="AO358" s="328">
        <f ca="1">AO356+'SC-III'!AO245</f>
        <v>0</v>
      </c>
      <c r="AP358" s="328">
        <f ca="1">AP356+'SC-III'!AP245</f>
        <v>0</v>
      </c>
      <c r="AQ358" s="328">
        <f ca="1">AQ356+'SC-III'!AQ245</f>
        <v>0</v>
      </c>
      <c r="AR358" s="328">
        <f ca="1">AR356+'SC-III'!AR245</f>
        <v>10490880</v>
      </c>
      <c r="AS358" s="328">
        <f ca="1">AS356+'SC-III'!AS245</f>
        <v>10490880</v>
      </c>
      <c r="AT358" s="328">
        <f ca="1">AT356+'SC-III'!AT245</f>
        <v>0</v>
      </c>
      <c r="AU358" s="328">
        <f ca="1">AU356+'SC-III'!AU245</f>
        <v>0</v>
      </c>
      <c r="AV358" s="328">
        <f ca="1">AV356+'SC-III'!AV245</f>
        <v>0</v>
      </c>
      <c r="AW358" s="328">
        <f ca="1">AW356+'SC-III'!AW245</f>
        <v>0</v>
      </c>
      <c r="AX358" s="328">
        <f ca="1">AX356+'SC-III'!AX245</f>
        <v>0</v>
      </c>
      <c r="AY358" s="328">
        <f ca="1">AY356+'SC-III'!AY245</f>
        <v>0</v>
      </c>
      <c r="AZ358" s="328">
        <f ca="1">AZ356+'SC-III'!AZ245</f>
        <v>10490880</v>
      </c>
      <c r="BA358" s="328">
        <f ca="1">BA356+'SC-III'!BA245</f>
        <v>359476733</v>
      </c>
    </row>
    <row r="359" spans="1:53" ht="12" customHeight="1">
      <c r="B359" s="333"/>
      <c r="C359" s="334"/>
      <c r="D359" s="334"/>
      <c r="E359" s="334"/>
      <c r="F359" s="334"/>
      <c r="G359" s="335"/>
      <c r="H359" s="335"/>
      <c r="I359" s="334"/>
      <c r="J359" s="334"/>
      <c r="K359" s="334"/>
      <c r="AB359" s="334"/>
      <c r="AC359" s="334"/>
      <c r="AD359" s="334"/>
      <c r="AE359" s="335"/>
      <c r="AF359" s="334"/>
      <c r="AG359" s="335"/>
      <c r="AH359" s="335"/>
      <c r="AI359" s="335"/>
      <c r="AJ359" s="335"/>
      <c r="AK359" s="351"/>
      <c r="AL359" s="334"/>
      <c r="AM359" s="334"/>
      <c r="AN359" s="334"/>
      <c r="AO359" s="334"/>
      <c r="AR359" s="334"/>
      <c r="AS359" s="334"/>
      <c r="AT359" s="334"/>
      <c r="AU359" s="334"/>
      <c r="AV359" s="334"/>
      <c r="AW359" s="334"/>
      <c r="AZ359" s="334"/>
      <c r="BA359" s="334"/>
    </row>
    <row r="360" spans="1:53" ht="12" customHeight="1">
      <c r="B360" s="333"/>
      <c r="C360" s="334"/>
      <c r="D360" s="334"/>
      <c r="E360" s="334"/>
      <c r="F360" s="334"/>
      <c r="G360" s="335"/>
      <c r="H360" s="335"/>
      <c r="I360" s="334"/>
      <c r="J360" s="334"/>
      <c r="K360" s="334"/>
      <c r="AB360" s="334"/>
      <c r="AC360" s="334"/>
      <c r="AD360" s="334"/>
      <c r="AE360" s="335"/>
      <c r="AF360" s="334"/>
      <c r="AG360" s="335"/>
      <c r="AH360" s="335"/>
      <c r="AI360" s="335"/>
      <c r="AJ360" s="335"/>
      <c r="AK360" s="351"/>
      <c r="AL360" s="337" t="s">
        <v>359</v>
      </c>
      <c r="AM360" s="338"/>
      <c r="AN360" s="338"/>
      <c r="AO360" s="338"/>
      <c r="AP360" s="338"/>
      <c r="AQ360" s="338"/>
      <c r="AR360" s="339"/>
      <c r="AS360" s="339"/>
      <c r="AT360" s="338"/>
    </row>
    <row r="361" spans="1:53" ht="12" customHeight="1">
      <c r="J361" s="336"/>
      <c r="K361" s="336"/>
      <c r="L361" s="336"/>
      <c r="M361" s="354"/>
      <c r="N361" s="336"/>
      <c r="O361" s="354"/>
      <c r="P361" s="354"/>
      <c r="Q361" s="354"/>
      <c r="R361" s="336"/>
      <c r="AE361" s="293"/>
      <c r="AG361" s="293"/>
      <c r="AH361" s="293"/>
      <c r="AI361" s="293"/>
      <c r="AJ361" s="293"/>
      <c r="AK361" s="355"/>
      <c r="AL361" s="340" t="s">
        <v>340</v>
      </c>
      <c r="AM361" s="338"/>
      <c r="AN361" s="338"/>
      <c r="AO361" s="338"/>
      <c r="AP361" s="338"/>
      <c r="AQ361" s="338"/>
      <c r="AR361" s="339"/>
      <c r="AS361" s="339"/>
      <c r="AT361" s="338"/>
    </row>
    <row r="362" spans="1:53" s="299" customFormat="1" ht="12" customHeight="1">
      <c r="F362" s="356"/>
      <c r="G362" s="357"/>
      <c r="H362" s="357"/>
      <c r="R362" s="358"/>
      <c r="Z362" s="292"/>
      <c r="AA362" s="292"/>
      <c r="AE362" s="357"/>
      <c r="AG362" s="357"/>
      <c r="AH362" s="357"/>
      <c r="AI362" s="357"/>
      <c r="AJ362" s="357"/>
      <c r="AK362" s="359"/>
      <c r="AL362" s="338"/>
      <c r="AM362" s="338"/>
      <c r="AN362" s="338"/>
      <c r="AO362" s="338"/>
      <c r="AP362" s="338"/>
      <c r="AQ362" s="338"/>
      <c r="AR362" s="338"/>
      <c r="AS362" s="338"/>
      <c r="AT362" s="339"/>
      <c r="AU362" s="292"/>
      <c r="AV362" s="292"/>
      <c r="AW362" s="292"/>
      <c r="AX362" s="292"/>
      <c r="AY362" s="292"/>
      <c r="AZ362" s="292"/>
      <c r="BA362" s="292"/>
    </row>
    <row r="363" spans="1:53" ht="12" customHeight="1">
      <c r="L363" s="314"/>
      <c r="N363" s="314"/>
      <c r="AE363" s="293"/>
      <c r="AG363" s="293"/>
      <c r="AH363" s="293"/>
      <c r="AI363" s="293"/>
      <c r="AJ363" s="293"/>
      <c r="AK363" s="355"/>
      <c r="AL363" s="338"/>
      <c r="AM363" s="338"/>
      <c r="AN363" s="338"/>
      <c r="AO363" s="338"/>
      <c r="AP363" s="338"/>
      <c r="AQ363" s="338"/>
      <c r="AR363" s="338"/>
      <c r="AS363" s="338"/>
      <c r="AT363" s="339"/>
      <c r="AZ363" s="341" t="str">
        <f>"Ngày 31 tháng 12 năm 2015 "</f>
        <v xml:space="preserve">Ngày 31 tháng 12 năm 2015 </v>
      </c>
    </row>
    <row r="364" spans="1:53">
      <c r="J364" s="314"/>
      <c r="K364" s="314"/>
      <c r="AL364" s="338"/>
      <c r="AM364" s="342" t="s">
        <v>14</v>
      </c>
      <c r="AN364" s="338"/>
      <c r="AO364" s="338"/>
      <c r="AP364" s="338"/>
      <c r="AQ364" s="338"/>
      <c r="AR364" s="338"/>
      <c r="AS364" s="343" t="s">
        <v>15</v>
      </c>
      <c r="AT364" s="339"/>
      <c r="AZ364" s="342" t="s">
        <v>206</v>
      </c>
    </row>
    <row r="365" spans="1:53">
      <c r="T365" s="314"/>
      <c r="AL365" s="338"/>
      <c r="AM365" s="344" t="s">
        <v>16</v>
      </c>
      <c r="AN365" s="338"/>
      <c r="AO365" s="338"/>
      <c r="AP365" s="338"/>
      <c r="AQ365" s="338"/>
      <c r="AR365" s="338"/>
      <c r="AS365" s="345" t="s">
        <v>16</v>
      </c>
      <c r="AT365" s="339"/>
      <c r="AZ365" s="344" t="s">
        <v>241</v>
      </c>
    </row>
    <row r="366" spans="1:53">
      <c r="F366" s="314"/>
      <c r="T366" s="314"/>
      <c r="AL366" s="338"/>
      <c r="AM366" s="338"/>
      <c r="AN366" s="338"/>
      <c r="AO366" s="338"/>
      <c r="AP366" s="338"/>
      <c r="AQ366" s="338"/>
      <c r="AR366" s="338"/>
      <c r="AS366" s="338"/>
      <c r="AT366" s="339"/>
      <c r="AZ366" s="338"/>
    </row>
    <row r="367" spans="1:53">
      <c r="F367" s="314"/>
      <c r="T367" s="314"/>
      <c r="AZ367" s="338"/>
    </row>
    <row r="368" spans="1:53">
      <c r="F368" s="314"/>
      <c r="G368" s="314"/>
      <c r="T368" s="314"/>
    </row>
    <row r="369" spans="5:20">
      <c r="F369" s="314"/>
      <c r="T369" s="314"/>
    </row>
    <row r="370" spans="5:20">
      <c r="F370" s="314"/>
      <c r="T370" s="314"/>
    </row>
    <row r="371" spans="5:20">
      <c r="F371" s="314"/>
      <c r="M371" s="336"/>
      <c r="O371" s="336"/>
      <c r="P371" s="336"/>
      <c r="Q371" s="336"/>
      <c r="R371" s="336"/>
      <c r="T371" s="314"/>
    </row>
    <row r="372" spans="5:20">
      <c r="E372" s="347"/>
      <c r="F372" s="314"/>
      <c r="M372" s="336"/>
      <c r="O372" s="336"/>
      <c r="P372" s="336"/>
      <c r="Q372" s="336"/>
      <c r="R372" s="336"/>
    </row>
    <row r="373" spans="5:20">
      <c r="F373" s="336"/>
      <c r="M373" s="336"/>
      <c r="O373" s="336"/>
      <c r="P373" s="336"/>
      <c r="Q373" s="336"/>
      <c r="R373" s="336"/>
    </row>
    <row r="374" spans="5:20">
      <c r="F374" s="336"/>
      <c r="M374" s="336"/>
      <c r="O374" s="336"/>
      <c r="P374" s="336"/>
      <c r="Q374" s="336"/>
      <c r="R374" s="336"/>
    </row>
    <row r="375" spans="5:20">
      <c r="E375" s="336"/>
      <c r="F375" s="336"/>
      <c r="M375" s="336"/>
      <c r="O375" s="336"/>
      <c r="P375" s="336"/>
      <c r="Q375" s="336"/>
      <c r="R375" s="336"/>
    </row>
    <row r="376" spans="5:20">
      <c r="E376" s="336"/>
      <c r="F376" s="336"/>
      <c r="M376" s="336"/>
      <c r="O376" s="336"/>
      <c r="P376" s="336"/>
      <c r="Q376" s="336"/>
      <c r="R376" s="336"/>
    </row>
    <row r="377" spans="5:20">
      <c r="E377" s="336"/>
      <c r="F377" s="336"/>
      <c r="M377" s="336"/>
      <c r="O377" s="336"/>
      <c r="P377" s="336"/>
      <c r="Q377" s="336"/>
      <c r="R377" s="336"/>
    </row>
    <row r="378" spans="5:20">
      <c r="E378" s="336"/>
      <c r="F378" s="336"/>
      <c r="M378" s="336"/>
      <c r="O378" s="336"/>
      <c r="P378" s="336"/>
      <c r="Q378" s="336"/>
      <c r="R378" s="336"/>
    </row>
    <row r="379" spans="5:20">
      <c r="E379" s="336"/>
      <c r="F379" s="336"/>
      <c r="M379" s="336"/>
      <c r="O379" s="336"/>
      <c r="P379" s="336"/>
      <c r="Q379" s="336"/>
      <c r="R379" s="336"/>
    </row>
    <row r="380" spans="5:20">
      <c r="E380" s="336"/>
      <c r="F380" s="336"/>
      <c r="M380" s="336"/>
      <c r="O380" s="336"/>
      <c r="P380" s="336"/>
      <c r="Q380" s="336"/>
      <c r="R380" s="336"/>
    </row>
    <row r="381" spans="5:20">
      <c r="F381" s="336"/>
      <c r="M381" s="336"/>
      <c r="O381" s="336"/>
      <c r="P381" s="336"/>
      <c r="Q381" s="336"/>
      <c r="R381" s="336"/>
    </row>
    <row r="382" spans="5:20">
      <c r="F382" s="336"/>
      <c r="M382" s="336"/>
      <c r="O382" s="336"/>
      <c r="P382" s="336"/>
      <c r="Q382" s="336"/>
      <c r="R382" s="336"/>
    </row>
    <row r="383" spans="5:20">
      <c r="F383" s="336"/>
      <c r="M383" s="336"/>
      <c r="O383" s="336"/>
      <c r="P383" s="336"/>
      <c r="Q383" s="336"/>
      <c r="R383" s="336"/>
    </row>
    <row r="384" spans="5:20">
      <c r="F384" s="336"/>
      <c r="M384" s="336"/>
      <c r="O384" s="336"/>
      <c r="P384" s="336"/>
      <c r="Q384" s="336"/>
      <c r="R384" s="336"/>
    </row>
    <row r="385" spans="6:18">
      <c r="F385" s="336"/>
      <c r="M385" s="336"/>
      <c r="O385" s="336"/>
      <c r="P385" s="336"/>
      <c r="Q385" s="336"/>
      <c r="R385" s="336"/>
    </row>
    <row r="386" spans="6:18">
      <c r="F386" s="336"/>
      <c r="M386" s="336"/>
      <c r="O386" s="336"/>
      <c r="P386" s="336"/>
      <c r="Q386" s="336"/>
      <c r="R386" s="336"/>
    </row>
    <row r="387" spans="6:18">
      <c r="M387" s="336"/>
      <c r="O387" s="336"/>
      <c r="P387" s="336"/>
      <c r="Q387" s="336"/>
      <c r="R387" s="336"/>
    </row>
    <row r="389" spans="6:18">
      <c r="M389" s="336"/>
      <c r="O389" s="336"/>
      <c r="P389" s="336"/>
      <c r="Q389" s="336"/>
      <c r="R389" s="336"/>
    </row>
    <row r="390" spans="6:18">
      <c r="M390" s="336"/>
      <c r="O390" s="336"/>
      <c r="P390" s="336"/>
      <c r="Q390" s="336"/>
      <c r="R390" s="336"/>
    </row>
    <row r="391" spans="6:18">
      <c r="M391" s="336"/>
      <c r="O391" s="336"/>
      <c r="P391" s="336"/>
      <c r="Q391" s="336"/>
      <c r="R391" s="336"/>
    </row>
    <row r="392" spans="6:18">
      <c r="M392" s="336"/>
      <c r="O392" s="336"/>
      <c r="P392" s="336"/>
      <c r="Q392" s="336"/>
      <c r="R392" s="336"/>
    </row>
    <row r="393" spans="6:18">
      <c r="M393" s="336"/>
      <c r="O393" s="336"/>
      <c r="P393" s="336"/>
      <c r="Q393" s="336"/>
      <c r="R393" s="336"/>
    </row>
    <row r="394" spans="6:18">
      <c r="M394" s="336"/>
      <c r="O394" s="336"/>
      <c r="P394" s="336"/>
      <c r="Q394" s="336"/>
      <c r="R394" s="336"/>
    </row>
    <row r="407" spans="13:17">
      <c r="M407" s="336"/>
      <c r="O407" s="336"/>
      <c r="P407" s="336"/>
      <c r="Q407" s="336"/>
    </row>
    <row r="424" spans="13:18">
      <c r="R424" s="336"/>
    </row>
    <row r="425" spans="13:18">
      <c r="R425" s="336"/>
    </row>
    <row r="426" spans="13:18">
      <c r="M426" s="336"/>
      <c r="O426" s="336"/>
      <c r="P426" s="336"/>
      <c r="Q426" s="336"/>
      <c r="R426" s="336"/>
    </row>
    <row r="427" spans="13:18">
      <c r="M427" s="336"/>
      <c r="O427" s="336"/>
      <c r="P427" s="336"/>
      <c r="Q427" s="336"/>
      <c r="R427" s="336"/>
    </row>
    <row r="428" spans="13:18">
      <c r="M428" s="336"/>
      <c r="O428" s="336"/>
      <c r="P428" s="336"/>
      <c r="Q428" s="336"/>
    </row>
    <row r="429" spans="13:18">
      <c r="M429" s="336"/>
      <c r="O429" s="336"/>
      <c r="P429" s="336"/>
      <c r="Q429" s="336"/>
    </row>
    <row r="431" spans="13:18">
      <c r="M431" s="336"/>
      <c r="O431" s="336"/>
      <c r="P431" s="336"/>
      <c r="Q431" s="336"/>
      <c r="R431" s="336"/>
    </row>
    <row r="432" spans="13:18">
      <c r="M432" s="336"/>
      <c r="O432" s="336"/>
      <c r="P432" s="336"/>
      <c r="Q432" s="336"/>
      <c r="R432" s="336"/>
    </row>
    <row r="439" spans="13:18">
      <c r="M439" s="336"/>
      <c r="O439" s="336"/>
      <c r="P439" s="336"/>
      <c r="Q439" s="336"/>
      <c r="R439" s="336"/>
    </row>
    <row r="440" spans="13:18">
      <c r="M440" s="336"/>
      <c r="O440" s="336"/>
      <c r="P440" s="336"/>
      <c r="Q440" s="336"/>
      <c r="R440" s="336"/>
    </row>
    <row r="441" spans="13:18">
      <c r="M441" s="336"/>
      <c r="O441" s="336"/>
      <c r="P441" s="336"/>
      <c r="Q441" s="336"/>
      <c r="R441" s="336"/>
    </row>
    <row r="445" spans="13:18">
      <c r="M445" s="336"/>
      <c r="O445" s="336"/>
      <c r="P445" s="336"/>
      <c r="Q445" s="336"/>
      <c r="R445" s="336"/>
    </row>
    <row r="446" spans="13:18">
      <c r="M446" s="336"/>
      <c r="O446" s="336"/>
      <c r="P446" s="336"/>
      <c r="Q446" s="336"/>
      <c r="R446" s="336"/>
    </row>
    <row r="447" spans="13:18">
      <c r="M447" s="336"/>
      <c r="O447" s="336"/>
      <c r="P447" s="336"/>
      <c r="Q447" s="336"/>
      <c r="R447" s="336"/>
    </row>
    <row r="448" spans="13:18">
      <c r="M448" s="336"/>
      <c r="O448" s="336"/>
      <c r="P448" s="336"/>
      <c r="Q448" s="336"/>
      <c r="R448" s="336"/>
    </row>
    <row r="449" spans="13:18">
      <c r="M449" s="336"/>
      <c r="O449" s="336"/>
      <c r="P449" s="336"/>
      <c r="Q449" s="336"/>
      <c r="R449" s="336"/>
    </row>
    <row r="450" spans="13:18">
      <c r="M450" s="336"/>
      <c r="O450" s="336"/>
      <c r="P450" s="336"/>
      <c r="Q450" s="336"/>
      <c r="R450" s="336"/>
    </row>
    <row r="451" spans="13:18">
      <c r="M451" s="336"/>
      <c r="O451" s="336"/>
      <c r="P451" s="336"/>
      <c r="Q451" s="336"/>
      <c r="R451" s="336"/>
    </row>
    <row r="452" spans="13:18">
      <c r="M452" s="336"/>
      <c r="O452" s="336"/>
      <c r="P452" s="336"/>
      <c r="Q452" s="336"/>
      <c r="R452" s="336"/>
    </row>
    <row r="453" spans="13:18">
      <c r="M453" s="336"/>
      <c r="O453" s="336"/>
      <c r="P453" s="336"/>
      <c r="Q453" s="336"/>
      <c r="R453" s="336"/>
    </row>
    <row r="454" spans="13:18">
      <c r="M454" s="336"/>
      <c r="O454" s="336"/>
      <c r="P454" s="336"/>
      <c r="Q454" s="336"/>
      <c r="R454" s="336"/>
    </row>
    <row r="455" spans="13:18">
      <c r="M455" s="336"/>
      <c r="O455" s="336"/>
      <c r="P455" s="336"/>
      <c r="Q455" s="336"/>
      <c r="R455" s="336"/>
    </row>
    <row r="456" spans="13:18">
      <c r="M456" s="336"/>
      <c r="O456" s="336"/>
      <c r="P456" s="336"/>
      <c r="Q456" s="336"/>
      <c r="R456" s="336"/>
    </row>
    <row r="457" spans="13:18">
      <c r="M457" s="336"/>
      <c r="O457" s="336"/>
      <c r="P457" s="336"/>
      <c r="Q457" s="336"/>
      <c r="R457" s="336"/>
    </row>
    <row r="458" spans="13:18">
      <c r="M458" s="336"/>
      <c r="O458" s="336"/>
      <c r="P458" s="336"/>
      <c r="Q458" s="336"/>
      <c r="R458" s="336"/>
    </row>
    <row r="459" spans="13:18">
      <c r="M459" s="336"/>
      <c r="O459" s="336"/>
      <c r="P459" s="336"/>
      <c r="Q459" s="336"/>
      <c r="R459" s="336"/>
    </row>
    <row r="460" spans="13:18">
      <c r="M460" s="336"/>
      <c r="O460" s="336"/>
      <c r="P460" s="336"/>
      <c r="Q460" s="336"/>
      <c r="R460" s="336"/>
    </row>
    <row r="461" spans="13:18">
      <c r="M461" s="336"/>
      <c r="O461" s="336"/>
      <c r="P461" s="336"/>
      <c r="Q461" s="336"/>
      <c r="R461" s="336"/>
    </row>
    <row r="462" spans="13:18">
      <c r="M462" s="336"/>
      <c r="O462" s="336"/>
      <c r="P462" s="336"/>
      <c r="Q462" s="336"/>
      <c r="R462" s="336"/>
    </row>
    <row r="463" spans="13:18">
      <c r="M463" s="336"/>
      <c r="O463" s="336"/>
      <c r="P463" s="336"/>
      <c r="Q463" s="336"/>
      <c r="R463" s="336"/>
    </row>
    <row r="464" spans="13:18">
      <c r="M464" s="336"/>
      <c r="O464" s="336"/>
      <c r="P464" s="336"/>
      <c r="Q464" s="336"/>
      <c r="R464" s="336"/>
    </row>
    <row r="465" spans="13:18">
      <c r="M465" s="336"/>
      <c r="O465" s="336"/>
      <c r="P465" s="336"/>
      <c r="Q465" s="336"/>
      <c r="R465" s="336"/>
    </row>
    <row r="466" spans="13:18">
      <c r="M466" s="336"/>
      <c r="O466" s="336"/>
      <c r="P466" s="336"/>
      <c r="Q466" s="336"/>
      <c r="R466" s="336"/>
    </row>
    <row r="467" spans="13:18">
      <c r="M467" s="336"/>
      <c r="O467" s="336"/>
      <c r="P467" s="336"/>
      <c r="Q467" s="336"/>
      <c r="R467" s="336"/>
    </row>
    <row r="468" spans="13:18">
      <c r="M468" s="336"/>
      <c r="O468" s="336"/>
      <c r="P468" s="336"/>
      <c r="Q468" s="336"/>
      <c r="R468" s="336"/>
    </row>
    <row r="469" spans="13:18">
      <c r="M469" s="336"/>
      <c r="O469" s="336"/>
      <c r="P469" s="336"/>
      <c r="Q469" s="336"/>
      <c r="R469" s="336"/>
    </row>
    <row r="470" spans="13:18">
      <c r="M470" s="336"/>
      <c r="O470" s="336"/>
      <c r="P470" s="336"/>
      <c r="Q470" s="336"/>
      <c r="R470" s="336"/>
    </row>
    <row r="471" spans="13:18">
      <c r="M471" s="336"/>
      <c r="O471" s="336"/>
      <c r="P471" s="336"/>
      <c r="Q471" s="336"/>
      <c r="R471" s="336"/>
    </row>
    <row r="472" spans="13:18">
      <c r="M472" s="336"/>
      <c r="O472" s="336"/>
      <c r="P472" s="336"/>
      <c r="Q472" s="336"/>
      <c r="R472" s="336"/>
    </row>
    <row r="473" spans="13:18">
      <c r="M473" s="336"/>
      <c r="O473" s="336"/>
      <c r="P473" s="336"/>
      <c r="Q473" s="336"/>
      <c r="R473" s="336"/>
    </row>
    <row r="474" spans="13:18">
      <c r="M474" s="336"/>
      <c r="O474" s="336"/>
      <c r="P474" s="336"/>
      <c r="Q474" s="336"/>
      <c r="R474" s="336"/>
    </row>
    <row r="475" spans="13:18">
      <c r="M475" s="336"/>
      <c r="O475" s="336"/>
      <c r="P475" s="336"/>
      <c r="Q475" s="336"/>
      <c r="R475" s="336"/>
    </row>
    <row r="476" spans="13:18">
      <c r="M476" s="336"/>
      <c r="O476" s="336"/>
      <c r="P476" s="336"/>
      <c r="Q476" s="336"/>
      <c r="R476" s="336"/>
    </row>
    <row r="477" spans="13:18">
      <c r="M477" s="336"/>
      <c r="O477" s="336"/>
      <c r="P477" s="336"/>
      <c r="Q477" s="336"/>
      <c r="R477" s="336"/>
    </row>
    <row r="478" spans="13:18">
      <c r="M478" s="336"/>
      <c r="O478" s="336"/>
      <c r="P478" s="336"/>
      <c r="Q478" s="336"/>
      <c r="R478" s="336"/>
    </row>
    <row r="479" spans="13:18">
      <c r="M479" s="336"/>
      <c r="O479" s="336"/>
      <c r="P479" s="336"/>
      <c r="Q479" s="336"/>
      <c r="R479" s="336"/>
    </row>
    <row r="480" spans="13:18">
      <c r="M480" s="336"/>
      <c r="O480" s="336"/>
      <c r="P480" s="336"/>
      <c r="Q480" s="336"/>
      <c r="R480" s="336"/>
    </row>
    <row r="481" spans="13:18">
      <c r="M481" s="336"/>
      <c r="O481" s="336"/>
      <c r="P481" s="336"/>
      <c r="Q481" s="336"/>
      <c r="R481" s="336"/>
    </row>
    <row r="482" spans="13:18">
      <c r="M482" s="336"/>
      <c r="O482" s="336"/>
      <c r="P482" s="336"/>
      <c r="Q482" s="336"/>
      <c r="R482" s="336"/>
    </row>
    <row r="483" spans="13:18">
      <c r="M483" s="336"/>
      <c r="O483" s="336"/>
      <c r="P483" s="336"/>
      <c r="Q483" s="336"/>
      <c r="R483" s="336"/>
    </row>
    <row r="484" spans="13:18">
      <c r="M484" s="336"/>
      <c r="O484" s="336"/>
      <c r="P484" s="336"/>
      <c r="Q484" s="336"/>
      <c r="R484" s="336"/>
    </row>
    <row r="485" spans="13:18">
      <c r="M485" s="336"/>
      <c r="O485" s="336"/>
      <c r="P485" s="336"/>
      <c r="Q485" s="336"/>
      <c r="R485" s="336"/>
    </row>
    <row r="486" spans="13:18">
      <c r="M486" s="336"/>
      <c r="O486" s="336"/>
      <c r="P486" s="336"/>
      <c r="Q486" s="336"/>
      <c r="R486" s="336"/>
    </row>
    <row r="487" spans="13:18">
      <c r="M487" s="336"/>
      <c r="O487" s="336"/>
      <c r="P487" s="336"/>
      <c r="Q487" s="336"/>
      <c r="R487" s="336"/>
    </row>
    <row r="488" spans="13:18">
      <c r="M488" s="336"/>
      <c r="O488" s="336"/>
      <c r="P488" s="336"/>
      <c r="Q488" s="336"/>
      <c r="R488" s="336"/>
    </row>
    <row r="489" spans="13:18">
      <c r="M489" s="336"/>
      <c r="O489" s="336"/>
      <c r="P489" s="336"/>
      <c r="Q489" s="336"/>
      <c r="R489" s="336"/>
    </row>
    <row r="490" spans="13:18">
      <c r="M490" s="336"/>
      <c r="O490" s="336"/>
      <c r="P490" s="336"/>
      <c r="Q490" s="336"/>
      <c r="R490" s="336"/>
    </row>
    <row r="491" spans="13:18">
      <c r="M491" s="336"/>
      <c r="O491" s="336"/>
      <c r="P491" s="336"/>
      <c r="Q491" s="336"/>
      <c r="R491" s="336"/>
    </row>
    <row r="492" spans="13:18">
      <c r="M492" s="336"/>
      <c r="O492" s="336"/>
      <c r="P492" s="336"/>
      <c r="Q492" s="336"/>
      <c r="R492" s="336"/>
    </row>
    <row r="493" spans="13:18">
      <c r="M493" s="336"/>
      <c r="O493" s="336"/>
      <c r="P493" s="336"/>
      <c r="Q493" s="336"/>
      <c r="R493" s="336"/>
    </row>
    <row r="494" spans="13:18">
      <c r="M494" s="336"/>
      <c r="O494" s="336"/>
      <c r="P494" s="336"/>
      <c r="Q494" s="336"/>
      <c r="R494" s="336"/>
    </row>
    <row r="495" spans="13:18">
      <c r="M495" s="336"/>
      <c r="O495" s="336"/>
      <c r="P495" s="336"/>
      <c r="Q495" s="336"/>
      <c r="R495" s="336"/>
    </row>
    <row r="496" spans="13:18">
      <c r="M496" s="336"/>
      <c r="O496" s="336"/>
      <c r="P496" s="336"/>
      <c r="Q496" s="336"/>
      <c r="R496" s="336"/>
    </row>
    <row r="497" spans="13:18">
      <c r="M497" s="336"/>
      <c r="O497" s="336"/>
      <c r="P497" s="336"/>
      <c r="Q497" s="336"/>
      <c r="R497" s="336"/>
    </row>
    <row r="498" spans="13:18">
      <c r="M498" s="336"/>
      <c r="O498" s="336"/>
      <c r="P498" s="336"/>
      <c r="Q498" s="336"/>
      <c r="R498" s="336"/>
    </row>
    <row r="499" spans="13:18">
      <c r="M499" s="336"/>
      <c r="O499" s="336"/>
      <c r="P499" s="336"/>
      <c r="Q499" s="336"/>
      <c r="R499" s="336"/>
    </row>
    <row r="500" spans="13:18">
      <c r="M500" s="336"/>
      <c r="O500" s="336"/>
      <c r="P500" s="336"/>
      <c r="Q500" s="336"/>
      <c r="R500" s="336"/>
    </row>
    <row r="501" spans="13:18">
      <c r="M501" s="336"/>
      <c r="O501" s="336"/>
      <c r="P501" s="336"/>
      <c r="Q501" s="336"/>
      <c r="R501" s="336"/>
    </row>
    <row r="502" spans="13:18">
      <c r="M502" s="336"/>
      <c r="O502" s="336"/>
      <c r="P502" s="336"/>
      <c r="Q502" s="336"/>
      <c r="R502" s="336"/>
    </row>
    <row r="503" spans="13:18">
      <c r="M503" s="336"/>
      <c r="O503" s="336"/>
      <c r="P503" s="336"/>
      <c r="Q503" s="336"/>
      <c r="R503" s="336"/>
    </row>
    <row r="504" spans="13:18">
      <c r="M504" s="336"/>
      <c r="O504" s="336"/>
      <c r="P504" s="336"/>
      <c r="Q504" s="336"/>
      <c r="R504" s="336"/>
    </row>
    <row r="505" spans="13:18">
      <c r="M505" s="336"/>
      <c r="O505" s="336"/>
      <c r="P505" s="336"/>
      <c r="Q505" s="336"/>
      <c r="R505" s="336"/>
    </row>
    <row r="506" spans="13:18">
      <c r="M506" s="336"/>
      <c r="O506" s="336"/>
      <c r="P506" s="336"/>
      <c r="Q506" s="336"/>
      <c r="R506" s="336"/>
    </row>
    <row r="507" spans="13:18">
      <c r="M507" s="336"/>
      <c r="O507" s="336"/>
      <c r="P507" s="336"/>
      <c r="Q507" s="336"/>
      <c r="R507" s="336"/>
    </row>
    <row r="508" spans="13:18">
      <c r="M508" s="336"/>
      <c r="O508" s="336"/>
      <c r="P508" s="336"/>
      <c r="Q508" s="336"/>
      <c r="R508" s="336"/>
    </row>
    <row r="509" spans="13:18">
      <c r="M509" s="336"/>
      <c r="O509" s="336"/>
      <c r="P509" s="336"/>
      <c r="Q509" s="336"/>
      <c r="R509" s="336"/>
    </row>
    <row r="510" spans="13:18">
      <c r="M510" s="336"/>
      <c r="O510" s="336"/>
      <c r="P510" s="336"/>
      <c r="Q510" s="336"/>
      <c r="R510" s="336"/>
    </row>
    <row r="511" spans="13:18">
      <c r="M511" s="336"/>
      <c r="O511" s="336"/>
      <c r="P511" s="336"/>
      <c r="Q511" s="336"/>
      <c r="R511" s="336"/>
    </row>
    <row r="512" spans="13:18">
      <c r="M512" s="336"/>
      <c r="O512" s="336"/>
      <c r="P512" s="336"/>
      <c r="Q512" s="336"/>
      <c r="R512" s="336"/>
    </row>
    <row r="513" spans="13:18">
      <c r="M513" s="336"/>
      <c r="O513" s="336"/>
      <c r="P513" s="336"/>
      <c r="Q513" s="336"/>
      <c r="R513" s="336"/>
    </row>
    <row r="514" spans="13:18">
      <c r="M514" s="336"/>
      <c r="O514" s="336"/>
      <c r="P514" s="336"/>
      <c r="Q514" s="336"/>
      <c r="R514" s="336"/>
    </row>
    <row r="515" spans="13:18">
      <c r="M515" s="336"/>
      <c r="O515" s="336"/>
      <c r="P515" s="336"/>
      <c r="Q515" s="336"/>
      <c r="R515" s="336"/>
    </row>
    <row r="516" spans="13:18">
      <c r="M516" s="336"/>
      <c r="O516" s="336"/>
      <c r="P516" s="336"/>
      <c r="Q516" s="336"/>
      <c r="R516" s="336"/>
    </row>
    <row r="517" spans="13:18">
      <c r="M517" s="336"/>
      <c r="O517" s="336"/>
      <c r="P517" s="336"/>
      <c r="Q517" s="336"/>
      <c r="R517" s="336"/>
    </row>
    <row r="518" spans="13:18">
      <c r="M518" s="336"/>
      <c r="O518" s="336"/>
      <c r="P518" s="336"/>
      <c r="Q518" s="336"/>
      <c r="R518" s="336"/>
    </row>
    <row r="519" spans="13:18">
      <c r="M519" s="336"/>
      <c r="O519" s="336"/>
      <c r="P519" s="336"/>
      <c r="Q519" s="336"/>
      <c r="R519" s="336"/>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33" activePane="bottomLeft" state="frozen"/>
      <selection activeCell="A7" sqref="A7"/>
      <selection pane="bottomLeft" activeCell="E7" sqref="E7"/>
    </sheetView>
  </sheetViews>
  <sheetFormatPr defaultRowHeight="15"/>
  <cols>
    <col min="1" max="1" width="7.7109375" style="240" customWidth="1"/>
    <col min="2" max="2" width="6.28515625" style="240" customWidth="1"/>
    <col min="3" max="3" width="7.42578125" style="240" customWidth="1"/>
    <col min="4" max="4" width="34.5703125" style="5" customWidth="1"/>
    <col min="5" max="5" width="6.28515625" style="24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4" t="s">
        <v>274</v>
      </c>
      <c r="H2" s="1094"/>
      <c r="I2" s="1094"/>
    </row>
    <row r="3" spans="1:9" ht="15.75" customHeight="1">
      <c r="A3" s="1" t="s">
        <v>275</v>
      </c>
      <c r="G3" s="1095" t="s">
        <v>224</v>
      </c>
      <c r="H3" s="1095"/>
      <c r="I3" s="1095"/>
    </row>
    <row r="4" spans="1:9">
      <c r="F4" s="17"/>
      <c r="G4" s="1095"/>
      <c r="H4" s="1095"/>
      <c r="I4" s="1095"/>
    </row>
    <row r="5" spans="1:9" ht="17.25" customHeight="1">
      <c r="A5" s="1096" t="s">
        <v>276</v>
      </c>
      <c r="B5" s="1096"/>
      <c r="C5" s="1096"/>
      <c r="D5" s="1096"/>
      <c r="E5" s="1096"/>
      <c r="F5" s="1096"/>
      <c r="G5" s="1096"/>
      <c r="H5" s="1096"/>
      <c r="I5" s="1096"/>
    </row>
    <row r="6" spans="1:9">
      <c r="A6" s="1097" t="s">
        <v>277</v>
      </c>
      <c r="B6" s="1098"/>
      <c r="C6" s="1098"/>
      <c r="D6" s="1098"/>
      <c r="E6" s="1098"/>
      <c r="F6" s="1098"/>
      <c r="G6" s="1098"/>
      <c r="H6" s="1098"/>
      <c r="I6" s="1098"/>
    </row>
    <row r="7" spans="1:9">
      <c r="B7" s="5"/>
      <c r="C7" s="5"/>
      <c r="D7" s="284" t="s">
        <v>278</v>
      </c>
      <c r="E7" s="285" t="s">
        <v>107</v>
      </c>
    </row>
    <row r="8" spans="1:9">
      <c r="B8" s="5"/>
      <c r="C8" s="5"/>
      <c r="D8" s="284" t="s">
        <v>279</v>
      </c>
      <c r="E8" s="5" t="str">
        <f>VLOOKUP($E$7,DSTK,2,0)</f>
        <v xml:space="preserve"> Phải Thu Khác </v>
      </c>
    </row>
    <row r="9" spans="1:9">
      <c r="A9" s="1098" t="s">
        <v>36</v>
      </c>
      <c r="B9" s="1099"/>
      <c r="C9" s="1099"/>
      <c r="D9" s="1099"/>
      <c r="E9" s="1099"/>
      <c r="F9" s="1099"/>
      <c r="G9" s="1099"/>
      <c r="H9" s="1099"/>
      <c r="I9" s="1099"/>
    </row>
    <row r="10" spans="1:9" ht="9.75" customHeight="1">
      <c r="C10" s="1100"/>
      <c r="D10" s="1101"/>
      <c r="E10" s="1101"/>
      <c r="F10" s="1101"/>
      <c r="G10" s="1101"/>
      <c r="H10" s="1101"/>
      <c r="I10" s="1101"/>
    </row>
    <row r="11" spans="1:9" s="18" customFormat="1" ht="19.5" customHeight="1">
      <c r="A11" s="1102" t="s">
        <v>27</v>
      </c>
      <c r="B11" s="1092" t="s">
        <v>1</v>
      </c>
      <c r="C11" s="1103"/>
      <c r="D11" s="1102" t="s">
        <v>0</v>
      </c>
      <c r="E11" s="1102" t="s">
        <v>19</v>
      </c>
      <c r="F11" s="1092" t="s">
        <v>28</v>
      </c>
      <c r="G11" s="1103"/>
      <c r="H11" s="1092" t="s">
        <v>38</v>
      </c>
      <c r="I11" s="1093"/>
    </row>
    <row r="12" spans="1:9" s="18" customFormat="1" ht="32.25" customHeight="1">
      <c r="A12" s="1102"/>
      <c r="B12" s="478" t="s">
        <v>20</v>
      </c>
      <c r="C12" s="478" t="s">
        <v>39</v>
      </c>
      <c r="D12" s="1102"/>
      <c r="E12" s="1102"/>
      <c r="F12" s="478" t="s">
        <v>29</v>
      </c>
      <c r="G12" s="478" t="s">
        <v>30</v>
      </c>
      <c r="H12" s="478" t="s">
        <v>29</v>
      </c>
      <c r="I12" s="478" t="s">
        <v>30</v>
      </c>
    </row>
    <row r="13" spans="1:9" s="423" customFormat="1" ht="11.25" customHeight="1">
      <c r="A13" s="427" t="s">
        <v>2</v>
      </c>
      <c r="B13" s="428" t="s">
        <v>3</v>
      </c>
      <c r="C13" s="427" t="s">
        <v>4</v>
      </c>
      <c r="D13" s="427" t="s">
        <v>5</v>
      </c>
      <c r="E13" s="427" t="s">
        <v>6</v>
      </c>
      <c r="F13" s="427">
        <v>1</v>
      </c>
      <c r="G13" s="427">
        <v>2</v>
      </c>
      <c r="H13" s="427">
        <v>3</v>
      </c>
      <c r="I13" s="427">
        <v>4</v>
      </c>
    </row>
    <row r="14" spans="1:9" s="18" customFormat="1" ht="18" customHeight="1">
      <c r="A14" s="479"/>
      <c r="B14" s="455"/>
      <c r="C14" s="479"/>
      <c r="D14" s="454" t="s">
        <v>7</v>
      </c>
      <c r="E14" s="455"/>
      <c r="F14" s="480"/>
      <c r="G14" s="480"/>
      <c r="H14" s="480">
        <f>VLOOKUP($E$7,DSTK,3,0)</f>
        <v>0</v>
      </c>
      <c r="I14" s="480">
        <f>VLOOKUP($E$7,DSTK,4,0)</f>
        <v>0</v>
      </c>
    </row>
    <row r="15" spans="1:9" s="18" customFormat="1" ht="18" customHeight="1">
      <c r="A15" s="388">
        <f ca="1">IF(ROWS($1:1)&gt;COUNT(Dong5),"",OFFSET(TH!C$1,SMALL(Dong5,ROWS($1:1)),))</f>
        <v>42403</v>
      </c>
      <c r="B15" s="388" t="str">
        <f ca="1">IF(ROWS($1:1)&gt;COUNT(Dong5),"",OFFSET(TH!D$1,SMALL(Dong5,ROWS($1:1)),))</f>
        <v>GBN</v>
      </c>
      <c r="C15" s="388">
        <f ca="1">IF(ROWS($1:1)&gt;COUNT(Dong5),"",OFFSET(TH!E$1,SMALL(Dong5,ROWS($1:1)),))</f>
        <v>42403</v>
      </c>
      <c r="D15" s="481" t="str">
        <f ca="1">IF(ROWS($1:1)&gt;COUNT(Dong5),"",OFFSET(TH!F$1,SMALL(Dong5,ROWS($1:1)),))</f>
        <v>Ứng vốn - LA</v>
      </c>
      <c r="E15" s="388" t="str">
        <f ca="1">IF(ROWS($1:1)&gt;COUNT(Dong5),"",IF(OFFSET(TH!N$1,SMALL(Dong5,ROWS($1:1)),)=$E$7,OFFSET(TH!O$1,SMALL(Dong5,ROWS($1:1)),),OFFSET(TH!N$1,SMALL(Dong5,ROWS($1:1)),)))</f>
        <v>1121</v>
      </c>
      <c r="F15" s="482">
        <f ca="1">IF(ROWS($1:1)&gt;COUNT(Dong5),0,IF(OFFSET(TH!N$1,SMALL(Dong5,ROWS($1:1)),)=$E$7,OFFSET(TH!M$1,SMALL(Dong5,ROWS($1:1)),),0))</f>
        <v>110000000</v>
      </c>
      <c r="G15" s="480">
        <f ca="1">IF(ROWS($1:1)&gt;COUNT(Dong5),0,IF(OFFSET(TH!O$1,SMALL(Dong5,ROWS($1:1)),)=$E$7,OFFSET(TH!M$1,SMALL(Dong5,ROWS($1:1)),),0))</f>
        <v>0</v>
      </c>
      <c r="H15" s="483">
        <f ca="1">IF(D15&lt;&gt;"",MAX(H14+F15-G15-I14,0),0)</f>
        <v>110000000</v>
      </c>
      <c r="I15" s="483">
        <f ca="1">IF(D15&lt;&gt;"",MAX(I14+G15-H14-F15,0),0)</f>
        <v>0</v>
      </c>
    </row>
    <row r="16" spans="1:9" s="18" customFormat="1" ht="18" customHeight="1">
      <c r="A16" s="388">
        <f ca="1">IF(ROWS($1:2)&gt;COUNT(Dong5),"",OFFSET(TH!C$1,SMALL(Dong5,ROWS($1:2)),))</f>
        <v>42403</v>
      </c>
      <c r="B16" s="388" t="str">
        <f ca="1">IF(ROWS($1:2)&gt;COUNT(Dong5),"",OFFSET(TH!D$1,SMALL(Dong5,ROWS($1:2)),))</f>
        <v>T02</v>
      </c>
      <c r="C16" s="388">
        <f ca="1">IF(ROWS($1:2)&gt;COUNT(Dong5),"",OFFSET(TH!E$1,SMALL(Dong5,ROWS($1:2)),))</f>
        <v>42403</v>
      </c>
      <c r="D16" s="481" t="str">
        <f ca="1">IF(ROWS($1:2)&gt;COUNT(Dong5),"",OFFSET(TH!F$1,SMALL(Dong5,ROWS($1:2)),))</f>
        <v>Thu hoàn trả vốn mượn</v>
      </c>
      <c r="E16" s="388" t="str">
        <f ca="1">IF(ROWS($1:2)&gt;COUNT(Dong5),"",IF(OFFSET(TH!N$1,SMALL(Dong5,ROWS($1:2)),)=$E$7,OFFSET(TH!O$1,SMALL(Dong5,ROWS($1:2)),),OFFSET(TH!N$1,SMALL(Dong5,ROWS($1:2)),)))</f>
        <v>1111</v>
      </c>
      <c r="F16" s="482">
        <f ca="1">IF(ROWS($1:2)&gt;COUNT(Dong5),0,IF(OFFSET(TH!N$1,SMALL(Dong5,ROWS($1:2)),)=$E$7,OFFSET(TH!M$1,SMALL(Dong5,ROWS($1:2)),),0))</f>
        <v>0</v>
      </c>
      <c r="G16" s="480">
        <f ca="1">IF(ROWS($1:2)&gt;COUNT(Dong5),0,IF(OFFSET(TH!O$1,SMALL(Dong5,ROWS($1:2)),)=$E$7,OFFSET(TH!M$1,SMALL(Dong5,ROWS($1:2)),),0))</f>
        <v>110000000</v>
      </c>
      <c r="H16" s="483">
        <f t="shared" ref="H16:H32" ca="1" si="0">IF(D16&lt;&gt;"",MAX(H15+F16-G16-I15,0),0)</f>
        <v>0</v>
      </c>
      <c r="I16" s="483">
        <f t="shared" ref="I16:I32" ca="1" si="1">IF(D16&lt;&gt;"",MAX(I15+G16-H15-F16,0),0)</f>
        <v>0</v>
      </c>
    </row>
    <row r="17" spans="1:9" s="18" customFormat="1" ht="18" customHeight="1">
      <c r="A17" s="388">
        <f ca="1">IF(ROWS($1:3)&gt;COUNT(Dong5),"",OFFSET(TH!C$1,SMALL(Dong5,ROWS($1:3)),))</f>
        <v>42425</v>
      </c>
      <c r="B17" s="388" t="str">
        <f ca="1">IF(ROWS($1:3)&gt;COUNT(Dong5),"",OFFSET(TH!D$1,SMALL(Dong5,ROWS($1:3)),))</f>
        <v>GBC</v>
      </c>
      <c r="C17" s="388">
        <f ca="1">IF(ROWS($1:3)&gt;COUNT(Dong5),"",OFFSET(TH!E$1,SMALL(Dong5,ROWS($1:3)),))</f>
        <v>42425</v>
      </c>
      <c r="D17" s="481" t="str">
        <f ca="1">IF(ROWS($1:3)&gt;COUNT(Dong5),"",OFFSET(TH!F$1,SMALL(Dong5,ROWS($1:3)),))</f>
        <v>Ứng vốn - LA</v>
      </c>
      <c r="E17" s="388" t="str">
        <f ca="1">IF(ROWS($1:3)&gt;COUNT(Dong5),"",IF(OFFSET(TH!N$1,SMALL(Dong5,ROWS($1:3)),)=$E$7,OFFSET(TH!O$1,SMALL(Dong5,ROWS($1:3)),),OFFSET(TH!N$1,SMALL(Dong5,ROWS($1:3)),)))</f>
        <v>1121</v>
      </c>
      <c r="F17" s="482">
        <f ca="1">IF(ROWS($1:3)&gt;COUNT(Dong5),0,IF(OFFSET(TH!N$1,SMALL(Dong5,ROWS($1:3)),)=$E$7,OFFSET(TH!M$1,SMALL(Dong5,ROWS($1:3)),),0))</f>
        <v>0</v>
      </c>
      <c r="G17" s="480">
        <f ca="1">IF(ROWS($1:3)&gt;COUNT(Dong5),0,IF(OFFSET(TH!O$1,SMALL(Dong5,ROWS($1:3)),)=$E$7,OFFSET(TH!M$1,SMALL(Dong5,ROWS($1:3)),),0))</f>
        <v>5000000</v>
      </c>
      <c r="H17" s="483">
        <f t="shared" ca="1" si="0"/>
        <v>0</v>
      </c>
      <c r="I17" s="483">
        <f t="shared" ca="1" si="1"/>
        <v>5000000</v>
      </c>
    </row>
    <row r="18" spans="1:9" s="18" customFormat="1" ht="18" customHeight="1">
      <c r="A18" s="388">
        <f ca="1">IF(ROWS($1:4)&gt;COUNT(Dong5),"",OFFSET(TH!C$1,SMALL(Dong5,ROWS($1:4)),))</f>
        <v>42425</v>
      </c>
      <c r="B18" s="388" t="str">
        <f ca="1">IF(ROWS($1:4)&gt;COUNT(Dong5),"",OFFSET(TH!D$1,SMALL(Dong5,ROWS($1:4)),))</f>
        <v>C30</v>
      </c>
      <c r="C18" s="388">
        <f ca="1">IF(ROWS($1:4)&gt;COUNT(Dong5),"",OFFSET(TH!E$1,SMALL(Dong5,ROWS($1:4)),))</f>
        <v>42425</v>
      </c>
      <c r="D18" s="481" t="str">
        <f ca="1">IF(ROWS($1:4)&gt;COUNT(Dong5),"",OFFSET(TH!F$1,SMALL(Dong5,ROWS($1:4)),))</f>
        <v>Trả vốn mượn</v>
      </c>
      <c r="E18" s="388" t="str">
        <f ca="1">IF(ROWS($1:4)&gt;COUNT(Dong5),"",IF(OFFSET(TH!N$1,SMALL(Dong5,ROWS($1:4)),)=$E$7,OFFSET(TH!O$1,SMALL(Dong5,ROWS($1:4)),),OFFSET(TH!N$1,SMALL(Dong5,ROWS($1:4)),)))</f>
        <v>1111</v>
      </c>
      <c r="F18" s="482">
        <f ca="1">IF(ROWS($1:4)&gt;COUNT(Dong5),0,IF(OFFSET(TH!N$1,SMALL(Dong5,ROWS($1:4)),)=$E$7,OFFSET(TH!M$1,SMALL(Dong5,ROWS($1:4)),),0))</f>
        <v>5000000</v>
      </c>
      <c r="G18" s="480">
        <f ca="1">IF(ROWS($1:4)&gt;COUNT(Dong5),0,IF(OFFSET(TH!O$1,SMALL(Dong5,ROWS($1:4)),)=$E$7,OFFSET(TH!M$1,SMALL(Dong5,ROWS($1:4)),),0))</f>
        <v>0</v>
      </c>
      <c r="H18" s="483">
        <f t="shared" ca="1" si="0"/>
        <v>0</v>
      </c>
      <c r="I18" s="483">
        <f t="shared" ca="1" si="1"/>
        <v>0</v>
      </c>
    </row>
    <row r="19" spans="1:9" s="18" customFormat="1" ht="18" customHeight="1">
      <c r="A19" s="388">
        <f ca="1">IF(ROWS($1:5)&gt;COUNT(Dong5),"",OFFSET(TH!C$1,SMALL(Dong5,ROWS($1:5)),))</f>
        <v>42448</v>
      </c>
      <c r="B19" s="388" t="str">
        <f ca="1">IF(ROWS($1:5)&gt;COUNT(Dong5),"",OFFSET(TH!D$1,SMALL(Dong5,ROWS($1:5)),))</f>
        <v>GBN</v>
      </c>
      <c r="C19" s="388">
        <f ca="1">IF(ROWS($1:5)&gt;COUNT(Dong5),"",OFFSET(TH!E$1,SMALL(Dong5,ROWS($1:5)),))</f>
        <v>42448</v>
      </c>
      <c r="D19" s="481" t="str">
        <f ca="1">IF(ROWS($1:5)&gt;COUNT(Dong5),"",OFFSET(TH!F$1,SMALL(Dong5,ROWS($1:5)),))</f>
        <v>Ứng vốn - LA</v>
      </c>
      <c r="E19" s="388" t="str">
        <f ca="1">IF(ROWS($1:5)&gt;COUNT(Dong5),"",IF(OFFSET(TH!N$1,SMALL(Dong5,ROWS($1:5)),)=$E$7,OFFSET(TH!O$1,SMALL(Dong5,ROWS($1:5)),),OFFSET(TH!N$1,SMALL(Dong5,ROWS($1:5)),)))</f>
        <v>1121</v>
      </c>
      <c r="F19" s="482">
        <f ca="1">IF(ROWS($1:5)&gt;COUNT(Dong5),0,IF(OFFSET(TH!N$1,SMALL(Dong5,ROWS($1:5)),)=$E$7,OFFSET(TH!M$1,SMALL(Dong5,ROWS($1:5)),),0))</f>
        <v>50000000</v>
      </c>
      <c r="G19" s="480">
        <f ca="1">IF(ROWS($1:5)&gt;COUNT(Dong5),0,IF(OFFSET(TH!O$1,SMALL(Dong5,ROWS($1:5)),)=$E$7,OFFSET(TH!M$1,SMALL(Dong5,ROWS($1:5)),),0))</f>
        <v>0</v>
      </c>
      <c r="H19" s="483">
        <f t="shared" ca="1" si="0"/>
        <v>50000000</v>
      </c>
      <c r="I19" s="483">
        <f t="shared" ca="1" si="1"/>
        <v>0</v>
      </c>
    </row>
    <row r="20" spans="1:9" s="18" customFormat="1" ht="18" customHeight="1">
      <c r="A20" s="388">
        <f ca="1">IF(ROWS($1:6)&gt;COUNT(Dong5),"",OFFSET(TH!C$1,SMALL(Dong5,ROWS($1:6)),))</f>
        <v>42448</v>
      </c>
      <c r="B20" s="388" t="str">
        <f ca="1">IF(ROWS($1:6)&gt;COUNT(Dong5),"",OFFSET(TH!D$1,SMALL(Dong5,ROWS($1:6)),))</f>
        <v>T04</v>
      </c>
      <c r="C20" s="388">
        <f ca="1">IF(ROWS($1:6)&gt;COUNT(Dong5),"",OFFSET(TH!E$1,SMALL(Dong5,ROWS($1:6)),))</f>
        <v>42448</v>
      </c>
      <c r="D20" s="481" t="str">
        <f ca="1">IF(ROWS($1:6)&gt;COUNT(Dong5),"",OFFSET(TH!F$1,SMALL(Dong5,ROWS($1:6)),))</f>
        <v>Thu vốn mượn</v>
      </c>
      <c r="E20" s="388" t="str">
        <f ca="1">IF(ROWS($1:6)&gt;COUNT(Dong5),"",IF(OFFSET(TH!N$1,SMALL(Dong5,ROWS($1:6)),)=$E$7,OFFSET(TH!O$1,SMALL(Dong5,ROWS($1:6)),),OFFSET(TH!N$1,SMALL(Dong5,ROWS($1:6)),)))</f>
        <v>1111</v>
      </c>
      <c r="F20" s="482">
        <f ca="1">IF(ROWS($1:6)&gt;COUNT(Dong5),0,IF(OFFSET(TH!N$1,SMALL(Dong5,ROWS($1:6)),)=$E$7,OFFSET(TH!M$1,SMALL(Dong5,ROWS($1:6)),),0))</f>
        <v>0</v>
      </c>
      <c r="G20" s="480">
        <f ca="1">IF(ROWS($1:6)&gt;COUNT(Dong5),0,IF(OFFSET(TH!O$1,SMALL(Dong5,ROWS($1:6)),)=$E$7,OFFSET(TH!M$1,SMALL(Dong5,ROWS($1:6)),),0))</f>
        <v>50000000</v>
      </c>
      <c r="H20" s="483">
        <f t="shared" ca="1" si="0"/>
        <v>0</v>
      </c>
      <c r="I20" s="483">
        <f t="shared" ca="1" si="1"/>
        <v>0</v>
      </c>
    </row>
    <row r="21" spans="1:9" s="18" customFormat="1" ht="18" customHeight="1">
      <c r="A21" s="388">
        <f ca="1">IF(ROWS($1:7)&gt;COUNT(Dong5),"",OFFSET(TH!C$1,SMALL(Dong5,ROWS($1:7)),))</f>
        <v>42481</v>
      </c>
      <c r="B21" s="388" t="str">
        <f ca="1">IF(ROWS($1:7)&gt;COUNT(Dong5),"",OFFSET(TH!D$1,SMALL(Dong5,ROWS($1:7)),))</f>
        <v>GBC</v>
      </c>
      <c r="C21" s="388">
        <f ca="1">IF(ROWS($1:7)&gt;COUNT(Dong5),"",OFFSET(TH!E$1,SMALL(Dong5,ROWS($1:7)),))</f>
        <v>42481</v>
      </c>
      <c r="D21" s="481" t="str">
        <f ca="1">IF(ROWS($1:7)&gt;COUNT(Dong5),"",OFFSET(TH!F$1,SMALL(Dong5,ROWS($1:7)),)&amp;" - "&amp;OFFSET(TH!H$1,SMALL(Dong5,ROWS($1:7)),))</f>
        <v>Ứng vốn - Cty TNHH Hải Sản An Lạc</v>
      </c>
      <c r="E21" s="388" t="str">
        <f ca="1">IF(ROWS($1:7)&gt;COUNT(Dong5),"",IF(OFFSET(TH!N$1,SMALL(Dong5,ROWS($1:7)),)=$E$7,OFFSET(TH!O$1,SMALL(Dong5,ROWS($1:7)),),OFFSET(TH!N$1,SMALL(Dong5,ROWS($1:7)),)))</f>
        <v>1121</v>
      </c>
      <c r="F21" s="482">
        <f ca="1">IF(ROWS($1:7)&gt;COUNT(Dong5),0,IF(OFFSET(TH!N$1,SMALL(Dong5,ROWS($1:7)),)=$E$7,OFFSET(TH!M$1,SMALL(Dong5,ROWS($1:7)),),0))</f>
        <v>0</v>
      </c>
      <c r="G21" s="480">
        <f ca="1">IF(ROWS($1:7)&gt;COUNT(Dong5),0,IF(OFFSET(TH!O$1,SMALL(Dong5,ROWS($1:7)),)=$E$7,OFFSET(TH!M$1,SMALL(Dong5,ROWS($1:7)),),0))</f>
        <v>40000000</v>
      </c>
      <c r="H21" s="483">
        <f t="shared" ca="1" si="0"/>
        <v>0</v>
      </c>
      <c r="I21" s="483">
        <f t="shared" ca="1" si="1"/>
        <v>40000000</v>
      </c>
    </row>
    <row r="22" spans="1:9" s="18" customFormat="1" ht="18" customHeight="1">
      <c r="A22" s="388">
        <f ca="1">IF(ROWS($1:8)&gt;COUNT(Dong5),"",OFFSET(TH!C$1,SMALL(Dong5,ROWS($1:8)),))</f>
        <v>42485</v>
      </c>
      <c r="B22" s="388" t="str">
        <f ca="1">IF(ROWS($1:8)&gt;COUNT(Dong5),"",OFFSET(TH!D$1,SMALL(Dong5,ROWS($1:8)),))</f>
        <v>C21</v>
      </c>
      <c r="C22" s="388">
        <f ca="1">IF(ROWS($1:8)&gt;COUNT(Dong5),"",OFFSET(TH!E$1,SMALL(Dong5,ROWS($1:8)),))</f>
        <v>42485</v>
      </c>
      <c r="D22" s="481" t="str">
        <f ca="1">IF(ROWS($1:8)&gt;COUNT(Dong5),"",OFFSET(TH!F$1,SMALL(Dong5,ROWS($1:8)),)&amp;" - "&amp;OFFSET(TH!H$1,SMALL(Dong5,ROWS($1:8)),))</f>
        <v>Tiền nước tháng 4/2016 - Cty TNHH MTV Cấp Thoát Nước Trà Vinh</v>
      </c>
      <c r="E22" s="388" t="str">
        <f ca="1">IF(ROWS($1:8)&gt;COUNT(Dong5),"",IF(OFFSET(TH!N$1,SMALL(Dong5,ROWS($1:8)),)=$E$7,OFFSET(TH!O$1,SMALL(Dong5,ROWS($1:8)),),OFFSET(TH!N$1,SMALL(Dong5,ROWS($1:8)),)))</f>
        <v>642</v>
      </c>
      <c r="F22" s="482">
        <f ca="1">IF(ROWS($1:8)&gt;COUNT(Dong5),0,IF(OFFSET(TH!N$1,SMALL(Dong5,ROWS($1:8)),)=$E$7,OFFSET(TH!M$1,SMALL(Dong5,ROWS($1:8)),),0))</f>
        <v>0</v>
      </c>
      <c r="G22" s="480">
        <f ca="1">IF(ROWS($1:8)&gt;COUNT(Dong5),0,IF(OFFSET(TH!O$1,SMALL(Dong5,ROWS($1:8)),)=$E$7,OFFSET(TH!M$1,SMALL(Dong5,ROWS($1:8)),),0))</f>
        <v>0</v>
      </c>
      <c r="H22" s="483">
        <f t="shared" ca="1" si="0"/>
        <v>0</v>
      </c>
      <c r="I22" s="483">
        <f t="shared" ca="1" si="1"/>
        <v>40000000</v>
      </c>
    </row>
    <row r="23" spans="1:9" s="18" customFormat="1" ht="18" customHeight="1">
      <c r="A23" s="388">
        <f ca="1">IF(ROWS($1:9)&gt;COUNT(Dong5),"",OFFSET(TH!C$1,SMALL(Dong5,ROWS($1:9)),))</f>
        <v>42494</v>
      </c>
      <c r="B23" s="388" t="str">
        <f ca="1">IF(ROWS($1:9)&gt;COUNT(Dong5),"",OFFSET(TH!D$1,SMALL(Dong5,ROWS($1:9)),))</f>
        <v>GBC</v>
      </c>
      <c r="C23" s="388">
        <f ca="1">IF(ROWS($1:9)&gt;COUNT(Dong5),"",OFFSET(TH!E$1,SMALL(Dong5,ROWS($1:9)),))</f>
        <v>42494</v>
      </c>
      <c r="D23" s="481" t="str">
        <f ca="1">IF(ROWS($1:9)&gt;COUNT(Dong5),"",OFFSET(TH!F$1,SMALL(Dong5,ROWS($1:9)),)&amp;" - "&amp;OFFSET(TH!H$1,SMALL(Dong5,ROWS($1:9)),))</f>
        <v>Ứng vốn - Cty TNHH Hải Sản An Lạc</v>
      </c>
      <c r="E23" s="388" t="str">
        <f ca="1">IF(ROWS($1:9)&gt;COUNT(Dong5),"",IF(OFFSET(TH!N$1,SMALL(Dong5,ROWS($1:9)),)=$E$7,OFFSET(TH!O$1,SMALL(Dong5,ROWS($1:9)),),OFFSET(TH!N$1,SMALL(Dong5,ROWS($1:9)),)))</f>
        <v>1121</v>
      </c>
      <c r="F23" s="482">
        <f ca="1">IF(ROWS($1:9)&gt;COUNT(Dong5),0,IF(OFFSET(TH!N$1,SMALL(Dong5,ROWS($1:9)),)=$E$7,OFFSET(TH!M$1,SMALL(Dong5,ROWS($1:9)),),0))</f>
        <v>0</v>
      </c>
      <c r="G23" s="480">
        <f ca="1">IF(ROWS($1:9)&gt;COUNT(Dong5),0,IF(OFFSET(TH!O$1,SMALL(Dong5,ROWS($1:9)),)=$E$7,OFFSET(TH!M$1,SMALL(Dong5,ROWS($1:9)),),0))</f>
        <v>95000000</v>
      </c>
      <c r="H23" s="483">
        <f t="shared" ca="1" si="0"/>
        <v>0</v>
      </c>
      <c r="I23" s="483">
        <f t="shared" ca="1" si="1"/>
        <v>135000000</v>
      </c>
    </row>
    <row r="24" spans="1:9" s="18" customFormat="1" ht="18" customHeight="1">
      <c r="A24" s="388">
        <f ca="1">IF(ROWS($1:10)&gt;COUNT(Dong5),"",OFFSET(TH!C$1,SMALL(Dong5,ROWS($1:10)),))</f>
        <v>42509</v>
      </c>
      <c r="B24" s="388" t="str">
        <f ca="1">IF(ROWS($1:10)&gt;COUNT(Dong5),"",OFFSET(TH!D$1,SMALL(Dong5,ROWS($1:10)),))</f>
        <v>GBC</v>
      </c>
      <c r="C24" s="388">
        <f ca="1">IF(ROWS($1:10)&gt;COUNT(Dong5),"",OFFSET(TH!E$1,SMALL(Dong5,ROWS($1:10)),))</f>
        <v>42509</v>
      </c>
      <c r="D24" s="481" t="str">
        <f ca="1">IF(ROWS($1:10)&gt;COUNT(Dong5),"",OFFSET(TH!F$1,SMALL(Dong5,ROWS($1:10)),)&amp;" - "&amp;OFFSET(TH!H$1,SMALL(Dong5,ROWS($1:10)),))</f>
        <v>Ứng vốn - Cty TNHH Hải Sản An Lạc</v>
      </c>
      <c r="E24" s="388" t="str">
        <f ca="1">IF(ROWS($1:10)&gt;COUNT(Dong5),"",IF(OFFSET(TH!N$1,SMALL(Dong5,ROWS($1:10)),)=$E$7,OFFSET(TH!O$1,SMALL(Dong5,ROWS($1:10)),),OFFSET(TH!N$1,SMALL(Dong5,ROWS($1:10)),)))</f>
        <v>1121</v>
      </c>
      <c r="F24" s="482">
        <f ca="1">IF(ROWS($1:10)&gt;COUNT(Dong5),0,IF(OFFSET(TH!N$1,SMALL(Dong5,ROWS($1:10)),)=$E$7,OFFSET(TH!M$1,SMALL(Dong5,ROWS($1:10)),),0))</f>
        <v>0</v>
      </c>
      <c r="G24" s="480">
        <f ca="1">IF(ROWS($1:10)&gt;COUNT(Dong5),0,IF(OFFSET(TH!O$1,SMALL(Dong5,ROWS($1:10)),)=$E$7,OFFSET(TH!M$1,SMALL(Dong5,ROWS($1:10)),),0))</f>
        <v>14000000</v>
      </c>
      <c r="H24" s="483">
        <f t="shared" ca="1" si="0"/>
        <v>0</v>
      </c>
      <c r="I24" s="483">
        <f t="shared" ca="1" si="1"/>
        <v>149000000</v>
      </c>
    </row>
    <row r="25" spans="1:9" s="18" customFormat="1" ht="18" customHeight="1">
      <c r="A25" s="388">
        <f ca="1">IF(ROWS($1:11)&gt;COUNT(Dong5),"",OFFSET(TH!C$1,SMALL(Dong5,ROWS($1:11)),))</f>
        <v>42515</v>
      </c>
      <c r="B25" s="388" t="str">
        <f ca="1">IF(ROWS($1:11)&gt;COUNT(Dong5),"",OFFSET(TH!D$1,SMALL(Dong5,ROWS($1:11)),))</f>
        <v>GBC</v>
      </c>
      <c r="C25" s="388">
        <f ca="1">IF(ROWS($1:11)&gt;COUNT(Dong5),"",OFFSET(TH!E$1,SMALL(Dong5,ROWS($1:11)),))</f>
        <v>42515</v>
      </c>
      <c r="D25" s="481" t="str">
        <f ca="1">IF(ROWS($1:11)&gt;COUNT(Dong5),"",OFFSET(TH!F$1,SMALL(Dong5,ROWS($1:11)),))</f>
        <v>Ứng vốn</v>
      </c>
      <c r="E25" s="388" t="str">
        <f ca="1">IF(ROWS($1:11)&gt;COUNT(Dong5),"",IF(OFFSET(TH!N$1,SMALL(Dong5,ROWS($1:11)),)=$E$7,OFFSET(TH!O$1,SMALL(Dong5,ROWS($1:11)),),OFFSET(TH!N$1,SMALL(Dong5,ROWS($1:11)),)))</f>
        <v>1121</v>
      </c>
      <c r="F25" s="482">
        <f ca="1">IF(ROWS($1:11)&gt;COUNT(Dong5),0,IF(OFFSET(TH!N$1,SMALL(Dong5,ROWS($1:11)),)=$E$7,OFFSET(TH!M$1,SMALL(Dong5,ROWS($1:11)),),0))</f>
        <v>0</v>
      </c>
      <c r="G25" s="480">
        <f ca="1">IF(ROWS($1:11)&gt;COUNT(Dong5),0,IF(OFFSET(TH!O$1,SMALL(Dong5,ROWS($1:11)),)=$E$7,OFFSET(TH!M$1,SMALL(Dong5,ROWS($1:11)),),0))</f>
        <v>85000000</v>
      </c>
      <c r="H25" s="483">
        <f t="shared" ca="1" si="0"/>
        <v>0</v>
      </c>
      <c r="I25" s="483">
        <f t="shared" ca="1" si="1"/>
        <v>234000000</v>
      </c>
    </row>
    <row r="26" spans="1:9" s="18" customFormat="1" ht="18" customHeight="1">
      <c r="A26" s="388">
        <f ca="1">IF(ROWS($1:12)&gt;COUNT(Dong5),"",OFFSET(TH!C$1,SMALL(Dong5,ROWS($1:12)),))</f>
        <v>42517</v>
      </c>
      <c r="B26" s="388" t="str">
        <f ca="1">IF(ROWS($1:12)&gt;COUNT(Dong5),"",OFFSET(TH!D$1,SMALL(Dong5,ROWS($1:12)),))</f>
        <v>C39</v>
      </c>
      <c r="C26" s="388">
        <f ca="1">IF(ROWS($1:12)&gt;COUNT(Dong5),"",OFFSET(TH!E$1,SMALL(Dong5,ROWS($1:12)),))</f>
        <v>42517</v>
      </c>
      <c r="D26" s="481" t="str">
        <f ca="1">IF(ROWS($1:12)&gt;COUNT(Dong5),"",OFFSET(TH!F$1,SMALL(Dong5,ROWS($1:12)),))</f>
        <v>Q4 - Nộp tiền mặt</v>
      </c>
      <c r="E26" s="388" t="str">
        <f ca="1">IF(ROWS($1:12)&gt;COUNT(Dong5),"",IF(OFFSET(TH!N$1,SMALL(Dong5,ROWS($1:12)),)=$E$7,OFFSET(TH!O$1,SMALL(Dong5,ROWS($1:12)),),OFFSET(TH!N$1,SMALL(Dong5,ROWS($1:12)),)))</f>
        <v>1121</v>
      </c>
      <c r="F26" s="482">
        <f ca="1">IF(ROWS($1:12)&gt;COUNT(Dong5),0,IF(OFFSET(TH!N$1,SMALL(Dong5,ROWS($1:12)),)=$E$7,OFFSET(TH!M$1,SMALL(Dong5,ROWS($1:12)),),0))</f>
        <v>0</v>
      </c>
      <c r="G26" s="480">
        <f ca="1">IF(ROWS($1:12)&gt;COUNT(Dong5),0,IF(OFFSET(TH!O$1,SMALL(Dong5,ROWS($1:12)),)=$E$7,OFFSET(TH!M$1,SMALL(Dong5,ROWS($1:12)),),0))</f>
        <v>0</v>
      </c>
      <c r="H26" s="483">
        <f t="shared" ca="1" si="0"/>
        <v>0</v>
      </c>
      <c r="I26" s="483">
        <f t="shared" ca="1" si="1"/>
        <v>234000000</v>
      </c>
    </row>
    <row r="27" spans="1:9" s="18" customFormat="1" ht="18" customHeight="1">
      <c r="A27" s="388">
        <f ca="1">IF(ROWS($1:13)&gt;COUNT(Dong5),"",OFFSET(TH!C$1,SMALL(Dong5,ROWS($1:13)),))</f>
        <v>42531</v>
      </c>
      <c r="B27" s="388" t="str">
        <f ca="1">IF(ROWS($1:13)&gt;COUNT(Dong5),"",OFFSET(TH!D$1,SMALL(Dong5,ROWS($1:13)),))</f>
        <v>C43</v>
      </c>
      <c r="C27" s="388">
        <f ca="1">IF(ROWS($1:13)&gt;COUNT(Dong5),"",OFFSET(TH!E$1,SMALL(Dong5,ROWS($1:13)),))</f>
        <v>42531</v>
      </c>
      <c r="D27" s="481" t="str">
        <f ca="1">IF(ROWS($1:13)&gt;COUNT(Dong5),"",OFFSET(TH!F$1,SMALL(Dong5,ROWS($1:13)),))</f>
        <v>Vật liệu điện</v>
      </c>
      <c r="E27" s="388" t="str">
        <f ca="1">IF(ROWS($1:13)&gt;COUNT(Dong5),"",IF(OFFSET(TH!N$1,SMALL(Dong5,ROWS($1:13)),)=$E$7,OFFSET(TH!O$1,SMALL(Dong5,ROWS($1:13)),),OFFSET(TH!N$1,SMALL(Dong5,ROWS($1:13)),)))</f>
        <v>2412</v>
      </c>
      <c r="F27" s="482">
        <f ca="1">IF(ROWS($1:13)&gt;COUNT(Dong5),0,IF(OFFSET(TH!N$1,SMALL(Dong5,ROWS($1:13)),)=$E$7,OFFSET(TH!M$1,SMALL(Dong5,ROWS($1:13)),),0))</f>
        <v>0</v>
      </c>
      <c r="G27" s="480">
        <f ca="1">IF(ROWS($1:13)&gt;COUNT(Dong5),0,IF(OFFSET(TH!O$1,SMALL(Dong5,ROWS($1:13)),)=$E$7,OFFSET(TH!M$1,SMALL(Dong5,ROWS($1:13)),),0))</f>
        <v>0</v>
      </c>
      <c r="H27" s="483">
        <f t="shared" ca="1" si="0"/>
        <v>0</v>
      </c>
      <c r="I27" s="483">
        <f t="shared" ca="1" si="1"/>
        <v>234000000</v>
      </c>
    </row>
    <row r="28" spans="1:9" s="18" customFormat="1" ht="18" customHeight="1">
      <c r="A28" s="388">
        <f ca="1">IF(ROWS($1:14)&gt;COUNT(Dong5),"",OFFSET(TH!C$1,SMALL(Dong5,ROWS($1:14)),))</f>
        <v>42538</v>
      </c>
      <c r="B28" s="388" t="str">
        <f ca="1">IF(ROWS($1:14)&gt;COUNT(Dong5),"",OFFSET(TH!D$1,SMALL(Dong5,ROWS($1:14)),))</f>
        <v>GBC</v>
      </c>
      <c r="C28" s="388">
        <f ca="1">IF(ROWS($1:14)&gt;COUNT(Dong5),"",OFFSET(TH!E$1,SMALL(Dong5,ROWS($1:14)),))</f>
        <v>42538</v>
      </c>
      <c r="D28" s="481" t="str">
        <f ca="1">IF(ROWS($1:14)&gt;COUNT(Dong5),"",OFFSET(TH!F$1,SMALL(Dong5,ROWS($1:14)),))</f>
        <v>Ứng vốn</v>
      </c>
      <c r="E28" s="388" t="str">
        <f ca="1">IF(ROWS($1:14)&gt;COUNT(Dong5),"",IF(OFFSET(TH!N$1,SMALL(Dong5,ROWS($1:14)),)=$E$7,OFFSET(TH!O$1,SMALL(Dong5,ROWS($1:14)),),OFFSET(TH!N$1,SMALL(Dong5,ROWS($1:14)),)))</f>
        <v>1121</v>
      </c>
      <c r="F28" s="482">
        <f ca="1">IF(ROWS($1:14)&gt;COUNT(Dong5),0,IF(OFFSET(TH!N$1,SMALL(Dong5,ROWS($1:14)),)=$E$7,OFFSET(TH!M$1,SMALL(Dong5,ROWS($1:14)),),0))</f>
        <v>0</v>
      </c>
      <c r="G28" s="480">
        <f ca="1">IF(ROWS($1:14)&gt;COUNT(Dong5),0,IF(OFFSET(TH!O$1,SMALL(Dong5,ROWS($1:14)),)=$E$7,OFFSET(TH!M$1,SMALL(Dong5,ROWS($1:14)),),0))</f>
        <v>1975000000</v>
      </c>
      <c r="H28" s="483">
        <f t="shared" ca="1" si="0"/>
        <v>0</v>
      </c>
      <c r="I28" s="483">
        <f t="shared" ca="1" si="1"/>
        <v>2209000000</v>
      </c>
    </row>
    <row r="29" spans="1:9" s="18" customFormat="1" ht="18" customHeight="1">
      <c r="A29" s="388">
        <f ca="1">IF(ROWS($1:15)&gt;COUNT(Dong5),"",OFFSET(TH!C$1,SMALL(Dong5,ROWS($1:15)),))</f>
        <v>42542</v>
      </c>
      <c r="B29" s="388" t="str">
        <f ca="1">IF(ROWS($1:15)&gt;COUNT(Dong5),"",OFFSET(TH!D$1,SMALL(Dong5,ROWS($1:15)),))</f>
        <v>GBN</v>
      </c>
      <c r="C29" s="388">
        <f ca="1">IF(ROWS($1:15)&gt;COUNT(Dong5),"",OFFSET(TH!E$1,SMALL(Dong5,ROWS($1:15)),))</f>
        <v>42542</v>
      </c>
      <c r="D29" s="481" t="str">
        <f ca="1">IF(ROWS($1:15)&gt;COUNT(Dong5),"",OFFSET(TH!F$1,SMALL(Dong5,ROWS($1:15)),))</f>
        <v>Lãi vay</v>
      </c>
      <c r="E29" s="388" t="str">
        <f ca="1">IF(ROWS($1:15)&gt;COUNT(Dong5),"",IF(OFFSET(TH!N$1,SMALL(Dong5,ROWS($1:15)),)=$E$7,OFFSET(TH!O$1,SMALL(Dong5,ROWS($1:15)),),OFFSET(TH!N$1,SMALL(Dong5,ROWS($1:15)),)))</f>
        <v>635</v>
      </c>
      <c r="F29" s="482">
        <f ca="1">IF(ROWS($1:15)&gt;COUNT(Dong5),0,IF(OFFSET(TH!N$1,SMALL(Dong5,ROWS($1:15)),)=$E$7,OFFSET(TH!M$1,SMALL(Dong5,ROWS($1:15)),),0))</f>
        <v>0</v>
      </c>
      <c r="G29" s="480">
        <f ca="1">IF(ROWS($1:15)&gt;COUNT(Dong5),0,IF(OFFSET(TH!O$1,SMALL(Dong5,ROWS($1:15)),)=$E$7,OFFSET(TH!M$1,SMALL(Dong5,ROWS($1:15)),),0))</f>
        <v>0</v>
      </c>
      <c r="H29" s="483">
        <f t="shared" ca="1" si="0"/>
        <v>0</v>
      </c>
      <c r="I29" s="483">
        <f t="shared" ca="1" si="1"/>
        <v>2209000000</v>
      </c>
    </row>
    <row r="30" spans="1:9" s="18" customFormat="1" ht="18" customHeight="1">
      <c r="A30" s="388">
        <f ca="1">IF(ROWS($1:16)&gt;COUNT(Dong5),"",OFFSET(TH!C$1,SMALL(Dong5,ROWS($1:16)),))</f>
        <v>42542</v>
      </c>
      <c r="B30" s="388" t="str">
        <f ca="1">IF(ROWS($1:16)&gt;COUNT(Dong5),"",OFFSET(TH!D$1,SMALL(Dong5,ROWS($1:16)),))</f>
        <v>GBN</v>
      </c>
      <c r="C30" s="388">
        <f ca="1">IF(ROWS($1:16)&gt;COUNT(Dong5),"",OFFSET(TH!E$1,SMALL(Dong5,ROWS($1:16)),))</f>
        <v>42542</v>
      </c>
      <c r="D30" s="481" t="str">
        <f ca="1">IF(ROWS($1:16)&gt;COUNT(Dong5),"",OFFSET(TH!F$1,SMALL(Dong5,ROWS($1:16)),))</f>
        <v>Lãi vay</v>
      </c>
      <c r="E30" s="388" t="str">
        <f ca="1">IF(ROWS($1:16)&gt;COUNT(Dong5),"",IF(OFFSET(TH!N$1,SMALL(Dong5,ROWS($1:16)),)=$E$7,OFFSET(TH!O$1,SMALL(Dong5,ROWS($1:16)),),OFFSET(TH!N$1,SMALL(Dong5,ROWS($1:16)),)))</f>
        <v>635</v>
      </c>
      <c r="F30" s="482">
        <f ca="1">IF(ROWS($1:16)&gt;COUNT(Dong5),0,IF(OFFSET(TH!N$1,SMALL(Dong5,ROWS($1:16)),)=$E$7,OFFSET(TH!M$1,SMALL(Dong5,ROWS($1:16)),),0))</f>
        <v>0</v>
      </c>
      <c r="G30" s="480">
        <f ca="1">IF(ROWS($1:16)&gt;COUNT(Dong5),0,IF(OFFSET(TH!O$1,SMALL(Dong5,ROWS($1:16)),)=$E$7,OFFSET(TH!M$1,SMALL(Dong5,ROWS($1:16)),),0))</f>
        <v>0</v>
      </c>
      <c r="H30" s="483">
        <f t="shared" ca="1" si="0"/>
        <v>0</v>
      </c>
      <c r="I30" s="483">
        <f t="shared" ca="1" si="1"/>
        <v>2209000000</v>
      </c>
    </row>
    <row r="31" spans="1:9" s="18" customFormat="1" ht="18" customHeight="1">
      <c r="A31" s="388">
        <f ca="1">IF(ROWS($1:17)&gt;COUNT(Dong5),"",OFFSET(TH!C$1,SMALL(Dong5,ROWS($1:17)),))</f>
        <v>42542</v>
      </c>
      <c r="B31" s="388" t="str">
        <f ca="1">IF(ROWS($1:17)&gt;COUNT(Dong5),"",OFFSET(TH!D$1,SMALL(Dong5,ROWS($1:17)),))</f>
        <v>GBN</v>
      </c>
      <c r="C31" s="388">
        <f ca="1">IF(ROWS($1:17)&gt;COUNT(Dong5),"",OFFSET(TH!E$1,SMALL(Dong5,ROWS($1:17)),))</f>
        <v>42542</v>
      </c>
      <c r="D31" s="481" t="str">
        <f ca="1">IF(ROWS($1:17)&gt;COUNT(Dong5),"",OFFSET(TH!F$1,SMALL(Dong5,ROWS($1:17)),))</f>
        <v>Lãi vay</v>
      </c>
      <c r="E31" s="388" t="str">
        <f ca="1">IF(ROWS($1:17)&gt;COUNT(Dong5),"",IF(OFFSET(TH!N$1,SMALL(Dong5,ROWS($1:17)),)=$E$7,OFFSET(TH!O$1,SMALL(Dong5,ROWS($1:17)),),OFFSET(TH!N$1,SMALL(Dong5,ROWS($1:17)),)))</f>
        <v>635</v>
      </c>
      <c r="F31" s="482">
        <f ca="1">IF(ROWS($1:17)&gt;COUNT(Dong5),0,IF(OFFSET(TH!N$1,SMALL(Dong5,ROWS($1:17)),)=$E$7,OFFSET(TH!M$1,SMALL(Dong5,ROWS($1:17)),),0))</f>
        <v>0</v>
      </c>
      <c r="G31" s="480">
        <f ca="1">IF(ROWS($1:17)&gt;COUNT(Dong5),0,IF(OFFSET(TH!O$1,SMALL(Dong5,ROWS($1:17)),)=$E$7,OFFSET(TH!M$1,SMALL(Dong5,ROWS($1:17)),),0))</f>
        <v>0</v>
      </c>
      <c r="H31" s="483">
        <f t="shared" ca="1" si="0"/>
        <v>0</v>
      </c>
      <c r="I31" s="483">
        <f t="shared" ca="1" si="1"/>
        <v>2209000000</v>
      </c>
    </row>
    <row r="32" spans="1:9" s="18" customFormat="1" ht="18" customHeight="1">
      <c r="A32" s="388">
        <f ca="1">IF(ROWS($1:18)&gt;COUNT(Dong5),"",OFFSET(TH!C$1,SMALL(Dong5,ROWS($1:18)),))</f>
        <v>42551</v>
      </c>
      <c r="B32" s="388" t="str">
        <f ca="1">IF(ROWS($1:18)&gt;COUNT(Dong5),"",OFFSET(TH!D$1,SMALL(Dong5,ROWS($1:18)),))</f>
        <v>CTGS</v>
      </c>
      <c r="C32" s="388">
        <f ca="1">IF(ROWS($1:18)&gt;COUNT(Dong5),"",OFFSET(TH!E$1,SMALL(Dong5,ROWS($1:18)),))</f>
        <v>42501</v>
      </c>
      <c r="D32" s="481" t="str">
        <f ca="1">IF(ROWS($1:18)&gt;COUNT(Dong5),"",OFFSET(TH!F$1,SMALL(Dong5,ROWS($1:18)),))</f>
        <v>Tiền điện kỳ 1 T5/2016</v>
      </c>
      <c r="E32" s="388" t="str">
        <f ca="1">IF(ROWS($1:18)&gt;COUNT(Dong5),"",IF(OFFSET(TH!N$1,SMALL(Dong5,ROWS($1:18)),)=$E$7,OFFSET(TH!O$1,SMALL(Dong5,ROWS($1:18)),),OFFSET(TH!N$1,SMALL(Dong5,ROWS($1:18)),)))</f>
        <v>642</v>
      </c>
      <c r="F32" s="482">
        <f ca="1">IF(ROWS($1:18)&gt;COUNT(Dong5),0,IF(OFFSET(TH!N$1,SMALL(Dong5,ROWS($1:18)),)=$E$7,OFFSET(TH!M$1,SMALL(Dong5,ROWS($1:18)),),0))</f>
        <v>0</v>
      </c>
      <c r="G32" s="480">
        <f ca="1">IF(ROWS($1:18)&gt;COUNT(Dong5),0,IF(OFFSET(TH!O$1,SMALL(Dong5,ROWS($1:18)),)=$E$7,OFFSET(TH!M$1,SMALL(Dong5,ROWS($1:18)),),0))</f>
        <v>0</v>
      </c>
      <c r="H32" s="483">
        <f t="shared" ca="1" si="0"/>
        <v>0</v>
      </c>
      <c r="I32" s="483">
        <f t="shared" ca="1" si="1"/>
        <v>2209000000</v>
      </c>
    </row>
    <row r="33" spans="1:9" s="18" customFormat="1" ht="18" customHeight="1">
      <c r="A33" s="388" t="str">
        <f ca="1">IF(ROWS($1:19)&gt;COUNT(Dong5),"",OFFSET(TH!C$1,SMALL(Dong5,ROWS($1:19)),))</f>
        <v/>
      </c>
      <c r="B33" s="388" t="str">
        <f ca="1">IF(ROWS($1:19)&gt;COUNT(Dong5),"",OFFSET(TH!D$1,SMALL(Dong5,ROWS($1:19)),))</f>
        <v/>
      </c>
      <c r="C33" s="388" t="str">
        <f ca="1">IF(ROWS($1:19)&gt;COUNT(Dong5),"",OFFSET(TH!E$1,SMALL(Dong5,ROWS($1:19)),))</f>
        <v/>
      </c>
      <c r="D33" s="481" t="str">
        <f ca="1">IF(ROWS($1:19)&gt;COUNT(Dong5),"",OFFSET(TH!F$1,SMALL(Dong5,ROWS($1:19)),))</f>
        <v/>
      </c>
      <c r="E33" s="388" t="str">
        <f ca="1">IF(ROWS($1:19)&gt;COUNT(Dong5),"",IF(OFFSET(TH!N$1,SMALL(Dong5,ROWS($1:19)),)=$E$7,OFFSET(TH!O$1,SMALL(Dong5,ROWS($1:19)),),OFFSET(TH!N$1,SMALL(Dong5,ROWS($1:19)),)))</f>
        <v/>
      </c>
      <c r="F33" s="482">
        <f ca="1">IF(ROWS($1:19)&gt;COUNT(Dong5),0,IF(OFFSET(TH!N$1,SMALL(Dong5,ROWS($1:19)),)=$E$7,OFFSET(TH!M$1,SMALL(Dong5,ROWS($1:19)),),0))</f>
        <v>0</v>
      </c>
      <c r="G33" s="480">
        <f ca="1">IF(ROWS($1:19)&gt;COUNT(Dong5),0,IF(OFFSET(TH!O$1,SMALL(Dong5,ROWS($1:19)),)=$E$7,OFFSET(TH!M$1,SMALL(Dong5,ROWS($1:19)),),0))</f>
        <v>0</v>
      </c>
      <c r="H33" s="483">
        <f t="shared" ref="H33:H46" ca="1" si="2">IF(D33&lt;&gt;"",MAX(H32+F33-G33-I32,0),0)</f>
        <v>0</v>
      </c>
      <c r="I33" s="483">
        <f t="shared" ref="I33:I46" ca="1" si="3">IF(D33&lt;&gt;"",MAX(I32+G33-H32-F33,0),0)</f>
        <v>0</v>
      </c>
    </row>
    <row r="34" spans="1:9" s="18" customFormat="1" ht="18" customHeight="1">
      <c r="A34" s="388" t="str">
        <f ca="1">IF(ROWS($1:20)&gt;COUNT(Dong5),"",OFFSET(TH!C$1,SMALL(Dong5,ROWS($1:20)),))</f>
        <v/>
      </c>
      <c r="B34" s="388" t="str">
        <f ca="1">IF(ROWS($1:20)&gt;COUNT(Dong5),"",OFFSET(TH!D$1,SMALL(Dong5,ROWS($1:20)),))</f>
        <v/>
      </c>
      <c r="C34" s="388" t="str">
        <f ca="1">IF(ROWS($1:20)&gt;COUNT(Dong5),"",OFFSET(TH!E$1,SMALL(Dong5,ROWS($1:20)),))</f>
        <v/>
      </c>
      <c r="D34" s="481" t="str">
        <f ca="1">IF(ROWS($1:20)&gt;COUNT(Dong5),"",OFFSET(TH!F$1,SMALL(Dong5,ROWS($1:20)),))</f>
        <v/>
      </c>
      <c r="E34" s="388" t="str">
        <f ca="1">IF(ROWS($1:20)&gt;COUNT(Dong5),"",IF(OFFSET(TH!N$1,SMALL(Dong5,ROWS($1:20)),)=$E$7,OFFSET(TH!O$1,SMALL(Dong5,ROWS($1:20)),),OFFSET(TH!N$1,SMALL(Dong5,ROWS($1:20)),)))</f>
        <v/>
      </c>
      <c r="F34" s="482">
        <f ca="1">IF(ROWS($1:20)&gt;COUNT(Dong5),0,IF(OFFSET(TH!N$1,SMALL(Dong5,ROWS($1:20)),)=$E$7,OFFSET(TH!M$1,SMALL(Dong5,ROWS($1:20)),),0))</f>
        <v>0</v>
      </c>
      <c r="G34" s="480">
        <f ca="1">IF(ROWS($1:20)&gt;COUNT(Dong5),0,IF(OFFSET(TH!O$1,SMALL(Dong5,ROWS($1:20)),)=$E$7,OFFSET(TH!M$1,SMALL(Dong5,ROWS($1:20)),),0))</f>
        <v>0</v>
      </c>
      <c r="H34" s="483">
        <f t="shared" ca="1" si="2"/>
        <v>0</v>
      </c>
      <c r="I34" s="483">
        <f t="shared" ca="1" si="3"/>
        <v>0</v>
      </c>
    </row>
    <row r="35" spans="1:9" s="18" customFormat="1" ht="18" customHeight="1">
      <c r="A35" s="388" t="str">
        <f ca="1">IF(ROWS($1:21)&gt;COUNT(Dong5),"",OFFSET(TH!C$1,SMALL(Dong5,ROWS($1:21)),))</f>
        <v/>
      </c>
      <c r="B35" s="388" t="str">
        <f ca="1">IF(ROWS($1:21)&gt;COUNT(Dong5),"",OFFSET(TH!D$1,SMALL(Dong5,ROWS($1:21)),))</f>
        <v/>
      </c>
      <c r="C35" s="388" t="str">
        <f ca="1">IF(ROWS($1:21)&gt;COUNT(Dong5),"",OFFSET(TH!E$1,SMALL(Dong5,ROWS($1:21)),))</f>
        <v/>
      </c>
      <c r="D35" s="481" t="str">
        <f ca="1">IF(ROWS($1:21)&gt;COUNT(Dong5),"",OFFSET(TH!F$1,SMALL(Dong5,ROWS($1:21)),))</f>
        <v/>
      </c>
      <c r="E35" s="388" t="str">
        <f ca="1">IF(ROWS($1:21)&gt;COUNT(Dong5),"",IF(OFFSET(TH!N$1,SMALL(Dong5,ROWS($1:21)),)=$E$7,OFFSET(TH!O$1,SMALL(Dong5,ROWS($1:21)),),OFFSET(TH!N$1,SMALL(Dong5,ROWS($1:21)),)))</f>
        <v/>
      </c>
      <c r="F35" s="482">
        <f ca="1">IF(ROWS($1:21)&gt;COUNT(Dong5),0,IF(OFFSET(TH!N$1,SMALL(Dong5,ROWS($1:21)),)=$E$7,OFFSET(TH!M$1,SMALL(Dong5,ROWS($1:21)),),0))</f>
        <v>0</v>
      </c>
      <c r="G35" s="480">
        <f ca="1">IF(ROWS($1:21)&gt;COUNT(Dong5),0,IF(OFFSET(TH!O$1,SMALL(Dong5,ROWS($1:21)),)=$E$7,OFFSET(TH!M$1,SMALL(Dong5,ROWS($1:21)),),0))</f>
        <v>0</v>
      </c>
      <c r="H35" s="483">
        <f t="shared" ca="1" si="2"/>
        <v>0</v>
      </c>
      <c r="I35" s="483">
        <f t="shared" ca="1" si="3"/>
        <v>0</v>
      </c>
    </row>
    <row r="36" spans="1:9" s="18" customFormat="1" ht="18" customHeight="1">
      <c r="A36" s="388" t="str">
        <f ca="1">IF(ROWS($1:22)&gt;COUNT(Dong5),"",OFFSET(TH!C$1,SMALL(Dong5,ROWS($1:22)),))</f>
        <v/>
      </c>
      <c r="B36" s="388" t="str">
        <f ca="1">IF(ROWS($1:22)&gt;COUNT(Dong5),"",OFFSET(TH!D$1,SMALL(Dong5,ROWS($1:22)),))</f>
        <v/>
      </c>
      <c r="C36" s="388" t="str">
        <f ca="1">IF(ROWS($1:22)&gt;COUNT(Dong5),"",OFFSET(TH!E$1,SMALL(Dong5,ROWS($1:22)),))</f>
        <v/>
      </c>
      <c r="D36" s="481" t="str">
        <f ca="1">IF(ROWS($1:22)&gt;COUNT(Dong5),"",OFFSET(TH!F$1,SMALL(Dong5,ROWS($1:22)),))</f>
        <v/>
      </c>
      <c r="E36" s="388" t="str">
        <f ca="1">IF(ROWS($1:22)&gt;COUNT(Dong5),"",IF(OFFSET(TH!N$1,SMALL(Dong5,ROWS($1:22)),)=$E$7,OFFSET(TH!O$1,SMALL(Dong5,ROWS($1:22)),),OFFSET(TH!N$1,SMALL(Dong5,ROWS($1:22)),)))</f>
        <v/>
      </c>
      <c r="F36" s="482">
        <f ca="1">IF(ROWS($1:22)&gt;COUNT(Dong5),0,IF(OFFSET(TH!N$1,SMALL(Dong5,ROWS($1:22)),)=$E$7,OFFSET(TH!M$1,SMALL(Dong5,ROWS($1:22)),),0))</f>
        <v>0</v>
      </c>
      <c r="G36" s="480">
        <f ca="1">IF(ROWS($1:22)&gt;COUNT(Dong5),0,IF(OFFSET(TH!O$1,SMALL(Dong5,ROWS($1:22)),)=$E$7,OFFSET(TH!M$1,SMALL(Dong5,ROWS($1:22)),),0))</f>
        <v>0</v>
      </c>
      <c r="H36" s="483">
        <f t="shared" ca="1" si="2"/>
        <v>0</v>
      </c>
      <c r="I36" s="483">
        <f t="shared" ca="1" si="3"/>
        <v>0</v>
      </c>
    </row>
    <row r="37" spans="1:9" s="18" customFormat="1" ht="18" customHeight="1">
      <c r="A37" s="388" t="str">
        <f ca="1">IF(ROWS($1:23)&gt;COUNT(Dong5),"",OFFSET(TH!C$1,SMALL(Dong5,ROWS($1:23)),))</f>
        <v/>
      </c>
      <c r="B37" s="388" t="str">
        <f ca="1">IF(ROWS($1:23)&gt;COUNT(Dong5),"",OFFSET(TH!D$1,SMALL(Dong5,ROWS($1:23)),))</f>
        <v/>
      </c>
      <c r="C37" s="388" t="str">
        <f ca="1">IF(ROWS($1:23)&gt;COUNT(Dong5),"",OFFSET(TH!E$1,SMALL(Dong5,ROWS($1:23)),))</f>
        <v/>
      </c>
      <c r="D37" s="481" t="str">
        <f ca="1">IF(ROWS($1:23)&gt;COUNT(Dong5),"",OFFSET(TH!F$1,SMALL(Dong5,ROWS($1:23)),))</f>
        <v/>
      </c>
      <c r="E37" s="388" t="str">
        <f ca="1">IF(ROWS($1:23)&gt;COUNT(Dong5),"",IF(OFFSET(TH!N$1,SMALL(Dong5,ROWS($1:23)),)=$E$7,OFFSET(TH!O$1,SMALL(Dong5,ROWS($1:23)),),OFFSET(TH!N$1,SMALL(Dong5,ROWS($1:23)),)))</f>
        <v/>
      </c>
      <c r="F37" s="482">
        <f ca="1">IF(ROWS($1:23)&gt;COUNT(Dong5),0,IF(OFFSET(TH!N$1,SMALL(Dong5,ROWS($1:23)),)=$E$7,OFFSET(TH!M$1,SMALL(Dong5,ROWS($1:23)),),0))</f>
        <v>0</v>
      </c>
      <c r="G37" s="480">
        <f ca="1">IF(ROWS($1:23)&gt;COUNT(Dong5),0,IF(OFFSET(TH!O$1,SMALL(Dong5,ROWS($1:23)),)=$E$7,OFFSET(TH!M$1,SMALL(Dong5,ROWS($1:23)),),0))</f>
        <v>0</v>
      </c>
      <c r="H37" s="483">
        <f t="shared" ca="1" si="2"/>
        <v>0</v>
      </c>
      <c r="I37" s="483">
        <f t="shared" ca="1" si="3"/>
        <v>0</v>
      </c>
    </row>
    <row r="38" spans="1:9" s="18" customFormat="1" ht="18" customHeight="1">
      <c r="A38" s="388" t="str">
        <f ca="1">IF(ROWS($1:24)&gt;COUNT(Dong5),"",OFFSET(TH!C$1,SMALL(Dong5,ROWS($1:24)),))</f>
        <v/>
      </c>
      <c r="B38" s="388" t="str">
        <f ca="1">IF(ROWS($1:24)&gt;COUNT(Dong5),"",OFFSET(TH!D$1,SMALL(Dong5,ROWS($1:24)),))</f>
        <v/>
      </c>
      <c r="C38" s="388" t="str">
        <f ca="1">IF(ROWS($1:24)&gt;COUNT(Dong5),"",OFFSET(TH!E$1,SMALL(Dong5,ROWS($1:24)),))</f>
        <v/>
      </c>
      <c r="D38" s="481" t="str">
        <f ca="1">IF(ROWS($1:24)&gt;COUNT(Dong5),"",OFFSET(TH!F$1,SMALL(Dong5,ROWS($1:24)),))</f>
        <v/>
      </c>
      <c r="E38" s="388" t="str">
        <f ca="1">IF(ROWS($1:24)&gt;COUNT(Dong5),"",IF(OFFSET(TH!N$1,SMALL(Dong5,ROWS($1:24)),)=$E$7,OFFSET(TH!O$1,SMALL(Dong5,ROWS($1:24)),),OFFSET(TH!N$1,SMALL(Dong5,ROWS($1:24)),)))</f>
        <v/>
      </c>
      <c r="F38" s="482">
        <f ca="1">IF(ROWS($1:24)&gt;COUNT(Dong5),0,IF(OFFSET(TH!N$1,SMALL(Dong5,ROWS($1:24)),)=$E$7,OFFSET(TH!M$1,SMALL(Dong5,ROWS($1:24)),),0))</f>
        <v>0</v>
      </c>
      <c r="G38" s="480">
        <f ca="1">IF(ROWS($1:24)&gt;COUNT(Dong5),0,IF(OFFSET(TH!O$1,SMALL(Dong5,ROWS($1:24)),)=$E$7,OFFSET(TH!M$1,SMALL(Dong5,ROWS($1:24)),),0))</f>
        <v>0</v>
      </c>
      <c r="H38" s="483">
        <f t="shared" ca="1" si="2"/>
        <v>0</v>
      </c>
      <c r="I38" s="483">
        <f t="shared" ca="1" si="3"/>
        <v>0</v>
      </c>
    </row>
    <row r="39" spans="1:9" s="18" customFormat="1" ht="18" customHeight="1">
      <c r="A39" s="388" t="str">
        <f ca="1">IF(ROWS($1:25)&gt;COUNT(Dong5),"",OFFSET(TH!C$1,SMALL(Dong5,ROWS($1:25)),))</f>
        <v/>
      </c>
      <c r="B39" s="388" t="str">
        <f ca="1">IF(ROWS($1:25)&gt;COUNT(Dong5),"",OFFSET(TH!D$1,SMALL(Dong5,ROWS($1:25)),))</f>
        <v/>
      </c>
      <c r="C39" s="388" t="str">
        <f ca="1">IF(ROWS($1:25)&gt;COUNT(Dong5),"",OFFSET(TH!E$1,SMALL(Dong5,ROWS($1:25)),))</f>
        <v/>
      </c>
      <c r="D39" s="481" t="str">
        <f ca="1">IF(ROWS($1:25)&gt;COUNT(Dong5),"",OFFSET(TH!F$1,SMALL(Dong5,ROWS($1:25)),))</f>
        <v/>
      </c>
      <c r="E39" s="388" t="str">
        <f ca="1">IF(ROWS($1:25)&gt;COUNT(Dong5),"",IF(OFFSET(TH!N$1,SMALL(Dong5,ROWS($1:25)),)=$E$7,OFFSET(TH!O$1,SMALL(Dong5,ROWS($1:25)),),OFFSET(TH!N$1,SMALL(Dong5,ROWS($1:25)),)))</f>
        <v/>
      </c>
      <c r="F39" s="482">
        <f ca="1">IF(ROWS($1:25)&gt;COUNT(Dong5),0,IF(OFFSET(TH!N$1,SMALL(Dong5,ROWS($1:25)),)=$E$7,OFFSET(TH!M$1,SMALL(Dong5,ROWS($1:25)),),0))</f>
        <v>0</v>
      </c>
      <c r="G39" s="480">
        <f ca="1">IF(ROWS($1:25)&gt;COUNT(Dong5),0,IF(OFFSET(TH!O$1,SMALL(Dong5,ROWS($1:25)),)=$E$7,OFFSET(TH!M$1,SMALL(Dong5,ROWS($1:25)),),0))</f>
        <v>0</v>
      </c>
      <c r="H39" s="483">
        <f t="shared" ca="1" si="2"/>
        <v>0</v>
      </c>
      <c r="I39" s="483">
        <f t="shared" ca="1" si="3"/>
        <v>0</v>
      </c>
    </row>
    <row r="40" spans="1:9" s="18" customFormat="1" ht="18" customHeight="1">
      <c r="A40" s="388" t="str">
        <f ca="1">IF(ROWS($1:26)&gt;COUNT(Dong5),"",OFFSET(TH!C$1,SMALL(Dong5,ROWS($1:26)),))</f>
        <v/>
      </c>
      <c r="B40" s="388" t="str">
        <f ca="1">IF(ROWS($1:26)&gt;COUNT(Dong5),"",OFFSET(TH!D$1,SMALL(Dong5,ROWS($1:26)),))</f>
        <v/>
      </c>
      <c r="C40" s="388" t="str">
        <f ca="1">IF(ROWS($1:26)&gt;COUNT(Dong5),"",OFFSET(TH!E$1,SMALL(Dong5,ROWS($1:26)),))</f>
        <v/>
      </c>
      <c r="D40" s="481" t="str">
        <f ca="1">IF(ROWS($1:26)&gt;COUNT(Dong5),"",OFFSET(TH!F$1,SMALL(Dong5,ROWS($1:26)),))</f>
        <v/>
      </c>
      <c r="E40" s="388" t="str">
        <f ca="1">IF(ROWS($1:26)&gt;COUNT(Dong5),"",IF(OFFSET(TH!N$1,SMALL(Dong5,ROWS($1:26)),)=$E$7,OFFSET(TH!O$1,SMALL(Dong5,ROWS($1:26)),),OFFSET(TH!N$1,SMALL(Dong5,ROWS($1:26)),)))</f>
        <v/>
      </c>
      <c r="F40" s="482">
        <f ca="1">IF(ROWS($1:26)&gt;COUNT(Dong5),0,IF(OFFSET(TH!N$1,SMALL(Dong5,ROWS($1:26)),)=$E$7,OFFSET(TH!M$1,SMALL(Dong5,ROWS($1:26)),),0))</f>
        <v>0</v>
      </c>
      <c r="G40" s="480">
        <f ca="1">IF(ROWS($1:26)&gt;COUNT(Dong5),0,IF(OFFSET(TH!O$1,SMALL(Dong5,ROWS($1:26)),)=$E$7,OFFSET(TH!M$1,SMALL(Dong5,ROWS($1:26)),),0))</f>
        <v>0</v>
      </c>
      <c r="H40" s="483">
        <f t="shared" ca="1" si="2"/>
        <v>0</v>
      </c>
      <c r="I40" s="483">
        <f t="shared" ca="1" si="3"/>
        <v>0</v>
      </c>
    </row>
    <row r="41" spans="1:9" s="18" customFormat="1" ht="18" customHeight="1">
      <c r="A41" s="388" t="str">
        <f ca="1">IF(ROWS($1:27)&gt;COUNT(Dong5),"",OFFSET(TH!C$1,SMALL(Dong5,ROWS($1:27)),))</f>
        <v/>
      </c>
      <c r="B41" s="388" t="str">
        <f ca="1">IF(ROWS($1:27)&gt;COUNT(Dong5),"",OFFSET(TH!D$1,SMALL(Dong5,ROWS($1:27)),))</f>
        <v/>
      </c>
      <c r="C41" s="388" t="str">
        <f ca="1">IF(ROWS($1:27)&gt;COUNT(Dong5),"",OFFSET(TH!E$1,SMALL(Dong5,ROWS($1:27)),))</f>
        <v/>
      </c>
      <c r="D41" s="481" t="str">
        <f ca="1">IF(ROWS($1:27)&gt;COUNT(Dong5),"",OFFSET(TH!F$1,SMALL(Dong5,ROWS($1:27)),))</f>
        <v/>
      </c>
      <c r="E41" s="388" t="str">
        <f ca="1">IF(ROWS($1:27)&gt;COUNT(Dong5),"",IF(OFFSET(TH!N$1,SMALL(Dong5,ROWS($1:27)),)=$E$7,OFFSET(TH!O$1,SMALL(Dong5,ROWS($1:27)),),OFFSET(TH!N$1,SMALL(Dong5,ROWS($1:27)),)))</f>
        <v/>
      </c>
      <c r="F41" s="482">
        <f ca="1">IF(ROWS($1:27)&gt;COUNT(Dong5),0,IF(OFFSET(TH!N$1,SMALL(Dong5,ROWS($1:27)),)=$E$7,OFFSET(TH!M$1,SMALL(Dong5,ROWS($1:27)),),0))</f>
        <v>0</v>
      </c>
      <c r="G41" s="480">
        <f ca="1">IF(ROWS($1:27)&gt;COUNT(Dong5),0,IF(OFFSET(TH!O$1,SMALL(Dong5,ROWS($1:27)),)=$E$7,OFFSET(TH!M$1,SMALL(Dong5,ROWS($1:27)),),0))</f>
        <v>0</v>
      </c>
      <c r="H41" s="483">
        <f t="shared" ca="1" si="2"/>
        <v>0</v>
      </c>
      <c r="I41" s="483">
        <f t="shared" ca="1" si="3"/>
        <v>0</v>
      </c>
    </row>
    <row r="42" spans="1:9" s="18" customFormat="1" ht="18" customHeight="1">
      <c r="A42" s="388" t="str">
        <f ca="1">IF(ROWS($1:28)&gt;COUNT(Dong5),"",OFFSET(TH!C$1,SMALL(Dong5,ROWS($1:28)),))</f>
        <v/>
      </c>
      <c r="B42" s="388" t="str">
        <f ca="1">IF(ROWS($1:28)&gt;COUNT(Dong5),"",OFFSET(TH!D$1,SMALL(Dong5,ROWS($1:28)),))</f>
        <v/>
      </c>
      <c r="C42" s="388" t="str">
        <f ca="1">IF(ROWS($1:28)&gt;COUNT(Dong5),"",OFFSET(TH!E$1,SMALL(Dong5,ROWS($1:28)),))</f>
        <v/>
      </c>
      <c r="D42" s="481" t="str">
        <f ca="1">IF(ROWS($1:28)&gt;COUNT(Dong5),"",OFFSET(TH!F$1,SMALL(Dong5,ROWS($1:28)),))</f>
        <v/>
      </c>
      <c r="E42" s="388" t="str">
        <f ca="1">IF(ROWS($1:28)&gt;COUNT(Dong5),"",IF(OFFSET(TH!N$1,SMALL(Dong5,ROWS($1:28)),)=$E$7,OFFSET(TH!O$1,SMALL(Dong5,ROWS($1:28)),),OFFSET(TH!N$1,SMALL(Dong5,ROWS($1:28)),)))</f>
        <v/>
      </c>
      <c r="F42" s="482">
        <f ca="1">IF(ROWS($1:28)&gt;COUNT(Dong5),0,IF(OFFSET(TH!N$1,SMALL(Dong5,ROWS($1:28)),)=$E$7,OFFSET(TH!M$1,SMALL(Dong5,ROWS($1:28)),),0))</f>
        <v>0</v>
      </c>
      <c r="G42" s="480">
        <f ca="1">IF(ROWS($1:28)&gt;COUNT(Dong5),0,IF(OFFSET(TH!O$1,SMALL(Dong5,ROWS($1:28)),)=$E$7,OFFSET(TH!M$1,SMALL(Dong5,ROWS($1:28)),),0))</f>
        <v>0</v>
      </c>
      <c r="H42" s="483">
        <f t="shared" ca="1" si="2"/>
        <v>0</v>
      </c>
      <c r="I42" s="483">
        <f t="shared" ca="1" si="3"/>
        <v>0</v>
      </c>
    </row>
    <row r="43" spans="1:9" s="18" customFormat="1" ht="18" customHeight="1">
      <c r="A43" s="388" t="str">
        <f ca="1">IF(ROWS($1:29)&gt;COUNT(Dong5),"",OFFSET(TH!C$1,SMALL(Dong5,ROWS($1:29)),))</f>
        <v/>
      </c>
      <c r="B43" s="388" t="str">
        <f ca="1">IF(ROWS($1:29)&gt;COUNT(Dong5),"",OFFSET(TH!D$1,SMALL(Dong5,ROWS($1:29)),))</f>
        <v/>
      </c>
      <c r="C43" s="388" t="str">
        <f ca="1">IF(ROWS($1:29)&gt;COUNT(Dong5),"",OFFSET(TH!E$1,SMALL(Dong5,ROWS($1:29)),))</f>
        <v/>
      </c>
      <c r="D43" s="481" t="str">
        <f ca="1">IF(ROWS($1:29)&gt;COUNT(Dong5),"",OFFSET(TH!F$1,SMALL(Dong5,ROWS($1:29)),))</f>
        <v/>
      </c>
      <c r="E43" s="388" t="str">
        <f ca="1">IF(ROWS($1:29)&gt;COUNT(Dong5),"",IF(OFFSET(TH!N$1,SMALL(Dong5,ROWS($1:29)),)=$E$7,OFFSET(TH!O$1,SMALL(Dong5,ROWS($1:29)),),OFFSET(TH!N$1,SMALL(Dong5,ROWS($1:29)),)))</f>
        <v/>
      </c>
      <c r="F43" s="482">
        <f ca="1">IF(ROWS($1:29)&gt;COUNT(Dong5),0,IF(OFFSET(TH!N$1,SMALL(Dong5,ROWS($1:29)),)=$E$7,OFFSET(TH!M$1,SMALL(Dong5,ROWS($1:29)),),0))</f>
        <v>0</v>
      </c>
      <c r="G43" s="480">
        <f ca="1">IF(ROWS($1:29)&gt;COUNT(Dong5),0,IF(OFFSET(TH!O$1,SMALL(Dong5,ROWS($1:29)),)=$E$7,OFFSET(TH!M$1,SMALL(Dong5,ROWS($1:29)),),0))</f>
        <v>0</v>
      </c>
      <c r="H43" s="483">
        <f t="shared" ca="1" si="2"/>
        <v>0</v>
      </c>
      <c r="I43" s="483">
        <f t="shared" ca="1" si="3"/>
        <v>0</v>
      </c>
    </row>
    <row r="44" spans="1:9" s="18" customFormat="1" ht="18" customHeight="1">
      <c r="A44" s="388" t="str">
        <f ca="1">IF(ROWS($1:30)&gt;COUNT(Dong5),"",OFFSET(TH!C$1,SMALL(Dong5,ROWS($1:30)),))</f>
        <v/>
      </c>
      <c r="B44" s="388" t="str">
        <f ca="1">IF(ROWS($1:30)&gt;COUNT(Dong5),"",OFFSET(TH!D$1,SMALL(Dong5,ROWS($1:30)),))</f>
        <v/>
      </c>
      <c r="C44" s="388" t="str">
        <f ca="1">IF(ROWS($1:30)&gt;COUNT(Dong5),"",OFFSET(TH!E$1,SMALL(Dong5,ROWS($1:30)),))</f>
        <v/>
      </c>
      <c r="D44" s="481" t="str">
        <f ca="1">IF(ROWS($1:30)&gt;COUNT(Dong5),"",OFFSET(TH!F$1,SMALL(Dong5,ROWS($1:30)),))</f>
        <v/>
      </c>
      <c r="E44" s="388" t="str">
        <f ca="1">IF(ROWS($1:30)&gt;COUNT(Dong5),"",IF(OFFSET(TH!N$1,SMALL(Dong5,ROWS($1:30)),)=$E$7,OFFSET(TH!O$1,SMALL(Dong5,ROWS($1:30)),),OFFSET(TH!N$1,SMALL(Dong5,ROWS($1:30)),)))</f>
        <v/>
      </c>
      <c r="F44" s="482">
        <f ca="1">IF(ROWS($1:30)&gt;COUNT(Dong5),0,IF(OFFSET(TH!N$1,SMALL(Dong5,ROWS($1:30)),)=$E$7,OFFSET(TH!M$1,SMALL(Dong5,ROWS($1:30)),),0))</f>
        <v>0</v>
      </c>
      <c r="G44" s="480">
        <f ca="1">IF(ROWS($1:30)&gt;COUNT(Dong5),0,IF(OFFSET(TH!O$1,SMALL(Dong5,ROWS($1:30)),)=$E$7,OFFSET(TH!M$1,SMALL(Dong5,ROWS($1:30)),),0))</f>
        <v>0</v>
      </c>
      <c r="H44" s="483">
        <f t="shared" ca="1" si="2"/>
        <v>0</v>
      </c>
      <c r="I44" s="483">
        <f t="shared" ca="1" si="3"/>
        <v>0</v>
      </c>
    </row>
    <row r="45" spans="1:9" s="18" customFormat="1" ht="18" customHeight="1">
      <c r="A45" s="388" t="str">
        <f ca="1">IF(ROWS($1:31)&gt;COUNT(Dong5),"",OFFSET(TH!C$1,SMALL(Dong5,ROWS($1:31)),))</f>
        <v/>
      </c>
      <c r="B45" s="388" t="str">
        <f ca="1">IF(ROWS($1:31)&gt;COUNT(Dong5),"",OFFSET(TH!D$1,SMALL(Dong5,ROWS($1:31)),))</f>
        <v/>
      </c>
      <c r="C45" s="388" t="str">
        <f ca="1">IF(ROWS($1:31)&gt;COUNT(Dong5),"",OFFSET(TH!E$1,SMALL(Dong5,ROWS($1:31)),))</f>
        <v/>
      </c>
      <c r="D45" s="481" t="str">
        <f ca="1">IF(ROWS($1:31)&gt;COUNT(Dong5),"",OFFSET(TH!F$1,SMALL(Dong5,ROWS($1:31)),))</f>
        <v/>
      </c>
      <c r="E45" s="388" t="str">
        <f ca="1">IF(ROWS($1:31)&gt;COUNT(Dong5),"",IF(OFFSET(TH!N$1,SMALL(Dong5,ROWS($1:31)),)=$E$7,OFFSET(TH!O$1,SMALL(Dong5,ROWS($1:31)),),OFFSET(TH!N$1,SMALL(Dong5,ROWS($1:31)),)))</f>
        <v/>
      </c>
      <c r="F45" s="482">
        <f ca="1">IF(ROWS($1:31)&gt;COUNT(Dong5),0,IF(OFFSET(TH!N$1,SMALL(Dong5,ROWS($1:31)),)=$E$7,OFFSET(TH!M$1,SMALL(Dong5,ROWS($1:31)),),0))</f>
        <v>0</v>
      </c>
      <c r="G45" s="480">
        <f ca="1">IF(ROWS($1:31)&gt;COUNT(Dong5),0,IF(OFFSET(TH!O$1,SMALL(Dong5,ROWS($1:31)),)=$E$7,OFFSET(TH!M$1,SMALL(Dong5,ROWS($1:31)),),0))</f>
        <v>0</v>
      </c>
      <c r="H45" s="483">
        <f t="shared" ca="1" si="2"/>
        <v>0</v>
      </c>
      <c r="I45" s="483">
        <f t="shared" ca="1" si="3"/>
        <v>0</v>
      </c>
    </row>
    <row r="46" spans="1:9" s="18" customFormat="1" ht="18" customHeight="1">
      <c r="A46" s="388" t="str">
        <f ca="1">IF(ROWS($1:32)&gt;COUNT(Dong5),"",OFFSET(TH!C$1,SMALL(Dong5,ROWS($1:32)),))</f>
        <v/>
      </c>
      <c r="B46" s="388" t="str">
        <f ca="1">IF(ROWS($1:32)&gt;COUNT(Dong5),"",OFFSET(TH!D$1,SMALL(Dong5,ROWS($1:32)),))</f>
        <v/>
      </c>
      <c r="C46" s="388" t="str">
        <f ca="1">IF(ROWS($1:32)&gt;COUNT(Dong5),"",OFFSET(TH!E$1,SMALL(Dong5,ROWS($1:32)),))</f>
        <v/>
      </c>
      <c r="D46" s="481" t="str">
        <f ca="1">IF(ROWS($1:32)&gt;COUNT(Dong5),"",OFFSET(TH!F$1,SMALL(Dong5,ROWS($1:32)),))</f>
        <v/>
      </c>
      <c r="E46" s="388" t="str">
        <f ca="1">IF(ROWS($1:32)&gt;COUNT(Dong5),"",IF(OFFSET(TH!N$1,SMALL(Dong5,ROWS($1:32)),)=$E$7,OFFSET(TH!O$1,SMALL(Dong5,ROWS($1:32)),),OFFSET(TH!N$1,SMALL(Dong5,ROWS($1:32)),)))</f>
        <v/>
      </c>
      <c r="F46" s="482">
        <f ca="1">IF(ROWS($1:32)&gt;COUNT(Dong5),0,IF(OFFSET(TH!N$1,SMALL(Dong5,ROWS($1:32)),)=$E$7,OFFSET(TH!M$1,SMALL(Dong5,ROWS($1:32)),),0))</f>
        <v>0</v>
      </c>
      <c r="G46" s="480">
        <f ca="1">IF(ROWS($1:32)&gt;COUNT(Dong5),0,IF(OFFSET(TH!O$1,SMALL(Dong5,ROWS($1:32)),)=$E$7,OFFSET(TH!M$1,SMALL(Dong5,ROWS($1:32)),),0))</f>
        <v>0</v>
      </c>
      <c r="H46" s="483">
        <f t="shared" ca="1" si="2"/>
        <v>0</v>
      </c>
      <c r="I46" s="483">
        <f t="shared" ca="1" si="3"/>
        <v>0</v>
      </c>
    </row>
    <row r="47" spans="1:9" s="18" customFormat="1" ht="18" customHeight="1">
      <c r="A47" s="388" t="str">
        <f ca="1">IF(ROWS($1:33)&gt;COUNT(Dong5),"",OFFSET(TH!C$1,SMALL(Dong5,ROWS($1:33)),))</f>
        <v/>
      </c>
      <c r="B47" s="388" t="str">
        <f ca="1">IF(ROWS($1:33)&gt;COUNT(Dong5),"",OFFSET(TH!D$1,SMALL(Dong5,ROWS($1:33)),))</f>
        <v/>
      </c>
      <c r="C47" s="388" t="str">
        <f ca="1">IF(ROWS($1:33)&gt;COUNT(Dong5),"",OFFSET(TH!E$1,SMALL(Dong5,ROWS($1:33)),))</f>
        <v/>
      </c>
      <c r="D47" s="481" t="str">
        <f ca="1">IF(ROWS($1:33)&gt;COUNT(Dong5),"",OFFSET(TH!F$1,SMALL(Dong5,ROWS($1:33)),))</f>
        <v/>
      </c>
      <c r="E47" s="388" t="str">
        <f ca="1">IF(ROWS($1:33)&gt;COUNT(Dong5),"",IF(OFFSET(TH!N$1,SMALL(Dong5,ROWS($1:33)),)=$E$7,OFFSET(TH!O$1,SMALL(Dong5,ROWS($1:33)),),OFFSET(TH!N$1,SMALL(Dong5,ROWS($1:33)),)))</f>
        <v/>
      </c>
      <c r="F47" s="482">
        <f ca="1">IF(ROWS($1:33)&gt;COUNT(Dong5),0,IF(OFFSET(TH!N$1,SMALL(Dong5,ROWS($1:33)),)=$E$7,OFFSET(TH!M$1,SMALL(Dong5,ROWS($1:33)),),0))</f>
        <v>0</v>
      </c>
      <c r="G47" s="480">
        <f ca="1">IF(ROWS($1:33)&gt;COUNT(Dong5),0,IF(OFFSET(TH!O$1,SMALL(Dong5,ROWS($1:33)),)=$E$7,OFFSET(TH!M$1,SMALL(Dong5,ROWS($1:33)),),0))</f>
        <v>0</v>
      </c>
      <c r="H47" s="483">
        <f ca="1">IF(D47&lt;&gt;"",MAX(H46+F47-G47-I46,0),0)</f>
        <v>0</v>
      </c>
      <c r="I47" s="483">
        <f ca="1">IF(D47&lt;&gt;"",MAX(I46+G47-H46-F47,0),0)</f>
        <v>0</v>
      </c>
    </row>
    <row r="48" spans="1:9" s="18" customFormat="1" ht="18" customHeight="1">
      <c r="A48" s="388" t="str">
        <f ca="1">IF(ROWS($1:34)&gt;COUNT(Dong5),"",OFFSET(TH!C$1,SMALL(Dong5,ROWS($1:34)),))</f>
        <v/>
      </c>
      <c r="B48" s="388" t="str">
        <f ca="1">IF(ROWS($1:34)&gt;COUNT(Dong5),"",OFFSET(TH!D$1,SMALL(Dong5,ROWS($1:34)),))</f>
        <v/>
      </c>
      <c r="C48" s="388" t="str">
        <f ca="1">IF(ROWS($1:34)&gt;COUNT(Dong5),"",OFFSET(TH!E$1,SMALL(Dong5,ROWS($1:34)),))</f>
        <v/>
      </c>
      <c r="D48" s="481" t="str">
        <f ca="1">IF(ROWS($1:34)&gt;COUNT(Dong5),"",OFFSET(TH!F$1,SMALL(Dong5,ROWS($1:34)),))</f>
        <v/>
      </c>
      <c r="E48" s="388" t="str">
        <f ca="1">IF(ROWS($1:34)&gt;COUNT(Dong5),"",IF(OFFSET(TH!N$1,SMALL(Dong5,ROWS($1:34)),)=$E$7,OFFSET(TH!O$1,SMALL(Dong5,ROWS($1:34)),),OFFSET(TH!N$1,SMALL(Dong5,ROWS($1:34)),)))</f>
        <v/>
      </c>
      <c r="F48" s="482">
        <f ca="1">IF(ROWS($1:34)&gt;COUNT(Dong5),0,IF(OFFSET(TH!N$1,SMALL(Dong5,ROWS($1:34)),)=$E$7,OFFSET(TH!M$1,SMALL(Dong5,ROWS($1:34)),),0))</f>
        <v>0</v>
      </c>
      <c r="G48" s="480">
        <f ca="1">IF(ROWS($1:34)&gt;COUNT(Dong5),0,IF(OFFSET(TH!O$1,SMALL(Dong5,ROWS($1:34)),)=$E$7,OFFSET(TH!M$1,SMALL(Dong5,ROWS($1:34)),),0))</f>
        <v>0</v>
      </c>
      <c r="H48" s="483">
        <f ca="1">IF(D48&lt;&gt;"",MAX(H47+F48-G48-I47,0),0)</f>
        <v>0</v>
      </c>
      <c r="I48" s="483">
        <f ca="1">IF(D48&lt;&gt;"",MAX(I47+G48-H47-F48,0),0)</f>
        <v>0</v>
      </c>
    </row>
    <row r="49" spans="1:9" s="18" customFormat="1" ht="18" customHeight="1">
      <c r="A49" s="388" t="str">
        <f ca="1">IF(ROWS($1:35)&gt;COUNT(Dong5),"",OFFSET(TH!C$1,SMALL(Dong5,ROWS($1:35)),))</f>
        <v/>
      </c>
      <c r="B49" s="388" t="str">
        <f ca="1">IF(ROWS($1:35)&gt;COUNT(Dong5),"",OFFSET(TH!D$1,SMALL(Dong5,ROWS($1:35)),))</f>
        <v/>
      </c>
      <c r="C49" s="388" t="str">
        <f ca="1">IF(ROWS($1:35)&gt;COUNT(Dong5),"",OFFSET(TH!E$1,SMALL(Dong5,ROWS($1:35)),))</f>
        <v/>
      </c>
      <c r="D49" s="481" t="str">
        <f ca="1">IF(ROWS($1:35)&gt;COUNT(Dong5),"",OFFSET(TH!F$1,SMALL(Dong5,ROWS($1:35)),))</f>
        <v/>
      </c>
      <c r="E49" s="388" t="str">
        <f ca="1">IF(ROWS($1:35)&gt;COUNT(Dong5),"",IF(OFFSET(TH!N$1,SMALL(Dong5,ROWS($1:35)),)=$E$7,OFFSET(TH!O$1,SMALL(Dong5,ROWS($1:35)),),OFFSET(TH!N$1,SMALL(Dong5,ROWS($1:35)),)))</f>
        <v/>
      </c>
      <c r="F49" s="482">
        <f ca="1">IF(ROWS($1:35)&gt;COUNT(Dong5),0,IF(OFFSET(TH!N$1,SMALL(Dong5,ROWS($1:35)),)=$E$7,OFFSET(TH!M$1,SMALL(Dong5,ROWS($1:35)),),0))</f>
        <v>0</v>
      </c>
      <c r="G49" s="480">
        <f ca="1">IF(ROWS($1:35)&gt;COUNT(Dong5),0,IF(OFFSET(TH!O$1,SMALL(Dong5,ROWS($1:35)),)=$E$7,OFFSET(TH!M$1,SMALL(Dong5,ROWS($1:35)),),0))</f>
        <v>0</v>
      </c>
      <c r="H49" s="483">
        <f ca="1">IF(D49&lt;&gt;"",MAX(H48+F49-G49-I48,0),0)</f>
        <v>0</v>
      </c>
      <c r="I49" s="483">
        <f ca="1">IF(D49&lt;&gt;"",MAX(I48+G49-H48-F49,0),0)</f>
        <v>0</v>
      </c>
    </row>
    <row r="50" spans="1:9" s="18" customFormat="1" ht="18" customHeight="1">
      <c r="A50" s="388" t="str">
        <f ca="1">IF(ROWS($1:36)&gt;COUNT(Dong5),"",OFFSET(TH!C$1,SMALL(Dong5,ROWS($1:36)),))</f>
        <v/>
      </c>
      <c r="B50" s="388" t="str">
        <f ca="1">IF(ROWS($1:36)&gt;COUNT(Dong5),"",OFFSET(TH!D$1,SMALL(Dong5,ROWS($1:36)),))</f>
        <v/>
      </c>
      <c r="C50" s="388" t="str">
        <f ca="1">IF(ROWS($1:36)&gt;COUNT(Dong5),"",OFFSET(TH!E$1,SMALL(Dong5,ROWS($1:36)),))</f>
        <v/>
      </c>
      <c r="D50" s="481" t="str">
        <f ca="1">IF(ROWS($1:36)&gt;COUNT(Dong5),"",OFFSET(TH!F$1,SMALL(Dong5,ROWS($1:36)),))</f>
        <v/>
      </c>
      <c r="E50" s="388" t="str">
        <f ca="1">IF(ROWS($1:36)&gt;COUNT(Dong5),"",IF(OFFSET(TH!N$1,SMALL(Dong5,ROWS($1:36)),)=$E$7,OFFSET(TH!O$1,SMALL(Dong5,ROWS($1:36)),),OFFSET(TH!N$1,SMALL(Dong5,ROWS($1:36)),)))</f>
        <v/>
      </c>
      <c r="F50" s="482">
        <f ca="1">IF(ROWS($1:36)&gt;COUNT(Dong5),0,IF(OFFSET(TH!N$1,SMALL(Dong5,ROWS($1:36)),)=$E$7,OFFSET(TH!M$1,SMALL(Dong5,ROWS($1:36)),),0))</f>
        <v>0</v>
      </c>
      <c r="G50" s="480">
        <f ca="1">IF(ROWS($1:36)&gt;COUNT(Dong5),0,IF(OFFSET(TH!O$1,SMALL(Dong5,ROWS($1:36)),)=$E$7,OFFSET(TH!M$1,SMALL(Dong5,ROWS($1:36)),),0))</f>
        <v>0</v>
      </c>
      <c r="H50" s="483">
        <f ca="1">IF(D50&lt;&gt;"",MAX(H49+F50-G50-I49,0),0)</f>
        <v>0</v>
      </c>
      <c r="I50" s="483">
        <f ca="1">IF(D50&lt;&gt;"",MAX(I49+G50-H49-F50,0),0)</f>
        <v>0</v>
      </c>
    </row>
    <row r="51" spans="1:9" s="18" customFormat="1" ht="18" customHeight="1">
      <c r="A51" s="388"/>
      <c r="B51" s="389"/>
      <c r="C51" s="388"/>
      <c r="D51" s="468" t="s">
        <v>238</v>
      </c>
      <c r="E51" s="389" t="s">
        <v>26</v>
      </c>
      <c r="F51" s="484">
        <f ca="1">SUM(F15:F50)</f>
        <v>165000000</v>
      </c>
      <c r="G51" s="484">
        <f ca="1">SUM(G15:G50)</f>
        <v>2374000000</v>
      </c>
      <c r="H51" s="484" t="s">
        <v>26</v>
      </c>
      <c r="I51" s="484" t="s">
        <v>26</v>
      </c>
    </row>
    <row r="52" spans="1:9" s="18" customFormat="1" ht="18" customHeight="1">
      <c r="A52" s="485"/>
      <c r="B52" s="473"/>
      <c r="C52" s="485"/>
      <c r="D52" s="472" t="s">
        <v>13</v>
      </c>
      <c r="E52" s="473" t="s">
        <v>26</v>
      </c>
      <c r="F52" s="486" t="s">
        <v>26</v>
      </c>
      <c r="G52" s="486" t="s">
        <v>26</v>
      </c>
      <c r="H52" s="487">
        <f ca="1">MAX(H14+F51-G51-I14,0)</f>
        <v>0</v>
      </c>
      <c r="I52" s="487">
        <f ca="1">MAX(I14+G51-F51-H14,0)</f>
        <v>2209000000</v>
      </c>
    </row>
    <row r="53" spans="1:9" s="18" customFormat="1" ht="9.75" customHeight="1">
      <c r="A53" s="423"/>
      <c r="B53" s="423"/>
      <c r="C53" s="423"/>
      <c r="E53" s="423"/>
    </row>
    <row r="54" spans="1:9" s="18" customFormat="1" ht="12.75">
      <c r="A54" s="423"/>
      <c r="B54" s="423"/>
      <c r="C54" s="488" t="s">
        <v>361</v>
      </c>
      <c r="E54" s="423"/>
    </row>
    <row r="55" spans="1:9" s="18" customFormat="1" ht="12.75">
      <c r="A55" s="423"/>
      <c r="B55" s="423"/>
      <c r="C55" s="28" t="s">
        <v>280</v>
      </c>
      <c r="E55" s="423"/>
    </row>
    <row r="56" spans="1:9" s="18" customFormat="1" ht="13.5" customHeight="1">
      <c r="A56" s="423"/>
      <c r="B56" s="423"/>
      <c r="C56" s="423"/>
      <c r="E56" s="1090" t="s">
        <v>281</v>
      </c>
      <c r="F56" s="1090"/>
      <c r="G56" s="1090"/>
      <c r="H56" s="1090"/>
      <c r="I56" s="1090"/>
    </row>
    <row r="57" spans="1:9" s="18" customFormat="1" ht="12.75">
      <c r="A57" s="1090" t="s">
        <v>14</v>
      </c>
      <c r="B57" s="1090"/>
      <c r="C57" s="1090"/>
      <c r="D57" s="1090"/>
      <c r="E57" s="1090" t="s">
        <v>15</v>
      </c>
      <c r="F57" s="1090"/>
      <c r="G57" s="1090"/>
      <c r="H57" s="1090"/>
      <c r="I57" s="1090"/>
    </row>
    <row r="58" spans="1:9" s="18" customFormat="1" ht="12.75">
      <c r="A58" s="1090" t="s">
        <v>16</v>
      </c>
      <c r="B58" s="1090"/>
      <c r="C58" s="1090"/>
      <c r="D58" s="1090"/>
      <c r="E58" s="1090" t="s">
        <v>16</v>
      </c>
      <c r="F58" s="1090"/>
      <c r="G58" s="1090"/>
      <c r="H58" s="1090"/>
      <c r="I58" s="1090"/>
    </row>
    <row r="59" spans="1:9" s="18" customFormat="1" ht="12.75">
      <c r="A59" s="423"/>
      <c r="B59" s="423"/>
      <c r="C59" s="423"/>
      <c r="E59" s="423"/>
    </row>
    <row r="60" spans="1:9">
      <c r="D60" s="286"/>
      <c r="F60" s="287"/>
    </row>
    <row r="65" spans="1:4">
      <c r="A65" s="1091" t="s">
        <v>337</v>
      </c>
      <c r="B65" s="1091"/>
      <c r="C65" s="1091"/>
      <c r="D65" s="1091"/>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213</v>
      </c>
      <c r="C1" s="113"/>
      <c r="D1" s="103"/>
      <c r="E1" s="103"/>
      <c r="F1" s="103"/>
      <c r="G1" s="103"/>
      <c r="I1" s="105"/>
      <c r="L1" s="106" t="str">
        <f>+IF(LEFT($U$4,1)="T","Mẫu số 01 - TT","Mẫu số 02 - TT")</f>
        <v>Mẫu số 01 - TT</v>
      </c>
      <c r="N1" s="107"/>
      <c r="O1" s="107"/>
      <c r="P1" s="108"/>
      <c r="Q1" s="109"/>
      <c r="R1" s="109"/>
      <c r="S1" s="109"/>
      <c r="T1" s="109"/>
      <c r="U1" s="109"/>
      <c r="V1" s="110"/>
      <c r="W1" s="109"/>
    </row>
    <row r="2" spans="1:23" ht="13.5" customHeight="1">
      <c r="B2" s="113" t="s">
        <v>214</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201</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216</v>
      </c>
      <c r="R3" s="368"/>
      <c r="S3" s="369" t="s">
        <v>321</v>
      </c>
      <c r="T3" s="368"/>
      <c r="U3" s="369" t="s">
        <v>202</v>
      </c>
      <c r="V3" s="116"/>
      <c r="W3" s="117" t="s">
        <v>202</v>
      </c>
    </row>
    <row r="4" spans="1:23" ht="21.75">
      <c r="B4" s="113"/>
      <c r="C4" s="103"/>
      <c r="D4" s="103"/>
      <c r="E4" s="103"/>
      <c r="G4" s="120"/>
      <c r="H4" s="121" t="str">
        <f>IF(LEFT($U$4,1)="T","PHIẾU THU","PHIẾU CHI")</f>
        <v>PHIẾU THU</v>
      </c>
      <c r="J4" s="120"/>
      <c r="K4" s="122"/>
      <c r="M4" s="122"/>
      <c r="N4" s="122"/>
      <c r="O4" s="122"/>
      <c r="P4" s="123"/>
      <c r="Q4" s="150">
        <v>2016</v>
      </c>
      <c r="R4" s="124"/>
      <c r="S4" s="367">
        <v>2</v>
      </c>
      <c r="T4" s="124"/>
      <c r="U4" s="151" t="s">
        <v>905</v>
      </c>
      <c r="V4" s="152"/>
      <c r="W4" s="153">
        <v>1</v>
      </c>
    </row>
    <row r="5" spans="1:23">
      <c r="B5" s="113"/>
      <c r="C5" s="103"/>
      <c r="D5" s="103"/>
      <c r="E5" s="103"/>
      <c r="G5" s="120"/>
      <c r="H5" s="125" t="str">
        <f>IF(ISNA(VLOOKUP($M$7,TM,3,0)),"","Ngày  "&amp;DAY(VLOOKUP($M$7,TM,3,0))&amp;"  tháng  "&amp;MONTH(VLOOKUP($M$7,TM,3,0))&amp;"  năm  "&amp;$Q$4)</f>
        <v>Ngày  1  tháng  5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02</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T01</v>
      </c>
      <c r="N7" s="131"/>
      <c r="O7" s="131"/>
      <c r="P7" s="132"/>
      <c r="Q7" s="128"/>
      <c r="R7" s="128"/>
      <c r="S7" s="128"/>
      <c r="T7" s="128"/>
      <c r="U7" s="128"/>
      <c r="V7" s="128"/>
      <c r="W7" s="128"/>
    </row>
    <row r="8" spans="1:23" ht="13.5">
      <c r="A8" s="128"/>
      <c r="B8" s="128"/>
      <c r="C8" s="128"/>
      <c r="D8" s="128"/>
      <c r="E8" s="126"/>
      <c r="F8" s="126"/>
      <c r="G8" s="126"/>
      <c r="H8" s="126"/>
      <c r="I8" s="126"/>
      <c r="J8" s="128"/>
      <c r="K8" s="136"/>
      <c r="L8" s="130" t="s">
        <v>203</v>
      </c>
      <c r="M8" s="137" t="str">
        <f>IF($U$4="T","1111",IF($U$4="C",IF(ISNA(VLOOKUP($M$7,TM,15,0)),"",VLOOKUP($M$7,TM,14,0)),""))</f>
        <v>1111</v>
      </c>
      <c r="N8" s="131"/>
      <c r="O8" s="131"/>
      <c r="P8" s="138"/>
      <c r="Q8" s="128"/>
      <c r="R8" s="128"/>
      <c r="S8" s="128"/>
      <c r="T8" s="128"/>
      <c r="U8" s="128"/>
      <c r="V8" s="128"/>
      <c r="W8" s="128"/>
    </row>
    <row r="9" spans="1:23" ht="13.5">
      <c r="A9" s="128"/>
      <c r="B9" s="128"/>
      <c r="C9" s="128"/>
      <c r="D9" s="128"/>
      <c r="E9" s="126"/>
      <c r="F9" s="126"/>
      <c r="G9" s="126"/>
      <c r="H9" s="126"/>
      <c r="I9" s="126"/>
      <c r="J9" s="128"/>
      <c r="K9" s="136"/>
      <c r="L9" s="134" t="s">
        <v>204</v>
      </c>
      <c r="M9" s="137" t="str">
        <f>IF($U$4="C","1111",IF($U$4="T",IF(ISNA(VLOOKUP($M$7,TM,14,0)),"",VLOOKUP($M$7,TM,15,0)),""))</f>
        <v>3388</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tên người nộp tiền : Nguyễn Thiện Duy</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nộp : Ứng vốn</v>
      </c>
      <c r="E12" s="139"/>
      <c r="F12" s="139"/>
      <c r="G12" s="139"/>
      <c r="H12" s="139"/>
      <c r="I12" s="139"/>
      <c r="J12" s="139"/>
      <c r="K12" s="139"/>
      <c r="L12" s="139"/>
      <c r="M12" s="139"/>
      <c r="N12" s="139"/>
      <c r="O12" s="139"/>
    </row>
    <row r="13" spans="1:23">
      <c r="C13" s="104" t="s">
        <v>219</v>
      </c>
      <c r="D13" s="141">
        <f ca="1">SUMIF(TM,$M$7,TH)</f>
        <v>1000000000</v>
      </c>
      <c r="E13" s="104" t="s">
        <v>205</v>
      </c>
      <c r="F13" s="141"/>
      <c r="G13" s="141"/>
      <c r="P13" s="104"/>
    </row>
    <row r="14" spans="1:23">
      <c r="C14" s="104" t="str">
        <f ca="1">"Viết bằng chữ: " &amp;[1]!VND('IN-TC'!D13, TRUE)</f>
        <v>Viết bằng chữ: Một tỷ đồng</v>
      </c>
      <c r="P14" s="119"/>
    </row>
    <row r="15" spans="1:23">
      <c r="C15" s="139" t="str">
        <f>"Kèm theo :     " &amp;IF(OR(ISNA(VLOOKUP($M$7,TM,7,0)),VLOOKUP($M$7,TM,7,0)=""),"                           ",IF(VLOOKUP($M$7,TM,7,0)&lt;&gt;"","    HĐ  "&amp;(VLOOKUP($M$7,TM,7,0)))) &amp; "     chứng từ gốc. "</f>
        <v xml:space="preserve">Kèm theo :         HĐ  Q4     chứng từ gốc. </v>
      </c>
      <c r="D15" s="139"/>
      <c r="F15" s="139"/>
      <c r="G15" s="139"/>
      <c r="H15" s="139"/>
      <c r="I15" s="139"/>
      <c r="J15" s="139"/>
      <c r="K15" s="139"/>
      <c r="L15" s="139"/>
      <c r="M15" s="139"/>
      <c r="N15" s="139"/>
      <c r="O15" s="139"/>
      <c r="P15" s="142"/>
    </row>
    <row r="16" spans="1:23">
      <c r="K16" s="143"/>
      <c r="L16" s="143"/>
      <c r="M16" s="158" t="str">
        <f>H5</f>
        <v>Ngày  1  tháng  5  năm  2016</v>
      </c>
      <c r="N16" s="143"/>
      <c r="O16" s="143"/>
      <c r="P16" s="104"/>
    </row>
    <row r="17" spans="1:23">
      <c r="C17" s="144" t="s">
        <v>206</v>
      </c>
      <c r="D17" s="145"/>
      <c r="E17" s="144" t="s">
        <v>15</v>
      </c>
      <c r="F17" s="145"/>
      <c r="G17" s="145"/>
      <c r="H17" s="144" t="str">
        <f>IF($U$4="C","Thủ quỹ","Người nộp tiền")</f>
        <v>Người nộp tiền</v>
      </c>
      <c r="J17" s="144" t="s">
        <v>207</v>
      </c>
      <c r="K17" s="145"/>
      <c r="M17" s="146" t="str">
        <f>IF($U$4="T","Thủ quỹ","Người nhận tiền")</f>
        <v>Thủ quỹ</v>
      </c>
      <c r="N17" s="147"/>
      <c r="O17" s="147"/>
      <c r="P17" s="104"/>
    </row>
    <row r="18" spans="1:23">
      <c r="A18" s="145"/>
      <c r="B18" s="145"/>
      <c r="C18" s="148" t="s">
        <v>208</v>
      </c>
      <c r="E18" s="148" t="s">
        <v>209</v>
      </c>
      <c r="H18" s="148" t="s">
        <v>209</v>
      </c>
      <c r="I18" s="145"/>
      <c r="J18" s="148" t="s">
        <v>209</v>
      </c>
      <c r="L18" s="145"/>
      <c r="M18" s="148" t="s">
        <v>209</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4" t="s">
        <v>183</v>
      </c>
      <c r="H24" s="414" t="str">
        <f>IF($U$4="T","","Phạm Thị Đông")</f>
        <v/>
      </c>
      <c r="J24" s="414" t="s">
        <v>337</v>
      </c>
      <c r="M24" s="414" t="str">
        <f>IF($U$4="C","","Phạm Thị Đông")</f>
        <v>Phạm Thị Đông</v>
      </c>
      <c r="P24" s="104"/>
    </row>
    <row r="25" spans="1:23">
      <c r="B25" s="104" t="s">
        <v>210</v>
      </c>
      <c r="P25" s="104"/>
    </row>
    <row r="26" spans="1:23">
      <c r="B26" s="139"/>
      <c r="C26" s="139" t="s">
        <v>211</v>
      </c>
      <c r="D26" s="139"/>
      <c r="E26" s="139"/>
      <c r="F26" s="139"/>
      <c r="G26" s="139"/>
      <c r="H26" s="139"/>
      <c r="I26" s="139"/>
      <c r="J26" s="139"/>
      <c r="K26" s="139"/>
      <c r="L26" s="139"/>
      <c r="M26" s="139"/>
      <c r="N26" s="139"/>
      <c r="O26" s="139"/>
      <c r="P26" s="104"/>
    </row>
    <row r="27" spans="1:23">
      <c r="B27" s="139"/>
      <c r="C27" s="139" t="s">
        <v>212</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71" activePane="bottomLeft" state="frozen"/>
      <selection activeCell="A10" sqref="A10"/>
      <selection pane="bottomLeft" activeCell="M77" sqref="M77"/>
    </sheetView>
  </sheetViews>
  <sheetFormatPr defaultRowHeight="15"/>
  <cols>
    <col min="1" max="2" width="8.7109375" style="162" customWidth="1"/>
    <col min="3" max="4" width="6.5703125" style="162" customWidth="1"/>
    <col min="5" max="5" width="34.5703125" style="162" customWidth="1"/>
    <col min="6" max="6" width="6.28515625" style="162" customWidth="1"/>
    <col min="7" max="9" width="14.42578125" style="162" customWidth="1"/>
    <col min="10" max="10" width="6.28515625" style="162" customWidth="1"/>
    <col min="11" max="11" width="2.140625" style="162" customWidth="1"/>
    <col min="12" max="12" width="10" style="162" customWidth="1"/>
    <col min="13" max="13" width="3.28515625" style="162" customWidth="1"/>
    <col min="14" max="15" width="5" style="162" hidden="1" customWidth="1"/>
    <col min="16" max="16" width="9.140625" style="162" hidden="1" customWidth="1"/>
    <col min="17" max="16384" width="9.140625" style="162"/>
  </cols>
  <sheetData>
    <row r="1" spans="1:15" s="3" customFormat="1" ht="16.5" customHeight="1">
      <c r="A1" s="189" t="s">
        <v>213</v>
      </c>
      <c r="B1" s="2"/>
      <c r="C1" s="2"/>
      <c r="D1" s="2"/>
      <c r="E1" s="2"/>
      <c r="G1" s="1094" t="s">
        <v>223</v>
      </c>
      <c r="H1" s="1094"/>
      <c r="I1" s="1094"/>
      <c r="J1" s="1094"/>
    </row>
    <row r="2" spans="1:15" s="3" customFormat="1" ht="16.5" customHeight="1">
      <c r="A2" s="139" t="s">
        <v>214</v>
      </c>
      <c r="B2" s="16"/>
      <c r="C2" s="16"/>
      <c r="D2" s="16"/>
      <c r="E2" s="16"/>
      <c r="G2" s="1095" t="s">
        <v>224</v>
      </c>
      <c r="H2" s="1095"/>
      <c r="I2" s="1095"/>
      <c r="J2" s="1095"/>
    </row>
    <row r="3" spans="1:15" s="3" customFormat="1" ht="16.5" customHeight="1">
      <c r="A3" s="4"/>
      <c r="B3" s="16"/>
      <c r="C3" s="160"/>
      <c r="D3" s="160"/>
      <c r="E3" s="16"/>
      <c r="G3" s="1095"/>
      <c r="H3" s="1095"/>
      <c r="I3" s="1095"/>
      <c r="J3" s="1095"/>
    </row>
    <row r="4" spans="1:15" s="3" customFormat="1" ht="6.75" customHeight="1">
      <c r="A4" s="16"/>
      <c r="B4" s="16"/>
      <c r="C4" s="16"/>
      <c r="D4" s="16"/>
      <c r="E4" s="16"/>
      <c r="G4" s="161"/>
      <c r="H4" s="161"/>
      <c r="I4" s="161"/>
      <c r="J4" s="161"/>
    </row>
    <row r="5" spans="1:15" ht="24.75" customHeight="1">
      <c r="A5" s="1104" t="s">
        <v>225</v>
      </c>
      <c r="B5" s="1104"/>
      <c r="C5" s="1104"/>
      <c r="D5" s="1104"/>
      <c r="E5" s="1104"/>
      <c r="F5" s="1104"/>
      <c r="G5" s="1104"/>
      <c r="H5" s="1104"/>
      <c r="I5" s="1104"/>
      <c r="J5" s="1104"/>
    </row>
    <row r="6" spans="1:15" ht="14.25" customHeight="1">
      <c r="A6" s="1106" t="str">
        <f>$L$11&amp;" / 2015"</f>
        <v>Quý II / 2015</v>
      </c>
      <c r="B6" s="1106"/>
      <c r="C6" s="1106"/>
      <c r="D6" s="1106"/>
      <c r="E6" s="1106"/>
      <c r="F6" s="1106"/>
      <c r="G6" s="1106"/>
      <c r="H6" s="1106"/>
      <c r="I6" s="1106"/>
      <c r="J6" s="1106"/>
    </row>
    <row r="7" spans="1:15">
      <c r="A7" s="1105" t="s">
        <v>226</v>
      </c>
      <c r="B7" s="1105"/>
      <c r="C7" s="1105"/>
      <c r="D7" s="1105"/>
      <c r="E7" s="1105"/>
      <c r="F7" s="1105"/>
      <c r="G7" s="1105"/>
      <c r="H7" s="1105"/>
      <c r="I7" s="1105"/>
      <c r="J7" s="1105"/>
    </row>
    <row r="8" spans="1:15">
      <c r="A8" s="1105" t="s">
        <v>227</v>
      </c>
      <c r="B8" s="1105"/>
      <c r="C8" s="1105"/>
      <c r="D8" s="1105"/>
      <c r="E8" s="1105"/>
      <c r="F8" s="1105"/>
      <c r="G8" s="1105"/>
      <c r="H8" s="1105"/>
      <c r="I8" s="1105"/>
      <c r="J8" s="1105"/>
    </row>
    <row r="9" spans="1:15">
      <c r="A9" s="163"/>
      <c r="I9" s="163" t="s">
        <v>228</v>
      </c>
    </row>
    <row r="10" spans="1:15" ht="33" customHeight="1" thickBot="1">
      <c r="A10" s="1107" t="s">
        <v>27</v>
      </c>
      <c r="B10" s="1107" t="s">
        <v>229</v>
      </c>
      <c r="C10" s="1109" t="s">
        <v>230</v>
      </c>
      <c r="D10" s="1109"/>
      <c r="E10" s="1109" t="s">
        <v>0</v>
      </c>
      <c r="F10" s="1107" t="s">
        <v>19</v>
      </c>
      <c r="G10" s="1109" t="s">
        <v>28</v>
      </c>
      <c r="H10" s="1109"/>
      <c r="I10" s="1109" t="s">
        <v>231</v>
      </c>
      <c r="J10" s="1109" t="s">
        <v>232</v>
      </c>
      <c r="L10" s="190"/>
      <c r="N10" s="1105" t="s">
        <v>242</v>
      </c>
      <c r="O10" s="1105"/>
    </row>
    <row r="11" spans="1:15" ht="24" customHeight="1" thickBot="1">
      <c r="A11" s="1108"/>
      <c r="B11" s="1108"/>
      <c r="C11" s="164" t="s">
        <v>233</v>
      </c>
      <c r="D11" s="164" t="s">
        <v>234</v>
      </c>
      <c r="E11" s="1109"/>
      <c r="F11" s="1108"/>
      <c r="G11" s="164" t="s">
        <v>29</v>
      </c>
      <c r="H11" s="164" t="s">
        <v>30</v>
      </c>
      <c r="I11" s="1109"/>
      <c r="J11" s="1109"/>
      <c r="L11" s="236" t="s">
        <v>976</v>
      </c>
      <c r="N11" s="237">
        <f>IF(L11="Quý I",1,IF(L11="Quý II",4,IF(L11="Quý III",7,IF(L11="Quý IV",10,""))))</f>
        <v>4</v>
      </c>
      <c r="O11" s="238">
        <f>IF(L11="Quý I",3,IF(L11="Quý II",6,IF(L11="Quý III",9,IF(L11="Quý IV",12,""))))</f>
        <v>6</v>
      </c>
    </row>
    <row r="12" spans="1:15" s="165" customFormat="1" ht="11.25" customHeight="1">
      <c r="A12" s="166" t="s">
        <v>2</v>
      </c>
      <c r="B12" s="166" t="s">
        <v>3</v>
      </c>
      <c r="C12" s="166" t="s">
        <v>4</v>
      </c>
      <c r="D12" s="166" t="s">
        <v>5</v>
      </c>
      <c r="E12" s="166" t="s">
        <v>6</v>
      </c>
      <c r="F12" s="166" t="s">
        <v>235</v>
      </c>
      <c r="G12" s="166">
        <v>1</v>
      </c>
      <c r="H12" s="166">
        <v>2</v>
      </c>
      <c r="I12" s="166">
        <v>3</v>
      </c>
      <c r="J12" s="166" t="s">
        <v>236</v>
      </c>
    </row>
    <row r="13" spans="1:15" s="167" customFormat="1" ht="19.5" customHeight="1">
      <c r="A13" s="168"/>
      <c r="B13" s="168"/>
      <c r="C13" s="168"/>
      <c r="D13" s="168"/>
      <c r="E13" s="168" t="s">
        <v>237</v>
      </c>
      <c r="F13" s="169"/>
      <c r="G13" s="170"/>
      <c r="H13" s="168"/>
      <c r="I13" s="191">
        <f>IF($L$11="All",CDPS!$C$10,CDPS!$C$10+SUMIF(_N111,"x",TH)-SUMIF(_C111,"x",TH))</f>
        <v>777012143</v>
      </c>
      <c r="J13" s="168"/>
    </row>
    <row r="14" spans="1:15" ht="19.5" customHeight="1">
      <c r="A14" s="171">
        <f ca="1">IF(ROWS($1:1)&gt;COUNT(Dong1),"",OFFSET(TH!C$1,SMALL(Dong1,ROWS($1:1)),))</f>
        <v>42462</v>
      </c>
      <c r="B14" s="171">
        <f ca="1">IF(ROWS($1:1)&gt;COUNT(Dong1),"",OFFSET(TH!E$1,SMALL(Dong1,ROWS($1:1)),))</f>
        <v>42358</v>
      </c>
      <c r="C14" s="172" t="str">
        <f ca="1">IF(ROWS($1:1)&gt;COUNT(Dong1),"",IF(OFFSET(TH!N$1,SMALL(Dong1,ROWS($1:1)),)="1111",OFFSET(TH!D$1,SMALL(Dong1,ROWS($1:1)),),""))</f>
        <v/>
      </c>
      <c r="D14" s="173" t="str">
        <f ca="1">IF(ROWS($1:1)&gt;COUNT(Dong1),"",IF(OFFSET(TH!O$1,SMALL(Dong1,ROWS($1:1)),)="1111",OFFSET(TH!D$1,SMALL(Dong1,ROWS($1:1)),),""))</f>
        <v>C01</v>
      </c>
      <c r="E14" s="443" t="str">
        <f ca="1">IF(ROWS($1:1)&gt;COUNT(Dong1),"",OFFSET(TH!F$1,SMALL(Dong1,ROWS($1:1)),))</f>
        <v>Sơn 79A &amp; A901</v>
      </c>
      <c r="F14" s="175" t="str">
        <f ca="1">IF(ROWS($1:1)&gt;COUNT(Dong1),"",IF(OFFSET(TH!O$1,SMALL(Dong1,ROWS($1:1)),)="1111",OFFSET(TH!N$1,SMALL(Dong1,ROWS($1:1)),),OFFSET(TH!O$1,SMALL(Dong1,ROWS($1:1)),)))</f>
        <v>2412</v>
      </c>
      <c r="G14" s="176">
        <f ca="1">IF(ROWS($1:1)&gt;COUNT(Dong1),"",IF(OFFSET(TH!N$1,SMALL(Dong1,ROWS($1:1)),)="1111",OFFSET(TH!M$1,SMALL(Dong1,ROWS($1:1)),),0))</f>
        <v>0</v>
      </c>
      <c r="H14" s="174">
        <f ca="1">IF(ROWS($1:1)&gt;COUNT(Dong1),"",IF(OFFSET(TH!O$1,SMALL(Dong1,ROWS($1:1)),)="1111",OFFSET(TH!M$1,SMALL(Dong1,ROWS($1:1)),),0))</f>
        <v>10087000</v>
      </c>
      <c r="I14" s="172">
        <f ca="1">IF(E14&lt;&gt;"",I13+G14-H14,0)</f>
        <v>766925143</v>
      </c>
      <c r="J14" s="177"/>
    </row>
    <row r="15" spans="1:15" ht="19.5" customHeight="1">
      <c r="A15" s="171">
        <f ca="1">IF(ROWS($1:2)&gt;COUNT(Dong1),"",OFFSET(TH!C$1,SMALL(Dong1,ROWS($1:2)),))</f>
        <v>42462</v>
      </c>
      <c r="B15" s="171">
        <f ca="1">IF(ROWS($1:2)&gt;COUNT(Dong1),"",OFFSET(TH!E$1,SMALL(Dong1,ROWS($1:2)),))</f>
        <v>42358</v>
      </c>
      <c r="C15" s="172" t="str">
        <f ca="1">IF(ROWS($1:2)&gt;COUNT(Dong1),"",IF(OFFSET(TH!N$1,SMALL(Dong1,ROWS($1:2)),)="1111",OFFSET(TH!D$1,SMALL(Dong1,ROWS($1:2)),),""))</f>
        <v/>
      </c>
      <c r="D15" s="173" t="str">
        <f ca="1">IF(ROWS($1:2)&gt;COUNT(Dong1),"",IF(OFFSET(TH!O$1,SMALL(Dong1,ROWS($1:2)),)="1111",OFFSET(TH!D$1,SMALL(Dong1,ROWS($1:2)),),""))</f>
        <v>C01</v>
      </c>
      <c r="E15" s="443" t="str">
        <f ca="1">IF(ROWS($1:2)&gt;COUNT(Dong1),"",OFFSET(TH!F$1,SMALL(Dong1,ROWS($1:2)),))</f>
        <v>VAT Sơn 79A &amp; A901</v>
      </c>
      <c r="F15" s="175" t="str">
        <f ca="1">IF(ROWS($1:2)&gt;COUNT(Dong1),"",IF(OFFSET(TH!O$1,SMALL(Dong1,ROWS($1:2)),)="1111",OFFSET(TH!N$1,SMALL(Dong1,ROWS($1:2)),),OFFSET(TH!O$1,SMALL(Dong1,ROWS($1:2)),)))</f>
        <v>1331</v>
      </c>
      <c r="G15" s="176">
        <f ca="1">IF(ROWS($1:2)&gt;COUNT(Dong1),"",IF(OFFSET(TH!N$1,SMALL(Dong1,ROWS($1:2)),)="1111",OFFSET(TH!M$1,SMALL(Dong1,ROWS($1:2)),),0))</f>
        <v>0</v>
      </c>
      <c r="H15" s="174">
        <f ca="1">IF(ROWS($1:2)&gt;COUNT(Dong1),"",IF(OFFSET(TH!O$1,SMALL(Dong1,ROWS($1:2)),)="1111",OFFSET(TH!M$1,SMALL(Dong1,ROWS($1:2)),),0))</f>
        <v>1008700</v>
      </c>
      <c r="I15" s="172">
        <f t="shared" ref="I15:I78" ca="1" si="0">IF(E15&lt;&gt;"",I14+G15-H15,0)</f>
        <v>765916443</v>
      </c>
      <c r="J15" s="177"/>
    </row>
    <row r="16" spans="1:15" ht="19.5" customHeight="1">
      <c r="A16" s="171">
        <f ca="1">IF(ROWS($1:3)&gt;COUNT(Dong1),"",OFFSET(TH!C$1,SMALL(Dong1,ROWS($1:3)),))</f>
        <v>42462</v>
      </c>
      <c r="B16" s="171">
        <f ca="1">IF(ROWS($1:3)&gt;COUNT(Dong1),"",OFFSET(TH!E$1,SMALL(Dong1,ROWS($1:3)),))</f>
        <v>42361</v>
      </c>
      <c r="C16" s="172" t="str">
        <f ca="1">IF(ROWS($1:3)&gt;COUNT(Dong1),"",IF(OFFSET(TH!N$1,SMALL(Dong1,ROWS($1:3)),)="1111",OFFSET(TH!D$1,SMALL(Dong1,ROWS($1:3)),),""))</f>
        <v/>
      </c>
      <c r="D16" s="173" t="str">
        <f ca="1">IF(ROWS($1:3)&gt;COUNT(Dong1),"",IF(OFFSET(TH!O$1,SMALL(Dong1,ROWS($1:3)),)="1111",OFFSET(TH!D$1,SMALL(Dong1,ROWS($1:3)),),""))</f>
        <v>C02</v>
      </c>
      <c r="E16" s="443" t="str">
        <f ca="1">IF(ROWS($1:3)&gt;COUNT(Dong1),"",OFFSET(TH!F$1,SMALL(Dong1,ROWS($1:3)),))</f>
        <v>Bồn 1000L</v>
      </c>
      <c r="F16" s="175" t="str">
        <f ca="1">IF(ROWS($1:3)&gt;COUNT(Dong1),"",IF(OFFSET(TH!O$1,SMALL(Dong1,ROWS($1:3)),)="1111",OFFSET(TH!N$1,SMALL(Dong1,ROWS($1:3)),),OFFSET(TH!O$1,SMALL(Dong1,ROWS($1:3)),)))</f>
        <v>2412</v>
      </c>
      <c r="G16" s="176">
        <f ca="1">IF(ROWS($1:3)&gt;COUNT(Dong1),"",IF(OFFSET(TH!N$1,SMALL(Dong1,ROWS($1:3)),)="1111",OFFSET(TH!M$1,SMALL(Dong1,ROWS($1:3)),),0))</f>
        <v>0</v>
      </c>
      <c r="H16" s="174">
        <f ca="1">IF(ROWS($1:3)&gt;COUNT(Dong1),"",IF(OFFSET(TH!O$1,SMALL(Dong1,ROWS($1:3)),)="1111",OFFSET(TH!M$1,SMALL(Dong1,ROWS($1:3)),),0))</f>
        <v>16730000</v>
      </c>
      <c r="I16" s="172">
        <f t="shared" ca="1" si="0"/>
        <v>749186443</v>
      </c>
      <c r="J16" s="177"/>
    </row>
    <row r="17" spans="1:10" ht="19.5" customHeight="1">
      <c r="A17" s="171">
        <f ca="1">IF(ROWS($1:4)&gt;COUNT(Dong1),"",OFFSET(TH!C$1,SMALL(Dong1,ROWS($1:4)),))</f>
        <v>42462</v>
      </c>
      <c r="B17" s="171">
        <f ca="1">IF(ROWS($1:4)&gt;COUNT(Dong1),"",OFFSET(TH!E$1,SMALL(Dong1,ROWS($1:4)),))</f>
        <v>42361</v>
      </c>
      <c r="C17" s="172" t="str">
        <f ca="1">IF(ROWS($1:4)&gt;COUNT(Dong1),"",IF(OFFSET(TH!N$1,SMALL(Dong1,ROWS($1:4)),)="1111",OFFSET(TH!D$1,SMALL(Dong1,ROWS($1:4)),),""))</f>
        <v/>
      </c>
      <c r="D17" s="173" t="str">
        <f ca="1">IF(ROWS($1:4)&gt;COUNT(Dong1),"",IF(OFFSET(TH!O$1,SMALL(Dong1,ROWS($1:4)),)="1111",OFFSET(TH!D$1,SMALL(Dong1,ROWS($1:4)),),""))</f>
        <v>C02</v>
      </c>
      <c r="E17" s="443" t="str">
        <f ca="1">IF(ROWS($1:4)&gt;COUNT(Dong1),"",OFFSET(TH!F$1,SMALL(Dong1,ROWS($1:4)),))</f>
        <v>VAT Bồn 1000L</v>
      </c>
      <c r="F17" s="175" t="str">
        <f ca="1">IF(ROWS($1:4)&gt;COUNT(Dong1),"",IF(OFFSET(TH!O$1,SMALL(Dong1,ROWS($1:4)),)="1111",OFFSET(TH!N$1,SMALL(Dong1,ROWS($1:4)),),OFFSET(TH!O$1,SMALL(Dong1,ROWS($1:4)),)))</f>
        <v>1331</v>
      </c>
      <c r="G17" s="176">
        <f ca="1">IF(ROWS($1:4)&gt;COUNT(Dong1),"",IF(OFFSET(TH!N$1,SMALL(Dong1,ROWS($1:4)),)="1111",OFFSET(TH!M$1,SMALL(Dong1,ROWS($1:4)),),0))</f>
        <v>0</v>
      </c>
      <c r="H17" s="174">
        <f ca="1">IF(ROWS($1:4)&gt;COUNT(Dong1),"",IF(OFFSET(TH!O$1,SMALL(Dong1,ROWS($1:4)),)="1111",OFFSET(TH!M$1,SMALL(Dong1,ROWS($1:4)),),0))</f>
        <v>1673000</v>
      </c>
      <c r="I17" s="172">
        <f t="shared" ca="1" si="0"/>
        <v>747513443</v>
      </c>
      <c r="J17" s="177"/>
    </row>
    <row r="18" spans="1:10" ht="19.5" customHeight="1">
      <c r="A18" s="171">
        <f ca="1">IF(ROWS($1:5)&gt;COUNT(Dong1),"",OFFSET(TH!C$1,SMALL(Dong1,ROWS($1:5)),))</f>
        <v>42462</v>
      </c>
      <c r="B18" s="171">
        <f ca="1">IF(ROWS($1:5)&gt;COUNT(Dong1),"",OFFSET(TH!E$1,SMALL(Dong1,ROWS($1:5)),))</f>
        <v>42363</v>
      </c>
      <c r="C18" s="172" t="str">
        <f ca="1">IF(ROWS($1:5)&gt;COUNT(Dong1),"",IF(OFFSET(TH!N$1,SMALL(Dong1,ROWS($1:5)),)="1111",OFFSET(TH!D$1,SMALL(Dong1,ROWS($1:5)),),""))</f>
        <v/>
      </c>
      <c r="D18" s="173" t="str">
        <f ca="1">IF(ROWS($1:5)&gt;COUNT(Dong1),"",IF(OFFSET(TH!O$1,SMALL(Dong1,ROWS($1:5)),)="1111",OFFSET(TH!D$1,SMALL(Dong1,ROWS($1:5)),),""))</f>
        <v>C03</v>
      </c>
      <c r="E18" s="443" t="str">
        <f ca="1">IF(ROWS($1:5)&gt;COUNT(Dong1),"",OFFSET(TH!F$1,SMALL(Dong1,ROWS($1:5)),))</f>
        <v>Cầu C504 VTNT</v>
      </c>
      <c r="F18" s="175" t="str">
        <f ca="1">IF(ROWS($1:5)&gt;COUNT(Dong1),"",IF(OFFSET(TH!O$1,SMALL(Dong1,ROWS($1:5)),)="1111",OFFSET(TH!N$1,SMALL(Dong1,ROWS($1:5)),),OFFSET(TH!O$1,SMALL(Dong1,ROWS($1:5)),)))</f>
        <v>2412</v>
      </c>
      <c r="G18" s="176">
        <f ca="1">IF(ROWS($1:5)&gt;COUNT(Dong1),"",IF(OFFSET(TH!N$1,SMALL(Dong1,ROWS($1:5)),)="1111",OFFSET(TH!M$1,SMALL(Dong1,ROWS($1:5)),),0))</f>
        <v>0</v>
      </c>
      <c r="H18" s="174">
        <f ca="1">IF(ROWS($1:5)&gt;COUNT(Dong1),"",IF(OFFSET(TH!O$1,SMALL(Dong1,ROWS($1:5)),)="1111",OFFSET(TH!M$1,SMALL(Dong1,ROWS($1:5)),),0))</f>
        <v>18000000</v>
      </c>
      <c r="I18" s="172">
        <f t="shared" ca="1" si="0"/>
        <v>729513443</v>
      </c>
      <c r="J18" s="177"/>
    </row>
    <row r="19" spans="1:10" ht="19.5" customHeight="1">
      <c r="A19" s="171">
        <f ca="1">IF(ROWS($1:6)&gt;COUNT(Dong1),"",OFFSET(TH!C$1,SMALL(Dong1,ROWS($1:6)),))</f>
        <v>42462</v>
      </c>
      <c r="B19" s="171">
        <f ca="1">IF(ROWS($1:6)&gt;COUNT(Dong1),"",OFFSET(TH!E$1,SMALL(Dong1,ROWS($1:6)),))</f>
        <v>42363</v>
      </c>
      <c r="C19" s="172" t="str">
        <f ca="1">IF(ROWS($1:6)&gt;COUNT(Dong1),"",IF(OFFSET(TH!N$1,SMALL(Dong1,ROWS($1:6)),)="1111",OFFSET(TH!D$1,SMALL(Dong1,ROWS($1:6)),),""))</f>
        <v/>
      </c>
      <c r="D19" s="173" t="str">
        <f ca="1">IF(ROWS($1:6)&gt;COUNT(Dong1),"",IF(OFFSET(TH!O$1,SMALL(Dong1,ROWS($1:6)),)="1111",OFFSET(TH!D$1,SMALL(Dong1,ROWS($1:6)),),""))</f>
        <v>C03</v>
      </c>
      <c r="E19" s="443" t="str">
        <f ca="1">IF(ROWS($1:6)&gt;COUNT(Dong1),"",OFFSET(TH!F$1,SMALL(Dong1,ROWS($1:6)),))</f>
        <v>VAT Cầu C504 VTNT</v>
      </c>
      <c r="F19" s="175" t="str">
        <f ca="1">IF(ROWS($1:6)&gt;COUNT(Dong1),"",IF(OFFSET(TH!O$1,SMALL(Dong1,ROWS($1:6)),)="1111",OFFSET(TH!N$1,SMALL(Dong1,ROWS($1:6)),),OFFSET(TH!O$1,SMALL(Dong1,ROWS($1:6)),)))</f>
        <v>1331</v>
      </c>
      <c r="G19" s="176">
        <f ca="1">IF(ROWS($1:6)&gt;COUNT(Dong1),"",IF(OFFSET(TH!N$1,SMALL(Dong1,ROWS($1:6)),)="1111",OFFSET(TH!M$1,SMALL(Dong1,ROWS($1:6)),),0))</f>
        <v>0</v>
      </c>
      <c r="H19" s="174">
        <f ca="1">IF(ROWS($1:6)&gt;COUNT(Dong1),"",IF(OFFSET(TH!O$1,SMALL(Dong1,ROWS($1:6)),)="1111",OFFSET(TH!M$1,SMALL(Dong1,ROWS($1:6)),),0))</f>
        <v>1800000</v>
      </c>
      <c r="I19" s="172">
        <f t="shared" ca="1" si="0"/>
        <v>727713443</v>
      </c>
      <c r="J19" s="177"/>
    </row>
    <row r="20" spans="1:10" ht="19.5" customHeight="1">
      <c r="A20" s="171">
        <f ca="1">IF(ROWS($1:7)&gt;COUNT(Dong1),"",OFFSET(TH!C$1,SMALL(Dong1,ROWS($1:7)),))</f>
        <v>42462</v>
      </c>
      <c r="B20" s="171">
        <f ca="1">IF(ROWS($1:7)&gt;COUNT(Dong1),"",OFFSET(TH!E$1,SMALL(Dong1,ROWS($1:7)),))</f>
        <v>42377</v>
      </c>
      <c r="C20" s="172" t="str">
        <f ca="1">IF(ROWS($1:7)&gt;COUNT(Dong1),"",IF(OFFSET(TH!N$1,SMALL(Dong1,ROWS($1:7)),)="1111",OFFSET(TH!D$1,SMALL(Dong1,ROWS($1:7)),),""))</f>
        <v/>
      </c>
      <c r="D20" s="173" t="str">
        <f ca="1">IF(ROWS($1:7)&gt;COUNT(Dong1),"",IF(OFFSET(TH!O$1,SMALL(Dong1,ROWS($1:7)),)="1111",OFFSET(TH!D$1,SMALL(Dong1,ROWS($1:7)),),""))</f>
        <v>C04</v>
      </c>
      <c r="E20" s="443" t="str">
        <f ca="1">IF(ROWS($1:7)&gt;COUNT(Dong1),"",OFFSET(TH!F$1,SMALL(Dong1,ROWS($1:7)),))</f>
        <v>Sơn ngoại thất</v>
      </c>
      <c r="F20" s="175" t="str">
        <f ca="1">IF(ROWS($1:7)&gt;COUNT(Dong1),"",IF(OFFSET(TH!O$1,SMALL(Dong1,ROWS($1:7)),)="1111",OFFSET(TH!N$1,SMALL(Dong1,ROWS($1:7)),),OFFSET(TH!O$1,SMALL(Dong1,ROWS($1:7)),)))</f>
        <v>2412</v>
      </c>
      <c r="G20" s="176">
        <f ca="1">IF(ROWS($1:7)&gt;COUNT(Dong1),"",IF(OFFSET(TH!N$1,SMALL(Dong1,ROWS($1:7)),)="1111",OFFSET(TH!M$1,SMALL(Dong1,ROWS($1:7)),),0))</f>
        <v>0</v>
      </c>
      <c r="H20" s="174">
        <f ca="1">IF(ROWS($1:7)&gt;COUNT(Dong1),"",IF(OFFSET(TH!O$1,SMALL(Dong1,ROWS($1:7)),)="1111",OFFSET(TH!M$1,SMALL(Dong1,ROWS($1:7)),),0))</f>
        <v>17792215</v>
      </c>
      <c r="I20" s="172">
        <f t="shared" ca="1" si="0"/>
        <v>709921228</v>
      </c>
      <c r="J20" s="177"/>
    </row>
    <row r="21" spans="1:10" ht="19.5" customHeight="1">
      <c r="A21" s="171">
        <f ca="1">IF(ROWS($1:8)&gt;COUNT(Dong1),"",OFFSET(TH!C$1,SMALL(Dong1,ROWS($1:8)),))</f>
        <v>42462</v>
      </c>
      <c r="B21" s="171">
        <f ca="1">IF(ROWS($1:8)&gt;COUNT(Dong1),"",OFFSET(TH!E$1,SMALL(Dong1,ROWS($1:8)),))</f>
        <v>42377</v>
      </c>
      <c r="C21" s="172" t="str">
        <f ca="1">IF(ROWS($1:8)&gt;COUNT(Dong1),"",IF(OFFSET(TH!N$1,SMALL(Dong1,ROWS($1:8)),)="1111",OFFSET(TH!D$1,SMALL(Dong1,ROWS($1:8)),),""))</f>
        <v/>
      </c>
      <c r="D21" s="173" t="str">
        <f ca="1">IF(ROWS($1:8)&gt;COUNT(Dong1),"",IF(OFFSET(TH!O$1,SMALL(Dong1,ROWS($1:8)),)="1111",OFFSET(TH!D$1,SMALL(Dong1,ROWS($1:8)),),""))</f>
        <v>C04</v>
      </c>
      <c r="E21" s="443" t="str">
        <f ca="1">IF(ROWS($1:8)&gt;COUNT(Dong1),"",OFFSET(TH!F$1,SMALL(Dong1,ROWS($1:8)),))</f>
        <v>VAT Sơn ngoại thất</v>
      </c>
      <c r="F21" s="175" t="str">
        <f ca="1">IF(ROWS($1:8)&gt;COUNT(Dong1),"",IF(OFFSET(TH!O$1,SMALL(Dong1,ROWS($1:8)),)="1111",OFFSET(TH!N$1,SMALL(Dong1,ROWS($1:8)),),OFFSET(TH!O$1,SMALL(Dong1,ROWS($1:8)),)))</f>
        <v>1331</v>
      </c>
      <c r="G21" s="176">
        <f ca="1">IF(ROWS($1:8)&gt;COUNT(Dong1),"",IF(OFFSET(TH!N$1,SMALL(Dong1,ROWS($1:8)),)="1111",OFFSET(TH!M$1,SMALL(Dong1,ROWS($1:8)),),0))</f>
        <v>0</v>
      </c>
      <c r="H21" s="174">
        <f ca="1">IF(ROWS($1:8)&gt;COUNT(Dong1),"",IF(OFFSET(TH!O$1,SMALL(Dong1,ROWS($1:8)),)="1111",OFFSET(TH!M$1,SMALL(Dong1,ROWS($1:8)),),0))</f>
        <v>1779222</v>
      </c>
      <c r="I21" s="172">
        <f t="shared" ca="1" si="0"/>
        <v>708142006</v>
      </c>
      <c r="J21" s="177"/>
    </row>
    <row r="22" spans="1:10" ht="19.5" customHeight="1">
      <c r="A22" s="171">
        <f ca="1">IF(ROWS($1:9)&gt;COUNT(Dong1),"",OFFSET(TH!C$1,SMALL(Dong1,ROWS($1:9)),))</f>
        <v>42462</v>
      </c>
      <c r="B22" s="171">
        <f ca="1">IF(ROWS($1:9)&gt;COUNT(Dong1),"",OFFSET(TH!E$1,SMALL(Dong1,ROWS($1:9)),))</f>
        <v>42378</v>
      </c>
      <c r="C22" s="172" t="str">
        <f ca="1">IF(ROWS($1:9)&gt;COUNT(Dong1),"",IF(OFFSET(TH!N$1,SMALL(Dong1,ROWS($1:9)),)="1111",OFFSET(TH!D$1,SMALL(Dong1,ROWS($1:9)),),""))</f>
        <v/>
      </c>
      <c r="D22" s="173" t="str">
        <f ca="1">IF(ROWS($1:9)&gt;COUNT(Dong1),"",IF(OFFSET(TH!O$1,SMALL(Dong1,ROWS($1:9)),)="1111",OFFSET(TH!D$1,SMALL(Dong1,ROWS($1:9)),),""))</f>
        <v>C05</v>
      </c>
      <c r="E22" s="443" t="str">
        <f ca="1">IF(ROWS($1:9)&gt;COUNT(Dong1),"",OFFSET(TH!F$1,SMALL(Dong1,ROWS($1:9)),))</f>
        <v>Sơn nội thất</v>
      </c>
      <c r="F22" s="175" t="str">
        <f ca="1">IF(ROWS($1:9)&gt;COUNT(Dong1),"",IF(OFFSET(TH!O$1,SMALL(Dong1,ROWS($1:9)),)="1111",OFFSET(TH!N$1,SMALL(Dong1,ROWS($1:9)),),OFFSET(TH!O$1,SMALL(Dong1,ROWS($1:9)),)))</f>
        <v>2412</v>
      </c>
      <c r="G22" s="176">
        <f ca="1">IF(ROWS($1:9)&gt;COUNT(Dong1),"",IF(OFFSET(TH!N$1,SMALL(Dong1,ROWS($1:9)),)="1111",OFFSET(TH!M$1,SMALL(Dong1,ROWS($1:9)),),0))</f>
        <v>0</v>
      </c>
      <c r="H22" s="174">
        <f ca="1">IF(ROWS($1:9)&gt;COUNT(Dong1),"",IF(OFFSET(TH!O$1,SMALL(Dong1,ROWS($1:9)),)="1111",OFFSET(TH!M$1,SMALL(Dong1,ROWS($1:9)),),0))</f>
        <v>17347890</v>
      </c>
      <c r="I22" s="172">
        <f t="shared" ca="1" si="0"/>
        <v>690794116</v>
      </c>
      <c r="J22" s="177"/>
    </row>
    <row r="23" spans="1:10" ht="19.5" customHeight="1">
      <c r="A23" s="171">
        <f ca="1">IF(ROWS($1:10)&gt;COUNT(Dong1),"",OFFSET(TH!C$1,SMALL(Dong1,ROWS($1:10)),))</f>
        <v>42462</v>
      </c>
      <c r="B23" s="171">
        <f ca="1">IF(ROWS($1:10)&gt;COUNT(Dong1),"",OFFSET(TH!E$1,SMALL(Dong1,ROWS($1:10)),))</f>
        <v>42378</v>
      </c>
      <c r="C23" s="172" t="str">
        <f ca="1">IF(ROWS($1:10)&gt;COUNT(Dong1),"",IF(OFFSET(TH!N$1,SMALL(Dong1,ROWS($1:10)),)="1111",OFFSET(TH!D$1,SMALL(Dong1,ROWS($1:10)),),""))</f>
        <v/>
      </c>
      <c r="D23" s="173" t="str">
        <f ca="1">IF(ROWS($1:10)&gt;COUNT(Dong1),"",IF(OFFSET(TH!O$1,SMALL(Dong1,ROWS($1:10)),)="1111",OFFSET(TH!D$1,SMALL(Dong1,ROWS($1:10)),),""))</f>
        <v>C05</v>
      </c>
      <c r="E23" s="443" t="str">
        <f ca="1">IF(ROWS($1:10)&gt;COUNT(Dong1),"",OFFSET(TH!F$1,SMALL(Dong1,ROWS($1:10)),))</f>
        <v>VAT Sơn nội thất</v>
      </c>
      <c r="F23" s="175" t="str">
        <f ca="1">IF(ROWS($1:10)&gt;COUNT(Dong1),"",IF(OFFSET(TH!O$1,SMALL(Dong1,ROWS($1:10)),)="1111",OFFSET(TH!N$1,SMALL(Dong1,ROWS($1:10)),),OFFSET(TH!O$1,SMALL(Dong1,ROWS($1:10)),)))</f>
        <v>1331</v>
      </c>
      <c r="G23" s="176">
        <f ca="1">IF(ROWS($1:10)&gt;COUNT(Dong1),"",IF(OFFSET(TH!N$1,SMALL(Dong1,ROWS($1:10)),)="1111",OFFSET(TH!M$1,SMALL(Dong1,ROWS($1:10)),),0))</f>
        <v>0</v>
      </c>
      <c r="H23" s="174">
        <f ca="1">IF(ROWS($1:10)&gt;COUNT(Dong1),"",IF(OFFSET(TH!O$1,SMALL(Dong1,ROWS($1:10)),)="1111",OFFSET(TH!M$1,SMALL(Dong1,ROWS($1:10)),),0))</f>
        <v>1734789</v>
      </c>
      <c r="I23" s="172">
        <f t="shared" ca="1" si="0"/>
        <v>689059327</v>
      </c>
      <c r="J23" s="177"/>
    </row>
    <row r="24" spans="1:10" ht="19.5" customHeight="1">
      <c r="A24" s="171">
        <f ca="1">IF(ROWS($1:11)&gt;COUNT(Dong1),"",OFFSET(TH!C$1,SMALL(Dong1,ROWS($1:11)),))</f>
        <v>42462</v>
      </c>
      <c r="B24" s="171">
        <f ca="1">IF(ROWS($1:11)&gt;COUNT(Dong1),"",OFFSET(TH!E$1,SMALL(Dong1,ROWS($1:11)),))</f>
        <v>42379</v>
      </c>
      <c r="C24" s="172" t="str">
        <f ca="1">IF(ROWS($1:11)&gt;COUNT(Dong1),"",IF(OFFSET(TH!N$1,SMALL(Dong1,ROWS($1:11)),)="1111",OFFSET(TH!D$1,SMALL(Dong1,ROWS($1:11)),),""))</f>
        <v/>
      </c>
      <c r="D24" s="173" t="str">
        <f ca="1">IF(ROWS($1:11)&gt;COUNT(Dong1),"",IF(OFFSET(TH!O$1,SMALL(Dong1,ROWS($1:11)),)="1111",OFFSET(TH!D$1,SMALL(Dong1,ROWS($1:11)),),""))</f>
        <v>C06</v>
      </c>
      <c r="E24" s="443" t="str">
        <f ca="1">IF(ROWS($1:11)&gt;COUNT(Dong1),"",OFFSET(TH!F$1,SMALL(Dong1,ROWS($1:11)),))</f>
        <v>Sơn ngoại thất</v>
      </c>
      <c r="F24" s="175" t="str">
        <f ca="1">IF(ROWS($1:11)&gt;COUNT(Dong1),"",IF(OFFSET(TH!O$1,SMALL(Dong1,ROWS($1:11)),)="1111",OFFSET(TH!N$1,SMALL(Dong1,ROWS($1:11)),),OFFSET(TH!O$1,SMALL(Dong1,ROWS($1:11)),)))</f>
        <v>2412</v>
      </c>
      <c r="G24" s="176">
        <f ca="1">IF(ROWS($1:11)&gt;COUNT(Dong1),"",IF(OFFSET(TH!N$1,SMALL(Dong1,ROWS($1:11)),)="1111",OFFSET(TH!M$1,SMALL(Dong1,ROWS($1:11)),),0))</f>
        <v>0</v>
      </c>
      <c r="H24" s="174">
        <f ca="1">IF(ROWS($1:11)&gt;COUNT(Dong1),"",IF(OFFSET(TH!O$1,SMALL(Dong1,ROWS($1:11)),)="1111",OFFSET(TH!M$1,SMALL(Dong1,ROWS($1:11)),),0))</f>
        <v>17840000</v>
      </c>
      <c r="I24" s="172">
        <f t="shared" ca="1" si="0"/>
        <v>671219327</v>
      </c>
      <c r="J24" s="177"/>
    </row>
    <row r="25" spans="1:10" ht="19.5" customHeight="1">
      <c r="A25" s="171">
        <f ca="1">IF(ROWS($1:12)&gt;COUNT(Dong1),"",OFFSET(TH!C$1,SMALL(Dong1,ROWS($1:12)),))</f>
        <v>42462</v>
      </c>
      <c r="B25" s="171">
        <f ca="1">IF(ROWS($1:12)&gt;COUNT(Dong1),"",OFFSET(TH!E$1,SMALL(Dong1,ROWS($1:12)),))</f>
        <v>42379</v>
      </c>
      <c r="C25" s="172" t="str">
        <f ca="1">IF(ROWS($1:12)&gt;COUNT(Dong1),"",IF(OFFSET(TH!N$1,SMALL(Dong1,ROWS($1:12)),)="1111",OFFSET(TH!D$1,SMALL(Dong1,ROWS($1:12)),),""))</f>
        <v/>
      </c>
      <c r="D25" s="173" t="str">
        <f ca="1">IF(ROWS($1:12)&gt;COUNT(Dong1),"",IF(OFFSET(TH!O$1,SMALL(Dong1,ROWS($1:12)),)="1111",OFFSET(TH!D$1,SMALL(Dong1,ROWS($1:12)),),""))</f>
        <v>C06</v>
      </c>
      <c r="E25" s="443" t="str">
        <f ca="1">IF(ROWS($1:12)&gt;COUNT(Dong1),"",OFFSET(TH!F$1,SMALL(Dong1,ROWS($1:12)),))</f>
        <v>VAT Sơn ngoại thất</v>
      </c>
      <c r="F25" s="175" t="str">
        <f ca="1">IF(ROWS($1:12)&gt;COUNT(Dong1),"",IF(OFFSET(TH!O$1,SMALL(Dong1,ROWS($1:12)),)="1111",OFFSET(TH!N$1,SMALL(Dong1,ROWS($1:12)),),OFFSET(TH!O$1,SMALL(Dong1,ROWS($1:12)),)))</f>
        <v>1331</v>
      </c>
      <c r="G25" s="176">
        <f ca="1">IF(ROWS($1:12)&gt;COUNT(Dong1),"",IF(OFFSET(TH!N$1,SMALL(Dong1,ROWS($1:12)),)="1111",OFFSET(TH!M$1,SMALL(Dong1,ROWS($1:12)),),0))</f>
        <v>0</v>
      </c>
      <c r="H25" s="174">
        <f ca="1">IF(ROWS($1:12)&gt;COUNT(Dong1),"",IF(OFFSET(TH!O$1,SMALL(Dong1,ROWS($1:12)),)="1111",OFFSET(TH!M$1,SMALL(Dong1,ROWS($1:12)),),0))</f>
        <v>1784000</v>
      </c>
      <c r="I25" s="172">
        <f t="shared" ca="1" si="0"/>
        <v>669435327</v>
      </c>
      <c r="J25" s="177"/>
    </row>
    <row r="26" spans="1:10" ht="19.5" customHeight="1">
      <c r="A26" s="171">
        <f ca="1">IF(ROWS($1:13)&gt;COUNT(Dong1),"",OFFSET(TH!C$1,SMALL(Dong1,ROWS($1:13)),))</f>
        <v>42462</v>
      </c>
      <c r="B26" s="171">
        <f ca="1">IF(ROWS($1:13)&gt;COUNT(Dong1),"",OFFSET(TH!E$1,SMALL(Dong1,ROWS($1:13)),))</f>
        <v>42388</v>
      </c>
      <c r="C26" s="172" t="str">
        <f ca="1">IF(ROWS($1:13)&gt;COUNT(Dong1),"",IF(OFFSET(TH!N$1,SMALL(Dong1,ROWS($1:13)),)="1111",OFFSET(TH!D$1,SMALL(Dong1,ROWS($1:13)),),""))</f>
        <v/>
      </c>
      <c r="D26" s="173" t="str">
        <f ca="1">IF(ROWS($1:13)&gt;COUNT(Dong1),"",IF(OFFSET(TH!O$1,SMALL(Dong1,ROWS($1:13)),)="1111",OFFSET(TH!D$1,SMALL(Dong1,ROWS($1:13)),),""))</f>
        <v>C07</v>
      </c>
      <c r="E26" s="443" t="str">
        <f ca="1">IF(ROWS($1:13)&gt;COUNT(Dong1),"",OFFSET(TH!F$1,SMALL(Dong1,ROWS($1:13)),))</f>
        <v>Vật dụng phòng khách</v>
      </c>
      <c r="F26" s="175" t="str">
        <f ca="1">IF(ROWS($1:13)&gt;COUNT(Dong1),"",IF(OFFSET(TH!O$1,SMALL(Dong1,ROWS($1:13)),)="1111",OFFSET(TH!N$1,SMALL(Dong1,ROWS($1:13)),),OFFSET(TH!O$1,SMALL(Dong1,ROWS($1:13)),)))</f>
        <v>2412</v>
      </c>
      <c r="G26" s="176">
        <f ca="1">IF(ROWS($1:13)&gt;COUNT(Dong1),"",IF(OFFSET(TH!N$1,SMALL(Dong1,ROWS($1:13)),)="1111",OFFSET(TH!M$1,SMALL(Dong1,ROWS($1:13)),),0))</f>
        <v>0</v>
      </c>
      <c r="H26" s="174">
        <f ca="1">IF(ROWS($1:13)&gt;COUNT(Dong1),"",IF(OFFSET(TH!O$1,SMALL(Dong1,ROWS($1:13)),)="1111",OFFSET(TH!M$1,SMALL(Dong1,ROWS($1:13)),),0))</f>
        <v>16263636</v>
      </c>
      <c r="I26" s="172">
        <f t="shared" ca="1" si="0"/>
        <v>653171691</v>
      </c>
      <c r="J26" s="177"/>
    </row>
    <row r="27" spans="1:10" ht="19.5" customHeight="1">
      <c r="A27" s="171">
        <f ca="1">IF(ROWS($1:14)&gt;COUNT(Dong1),"",OFFSET(TH!C$1,SMALL(Dong1,ROWS($1:14)),))</f>
        <v>42462</v>
      </c>
      <c r="B27" s="171">
        <f ca="1">IF(ROWS($1:14)&gt;COUNT(Dong1),"",OFFSET(TH!E$1,SMALL(Dong1,ROWS($1:14)),))</f>
        <v>42388</v>
      </c>
      <c r="C27" s="172" t="str">
        <f ca="1">IF(ROWS($1:14)&gt;COUNT(Dong1),"",IF(OFFSET(TH!N$1,SMALL(Dong1,ROWS($1:14)),)="1111",OFFSET(TH!D$1,SMALL(Dong1,ROWS($1:14)),),""))</f>
        <v/>
      </c>
      <c r="D27" s="173" t="str">
        <f ca="1">IF(ROWS($1:14)&gt;COUNT(Dong1),"",IF(OFFSET(TH!O$1,SMALL(Dong1,ROWS($1:14)),)="1111",OFFSET(TH!D$1,SMALL(Dong1,ROWS($1:14)),),""))</f>
        <v>C07</v>
      </c>
      <c r="E27" s="443" t="str">
        <f ca="1">IF(ROWS($1:14)&gt;COUNT(Dong1),"",OFFSET(TH!F$1,SMALL(Dong1,ROWS($1:14)),))</f>
        <v>VAT Vật dụng phòng khách</v>
      </c>
      <c r="F27" s="175" t="str">
        <f ca="1">IF(ROWS($1:14)&gt;COUNT(Dong1),"",IF(OFFSET(TH!O$1,SMALL(Dong1,ROWS($1:14)),)="1111",OFFSET(TH!N$1,SMALL(Dong1,ROWS($1:14)),),OFFSET(TH!O$1,SMALL(Dong1,ROWS($1:14)),)))</f>
        <v>1331</v>
      </c>
      <c r="G27" s="176">
        <f ca="1">IF(ROWS($1:14)&gt;COUNT(Dong1),"",IF(OFFSET(TH!N$1,SMALL(Dong1,ROWS($1:14)),)="1111",OFFSET(TH!M$1,SMALL(Dong1,ROWS($1:14)),),0))</f>
        <v>0</v>
      </c>
      <c r="H27" s="174">
        <f ca="1">IF(ROWS($1:14)&gt;COUNT(Dong1),"",IF(OFFSET(TH!O$1,SMALL(Dong1,ROWS($1:14)),)="1111",OFFSET(TH!M$1,SMALL(Dong1,ROWS($1:14)),),0))</f>
        <v>1626364</v>
      </c>
      <c r="I27" s="172">
        <f t="shared" ca="1" si="0"/>
        <v>651545327</v>
      </c>
      <c r="J27" s="177"/>
    </row>
    <row r="28" spans="1:10" ht="19.5" customHeight="1">
      <c r="A28" s="171">
        <f ca="1">IF(ROWS($1:15)&gt;COUNT(Dong1),"",OFFSET(TH!C$1,SMALL(Dong1,ROWS($1:15)),))</f>
        <v>42462</v>
      </c>
      <c r="B28" s="171">
        <f ca="1">IF(ROWS($1:15)&gt;COUNT(Dong1),"",OFFSET(TH!E$1,SMALL(Dong1,ROWS($1:15)),))</f>
        <v>42462</v>
      </c>
      <c r="C28" s="172" t="str">
        <f ca="1">IF(ROWS($1:15)&gt;COUNT(Dong1),"",IF(OFFSET(TH!N$1,SMALL(Dong1,ROWS($1:15)),)="1111",OFFSET(TH!D$1,SMALL(Dong1,ROWS($1:15)),),""))</f>
        <v/>
      </c>
      <c r="D28" s="173" t="str">
        <f ca="1">IF(ROWS($1:15)&gt;COUNT(Dong1),"",IF(OFFSET(TH!O$1,SMALL(Dong1,ROWS($1:15)),)="1111",OFFSET(TH!D$1,SMALL(Dong1,ROWS($1:15)),),""))</f>
        <v>C08</v>
      </c>
      <c r="E28" s="443" t="str">
        <f ca="1">IF(ROWS($1:15)&gt;COUNT(Dong1),"",OFFSET(TH!F$1,SMALL(Dong1,ROWS($1:15)),))</f>
        <v>Vật liệu điện</v>
      </c>
      <c r="F28" s="175" t="str">
        <f ca="1">IF(ROWS($1:15)&gt;COUNT(Dong1),"",IF(OFFSET(TH!O$1,SMALL(Dong1,ROWS($1:15)),)="1111",OFFSET(TH!N$1,SMALL(Dong1,ROWS($1:15)),),OFFSET(TH!O$1,SMALL(Dong1,ROWS($1:15)),)))</f>
        <v>2412</v>
      </c>
      <c r="G28" s="176">
        <f ca="1">IF(ROWS($1:15)&gt;COUNT(Dong1),"",IF(OFFSET(TH!N$1,SMALL(Dong1,ROWS($1:15)),)="1111",OFFSET(TH!M$1,SMALL(Dong1,ROWS($1:15)),),0))</f>
        <v>0</v>
      </c>
      <c r="H28" s="174">
        <f ca="1">IF(ROWS($1:15)&gt;COUNT(Dong1),"",IF(OFFSET(TH!O$1,SMALL(Dong1,ROWS($1:15)),)="1111",OFFSET(TH!M$1,SMALL(Dong1,ROWS($1:15)),),0))</f>
        <v>1935000</v>
      </c>
      <c r="I28" s="172">
        <f t="shared" ca="1" si="0"/>
        <v>649610327</v>
      </c>
      <c r="J28" s="177"/>
    </row>
    <row r="29" spans="1:10" ht="19.5" customHeight="1">
      <c r="A29" s="171">
        <f ca="1">IF(ROWS($1:16)&gt;COUNT(Dong1),"",OFFSET(TH!C$1,SMALL(Dong1,ROWS($1:16)),))</f>
        <v>42462</v>
      </c>
      <c r="B29" s="171">
        <f ca="1">IF(ROWS($1:16)&gt;COUNT(Dong1),"",OFFSET(TH!E$1,SMALL(Dong1,ROWS($1:16)),))</f>
        <v>42462</v>
      </c>
      <c r="C29" s="172" t="str">
        <f ca="1">IF(ROWS($1:16)&gt;COUNT(Dong1),"",IF(OFFSET(TH!N$1,SMALL(Dong1,ROWS($1:16)),)="1111",OFFSET(TH!D$1,SMALL(Dong1,ROWS($1:16)),),""))</f>
        <v/>
      </c>
      <c r="D29" s="173" t="str">
        <f ca="1">IF(ROWS($1:16)&gt;COUNT(Dong1),"",IF(OFFSET(TH!O$1,SMALL(Dong1,ROWS($1:16)),)="1111",OFFSET(TH!D$1,SMALL(Dong1,ROWS($1:16)),),""))</f>
        <v>C09</v>
      </c>
      <c r="E29" s="443" t="str">
        <f ca="1">IF(ROWS($1:16)&gt;COUNT(Dong1),"",OFFSET(TH!F$1,SMALL(Dong1,ROWS($1:16)),))</f>
        <v>Phí giao thông - Quý I / 2016</v>
      </c>
      <c r="F29" s="175" t="str">
        <f ca="1">IF(ROWS($1:16)&gt;COUNT(Dong1),"",IF(OFFSET(TH!O$1,SMALL(Dong1,ROWS($1:16)),)="1111",OFFSET(TH!N$1,SMALL(Dong1,ROWS($1:16)),),OFFSET(TH!O$1,SMALL(Dong1,ROWS($1:16)),)))</f>
        <v>642</v>
      </c>
      <c r="G29" s="176">
        <f ca="1">IF(ROWS($1:16)&gt;COUNT(Dong1),"",IF(OFFSET(TH!N$1,SMALL(Dong1,ROWS($1:16)),)="1111",OFFSET(TH!M$1,SMALL(Dong1,ROWS($1:16)),),0))</f>
        <v>0</v>
      </c>
      <c r="H29" s="174">
        <f ca="1">IF(ROWS($1:16)&gt;COUNT(Dong1),"",IF(OFFSET(TH!O$1,SMALL(Dong1,ROWS($1:16)),)="1111",OFFSET(TH!M$1,SMALL(Dong1,ROWS($1:16)),),0))</f>
        <v>2200000</v>
      </c>
      <c r="I29" s="172">
        <f t="shared" ca="1" si="0"/>
        <v>647410327</v>
      </c>
      <c r="J29" s="177"/>
    </row>
    <row r="30" spans="1:10" ht="19.5" customHeight="1">
      <c r="A30" s="171">
        <f ca="1">IF(ROWS($1:17)&gt;COUNT(Dong1),"",OFFSET(TH!C$1,SMALL(Dong1,ROWS($1:17)),))</f>
        <v>42462</v>
      </c>
      <c r="B30" s="171">
        <f ca="1">IF(ROWS($1:17)&gt;COUNT(Dong1),"",OFFSET(TH!E$1,SMALL(Dong1,ROWS($1:17)),))</f>
        <v>42462</v>
      </c>
      <c r="C30" s="172" t="str">
        <f ca="1">IF(ROWS($1:17)&gt;COUNT(Dong1),"",IF(OFFSET(TH!N$1,SMALL(Dong1,ROWS($1:17)),)="1111",OFFSET(TH!D$1,SMALL(Dong1,ROWS($1:17)),),""))</f>
        <v/>
      </c>
      <c r="D30" s="173" t="str">
        <f ca="1">IF(ROWS($1:17)&gt;COUNT(Dong1),"",IF(OFFSET(TH!O$1,SMALL(Dong1,ROWS($1:17)),)="1111",OFFSET(TH!D$1,SMALL(Dong1,ROWS($1:17)),),""))</f>
        <v>C09</v>
      </c>
      <c r="E30" s="443" t="str">
        <f ca="1">IF(ROWS($1:17)&gt;COUNT(Dong1),"",OFFSET(TH!F$1,SMALL(Dong1,ROWS($1:17)),))</f>
        <v>VAT Phí giao thông - Quý I / 2016</v>
      </c>
      <c r="F30" s="175" t="str">
        <f ca="1">IF(ROWS($1:17)&gt;COUNT(Dong1),"",IF(OFFSET(TH!O$1,SMALL(Dong1,ROWS($1:17)),)="1111",OFFSET(TH!N$1,SMALL(Dong1,ROWS($1:17)),),OFFSET(TH!O$1,SMALL(Dong1,ROWS($1:17)),)))</f>
        <v>1331</v>
      </c>
      <c r="G30" s="176">
        <f ca="1">IF(ROWS($1:17)&gt;COUNT(Dong1),"",IF(OFFSET(TH!N$1,SMALL(Dong1,ROWS($1:17)),)="1111",OFFSET(TH!M$1,SMALL(Dong1,ROWS($1:17)),),0))</f>
        <v>0</v>
      </c>
      <c r="H30" s="174">
        <f ca="1">IF(ROWS($1:17)&gt;COUNT(Dong1),"",IF(OFFSET(TH!O$1,SMALL(Dong1,ROWS($1:17)),)="1111",OFFSET(TH!M$1,SMALL(Dong1,ROWS($1:17)),),0))</f>
        <v>220000</v>
      </c>
      <c r="I30" s="172">
        <f t="shared" ca="1" si="0"/>
        <v>647190327</v>
      </c>
      <c r="J30" s="177"/>
    </row>
    <row r="31" spans="1:10" ht="19.5" customHeight="1">
      <c r="A31" s="171">
        <f ca="1">IF(ROWS($1:18)&gt;COUNT(Dong1),"",OFFSET(TH!C$1,SMALL(Dong1,ROWS($1:18)),))</f>
        <v>42467</v>
      </c>
      <c r="B31" s="171">
        <f ca="1">IF(ROWS($1:18)&gt;COUNT(Dong1),"",OFFSET(TH!E$1,SMALL(Dong1,ROWS($1:18)),))</f>
        <v>42467</v>
      </c>
      <c r="C31" s="172" t="str">
        <f ca="1">IF(ROWS($1:18)&gt;COUNT(Dong1),"",IF(OFFSET(TH!N$1,SMALL(Dong1,ROWS($1:18)),)="1111",OFFSET(TH!D$1,SMALL(Dong1,ROWS($1:18)),),""))</f>
        <v/>
      </c>
      <c r="D31" s="173" t="str">
        <f ca="1">IF(ROWS($1:18)&gt;COUNT(Dong1),"",IF(OFFSET(TH!O$1,SMALL(Dong1,ROWS($1:18)),)="1111",OFFSET(TH!D$1,SMALL(Dong1,ROWS($1:18)),),""))</f>
        <v>C10</v>
      </c>
      <c r="E31" s="443" t="str">
        <f ca="1">IF(ROWS($1:18)&gt;COUNT(Dong1),"",OFFSET(TH!F$1,SMALL(Dong1,ROWS($1:18)),))</f>
        <v>Vật liệu điện</v>
      </c>
      <c r="F31" s="175" t="str">
        <f ca="1">IF(ROWS($1:18)&gt;COUNT(Dong1),"",IF(OFFSET(TH!O$1,SMALL(Dong1,ROWS($1:18)),)="1111",OFFSET(TH!N$1,SMALL(Dong1,ROWS($1:18)),),OFFSET(TH!O$1,SMALL(Dong1,ROWS($1:18)),)))</f>
        <v>2412</v>
      </c>
      <c r="G31" s="176">
        <f ca="1">IF(ROWS($1:18)&gt;COUNT(Dong1),"",IF(OFFSET(TH!N$1,SMALL(Dong1,ROWS($1:18)),)="1111",OFFSET(TH!M$1,SMALL(Dong1,ROWS($1:18)),),0))</f>
        <v>0</v>
      </c>
      <c r="H31" s="174">
        <f ca="1">IF(ROWS($1:18)&gt;COUNT(Dong1),"",IF(OFFSET(TH!O$1,SMALL(Dong1,ROWS($1:18)),)="1111",OFFSET(TH!M$1,SMALL(Dong1,ROWS($1:18)),),0))</f>
        <v>1287000</v>
      </c>
      <c r="I31" s="172">
        <f t="shared" ca="1" si="0"/>
        <v>645903327</v>
      </c>
      <c r="J31" s="177"/>
    </row>
    <row r="32" spans="1:10" ht="19.5" customHeight="1">
      <c r="A32" s="171">
        <f ca="1">IF(ROWS($1:19)&gt;COUNT(Dong1),"",OFFSET(TH!C$1,SMALL(Dong1,ROWS($1:19)),))</f>
        <v>42470</v>
      </c>
      <c r="B32" s="171">
        <f ca="1">IF(ROWS($1:19)&gt;COUNT(Dong1),"",OFFSET(TH!E$1,SMALL(Dong1,ROWS($1:19)),))</f>
        <v>42470</v>
      </c>
      <c r="C32" s="172" t="str">
        <f ca="1">IF(ROWS($1:19)&gt;COUNT(Dong1),"",IF(OFFSET(TH!N$1,SMALL(Dong1,ROWS($1:19)),)="1111",OFFSET(TH!D$1,SMALL(Dong1,ROWS($1:19)),),""))</f>
        <v/>
      </c>
      <c r="D32" s="173" t="str">
        <f ca="1">IF(ROWS($1:19)&gt;COUNT(Dong1),"",IF(OFFSET(TH!O$1,SMALL(Dong1,ROWS($1:19)),)="1111",OFFSET(TH!D$1,SMALL(Dong1,ROWS($1:19)),),""))</f>
        <v>C11</v>
      </c>
      <c r="E32" s="443" t="str">
        <f ca="1">IF(ROWS($1:19)&gt;COUNT(Dong1),"",OFFSET(TH!F$1,SMALL(Dong1,ROWS($1:19)),))</f>
        <v>Phí dịch vụ bảo vệ T3/2016</v>
      </c>
      <c r="F32" s="175" t="str">
        <f ca="1">IF(ROWS($1:19)&gt;COUNT(Dong1),"",IF(OFFSET(TH!O$1,SMALL(Dong1,ROWS($1:19)),)="1111",OFFSET(TH!N$1,SMALL(Dong1,ROWS($1:19)),),OFFSET(TH!O$1,SMALL(Dong1,ROWS($1:19)),)))</f>
        <v>642</v>
      </c>
      <c r="G32" s="176">
        <f ca="1">IF(ROWS($1:19)&gt;COUNT(Dong1),"",IF(OFFSET(TH!N$1,SMALL(Dong1,ROWS($1:19)),)="1111",OFFSET(TH!M$1,SMALL(Dong1,ROWS($1:19)),),0))</f>
        <v>0</v>
      </c>
      <c r="H32" s="174">
        <f ca="1">IF(ROWS($1:19)&gt;COUNT(Dong1),"",IF(OFFSET(TH!O$1,SMALL(Dong1,ROWS($1:19)),)="1111",OFFSET(TH!M$1,SMALL(Dong1,ROWS($1:19)),),0))</f>
        <v>6818182</v>
      </c>
      <c r="I32" s="172">
        <f t="shared" ca="1" si="0"/>
        <v>639085145</v>
      </c>
      <c r="J32" s="177"/>
    </row>
    <row r="33" spans="1:10" ht="19.5" customHeight="1">
      <c r="A33" s="171">
        <f ca="1">IF(ROWS($1:20)&gt;COUNT(Dong1),"",OFFSET(TH!C$1,SMALL(Dong1,ROWS($1:20)),))</f>
        <v>42470</v>
      </c>
      <c r="B33" s="171">
        <f ca="1">IF(ROWS($1:20)&gt;COUNT(Dong1),"",OFFSET(TH!E$1,SMALL(Dong1,ROWS($1:20)),))</f>
        <v>42470</v>
      </c>
      <c r="C33" s="172" t="str">
        <f ca="1">IF(ROWS($1:20)&gt;COUNT(Dong1),"",IF(OFFSET(TH!N$1,SMALL(Dong1,ROWS($1:20)),)="1111",OFFSET(TH!D$1,SMALL(Dong1,ROWS($1:20)),),""))</f>
        <v/>
      </c>
      <c r="D33" s="173" t="str">
        <f ca="1">IF(ROWS($1:20)&gt;COUNT(Dong1),"",IF(OFFSET(TH!O$1,SMALL(Dong1,ROWS($1:20)),)="1111",OFFSET(TH!D$1,SMALL(Dong1,ROWS($1:20)),),""))</f>
        <v>C11</v>
      </c>
      <c r="E33" s="443" t="str">
        <f ca="1">IF(ROWS($1:20)&gt;COUNT(Dong1),"",OFFSET(TH!F$1,SMALL(Dong1,ROWS($1:20)),))</f>
        <v>VAT Phí dịch vụ bảo vệ T3/2016</v>
      </c>
      <c r="F33" s="175" t="str">
        <f ca="1">IF(ROWS($1:20)&gt;COUNT(Dong1),"",IF(OFFSET(TH!O$1,SMALL(Dong1,ROWS($1:20)),)="1111",OFFSET(TH!N$1,SMALL(Dong1,ROWS($1:20)),),OFFSET(TH!O$1,SMALL(Dong1,ROWS($1:20)),)))</f>
        <v>1331</v>
      </c>
      <c r="G33" s="176">
        <f ca="1">IF(ROWS($1:20)&gt;COUNT(Dong1),"",IF(OFFSET(TH!N$1,SMALL(Dong1,ROWS($1:20)),)="1111",OFFSET(TH!M$1,SMALL(Dong1,ROWS($1:20)),),0))</f>
        <v>0</v>
      </c>
      <c r="H33" s="174">
        <f ca="1">IF(ROWS($1:20)&gt;COUNT(Dong1),"",IF(OFFSET(TH!O$1,SMALL(Dong1,ROWS($1:20)),)="1111",OFFSET(TH!M$1,SMALL(Dong1,ROWS($1:20)),),0))</f>
        <v>681818</v>
      </c>
      <c r="I33" s="172">
        <f t="shared" ca="1" si="0"/>
        <v>638403327</v>
      </c>
      <c r="J33" s="177"/>
    </row>
    <row r="34" spans="1:10" ht="19.5" customHeight="1">
      <c r="A34" s="171">
        <f ca="1">IF(ROWS($1:21)&gt;COUNT(Dong1),"",OFFSET(TH!C$1,SMALL(Dong1,ROWS($1:21)),))</f>
        <v>42471</v>
      </c>
      <c r="B34" s="171">
        <f ca="1">IF(ROWS($1:21)&gt;COUNT(Dong1),"",OFFSET(TH!E$1,SMALL(Dong1,ROWS($1:21)),))</f>
        <v>42471</v>
      </c>
      <c r="C34" s="172" t="str">
        <f ca="1">IF(ROWS($1:21)&gt;COUNT(Dong1),"",IF(OFFSET(TH!N$1,SMALL(Dong1,ROWS($1:21)),)="1111",OFFSET(TH!D$1,SMALL(Dong1,ROWS($1:21)),),""))</f>
        <v/>
      </c>
      <c r="D34" s="173" t="str">
        <f ca="1">IF(ROWS($1:21)&gt;COUNT(Dong1),"",IF(OFFSET(TH!O$1,SMALL(Dong1,ROWS($1:21)),)="1111",OFFSET(TH!D$1,SMALL(Dong1,ROWS($1:21)),),""))</f>
        <v>C12</v>
      </c>
      <c r="E34" s="443" t="str">
        <f ca="1">IF(ROWS($1:21)&gt;COUNT(Dong1),"",OFFSET(TH!F$1,SMALL(Dong1,ROWS($1:21)),))</f>
        <v>Phí khắc dấu</v>
      </c>
      <c r="F34" s="175" t="str">
        <f ca="1">IF(ROWS($1:21)&gt;COUNT(Dong1),"",IF(OFFSET(TH!O$1,SMALL(Dong1,ROWS($1:21)),)="1111",OFFSET(TH!N$1,SMALL(Dong1,ROWS($1:21)),),OFFSET(TH!O$1,SMALL(Dong1,ROWS($1:21)),)))</f>
        <v>642</v>
      </c>
      <c r="G34" s="176">
        <f ca="1">IF(ROWS($1:21)&gt;COUNT(Dong1),"",IF(OFFSET(TH!N$1,SMALL(Dong1,ROWS($1:21)),)="1111",OFFSET(TH!M$1,SMALL(Dong1,ROWS($1:21)),),0))</f>
        <v>0</v>
      </c>
      <c r="H34" s="174">
        <f ca="1">IF(ROWS($1:21)&gt;COUNT(Dong1),"",IF(OFFSET(TH!O$1,SMALL(Dong1,ROWS($1:21)),)="1111",OFFSET(TH!M$1,SMALL(Dong1,ROWS($1:21)),),0))</f>
        <v>200000</v>
      </c>
      <c r="I34" s="172">
        <f t="shared" ca="1" si="0"/>
        <v>638203327</v>
      </c>
      <c r="J34" s="177"/>
    </row>
    <row r="35" spans="1:10" ht="19.5" customHeight="1">
      <c r="A35" s="171">
        <f ca="1">IF(ROWS($1:22)&gt;COUNT(Dong1),"",OFFSET(TH!C$1,SMALL(Dong1,ROWS($1:22)),))</f>
        <v>42471</v>
      </c>
      <c r="B35" s="171">
        <f ca="1">IF(ROWS($1:22)&gt;COUNT(Dong1),"",OFFSET(TH!E$1,SMALL(Dong1,ROWS($1:22)),))</f>
        <v>42471</v>
      </c>
      <c r="C35" s="172" t="str">
        <f ca="1">IF(ROWS($1:22)&gt;COUNT(Dong1),"",IF(OFFSET(TH!N$1,SMALL(Dong1,ROWS($1:22)),)="1111",OFFSET(TH!D$1,SMALL(Dong1,ROWS($1:22)),),""))</f>
        <v/>
      </c>
      <c r="D35" s="173" t="str">
        <f ca="1">IF(ROWS($1:22)&gt;COUNT(Dong1),"",IF(OFFSET(TH!O$1,SMALL(Dong1,ROWS($1:22)),)="1111",OFFSET(TH!D$1,SMALL(Dong1,ROWS($1:22)),),""))</f>
        <v>C12</v>
      </c>
      <c r="E35" s="443" t="str">
        <f ca="1">IF(ROWS($1:22)&gt;COUNT(Dong1),"",OFFSET(TH!F$1,SMALL(Dong1,ROWS($1:22)),))</f>
        <v>VAT Phí khắc dấu</v>
      </c>
      <c r="F35" s="175" t="str">
        <f ca="1">IF(ROWS($1:22)&gt;COUNT(Dong1),"",IF(OFFSET(TH!O$1,SMALL(Dong1,ROWS($1:22)),)="1111",OFFSET(TH!N$1,SMALL(Dong1,ROWS($1:22)),),OFFSET(TH!O$1,SMALL(Dong1,ROWS($1:22)),)))</f>
        <v>1331</v>
      </c>
      <c r="G35" s="176">
        <f ca="1">IF(ROWS($1:22)&gt;COUNT(Dong1),"",IF(OFFSET(TH!N$1,SMALL(Dong1,ROWS($1:22)),)="1111",OFFSET(TH!M$1,SMALL(Dong1,ROWS($1:22)),),0))</f>
        <v>0</v>
      </c>
      <c r="H35" s="174">
        <f ca="1">IF(ROWS($1:22)&gt;COUNT(Dong1),"",IF(OFFSET(TH!O$1,SMALL(Dong1,ROWS($1:22)),)="1111",OFFSET(TH!M$1,SMALL(Dong1,ROWS($1:22)),),0))</f>
        <v>20000</v>
      </c>
      <c r="I35" s="172">
        <f t="shared" ca="1" si="0"/>
        <v>638183327</v>
      </c>
      <c r="J35" s="177"/>
    </row>
    <row r="36" spans="1:10" ht="19.5" customHeight="1">
      <c r="A36" s="171">
        <f ca="1">IF(ROWS($1:23)&gt;COUNT(Dong1),"",OFFSET(TH!C$1,SMALL(Dong1,ROWS($1:23)),))</f>
        <v>42472</v>
      </c>
      <c r="B36" s="171">
        <f ca="1">IF(ROWS($1:23)&gt;COUNT(Dong1),"",OFFSET(TH!E$1,SMALL(Dong1,ROWS($1:23)),))</f>
        <v>42472</v>
      </c>
      <c r="C36" s="172" t="str">
        <f ca="1">IF(ROWS($1:23)&gt;COUNT(Dong1),"",IF(OFFSET(TH!N$1,SMALL(Dong1,ROWS($1:23)),)="1111",OFFSET(TH!D$1,SMALL(Dong1,ROWS($1:23)),),""))</f>
        <v/>
      </c>
      <c r="D36" s="173" t="str">
        <f ca="1">IF(ROWS($1:23)&gt;COUNT(Dong1),"",IF(OFFSET(TH!O$1,SMALL(Dong1,ROWS($1:23)),)="1111",OFFSET(TH!D$1,SMALL(Dong1,ROWS($1:23)),),""))</f>
        <v>C13</v>
      </c>
      <c r="E36" s="443" t="str">
        <f ca="1">IF(ROWS($1:23)&gt;COUNT(Dong1),"",OFFSET(TH!F$1,SMALL(Dong1,ROWS($1:23)),))</f>
        <v>Vật liệu điện</v>
      </c>
      <c r="F36" s="175" t="str">
        <f ca="1">IF(ROWS($1:23)&gt;COUNT(Dong1),"",IF(OFFSET(TH!O$1,SMALL(Dong1,ROWS($1:23)),)="1111",OFFSET(TH!N$1,SMALL(Dong1,ROWS($1:23)),),OFFSET(TH!O$1,SMALL(Dong1,ROWS($1:23)),)))</f>
        <v>2412</v>
      </c>
      <c r="G36" s="176">
        <f ca="1">IF(ROWS($1:23)&gt;COUNT(Dong1),"",IF(OFFSET(TH!N$1,SMALL(Dong1,ROWS($1:23)),)="1111",OFFSET(TH!M$1,SMALL(Dong1,ROWS($1:23)),),0))</f>
        <v>0</v>
      </c>
      <c r="H36" s="174">
        <f ca="1">IF(ROWS($1:23)&gt;COUNT(Dong1),"",IF(OFFSET(TH!O$1,SMALL(Dong1,ROWS($1:23)),)="1111",OFFSET(TH!M$1,SMALL(Dong1,ROWS($1:23)),),0))</f>
        <v>1388000</v>
      </c>
      <c r="I36" s="172">
        <f t="shared" ca="1" si="0"/>
        <v>636795327</v>
      </c>
      <c r="J36" s="177"/>
    </row>
    <row r="37" spans="1:10" ht="19.5" customHeight="1">
      <c r="A37" s="171">
        <f ca="1">IF(ROWS($1:24)&gt;COUNT(Dong1),"",OFFSET(TH!C$1,SMALL(Dong1,ROWS($1:24)),))</f>
        <v>42474</v>
      </c>
      <c r="B37" s="171">
        <f ca="1">IF(ROWS($1:24)&gt;COUNT(Dong1),"",OFFSET(TH!E$1,SMALL(Dong1,ROWS($1:24)),))</f>
        <v>42474</v>
      </c>
      <c r="C37" s="172" t="str">
        <f ca="1">IF(ROWS($1:24)&gt;COUNT(Dong1),"",IF(OFFSET(TH!N$1,SMALL(Dong1,ROWS($1:24)),)="1111",OFFSET(TH!D$1,SMALL(Dong1,ROWS($1:24)),),""))</f>
        <v/>
      </c>
      <c r="D37" s="173" t="str">
        <f ca="1">IF(ROWS($1:24)&gt;COUNT(Dong1),"",IF(OFFSET(TH!O$1,SMALL(Dong1,ROWS($1:24)),)="1111",OFFSET(TH!D$1,SMALL(Dong1,ROWS($1:24)),),""))</f>
        <v>C14</v>
      </c>
      <c r="E37" s="443" t="str">
        <f ca="1">IF(ROWS($1:24)&gt;COUNT(Dong1),"",OFFSET(TH!F$1,SMALL(Dong1,ROWS($1:24)),))</f>
        <v>Phí công đoàn</v>
      </c>
      <c r="F37" s="175" t="str">
        <f ca="1">IF(ROWS($1:24)&gt;COUNT(Dong1),"",IF(OFFSET(TH!O$1,SMALL(Dong1,ROWS($1:24)),)="1111",OFFSET(TH!N$1,SMALL(Dong1,ROWS($1:24)),),OFFSET(TH!O$1,SMALL(Dong1,ROWS($1:24)),)))</f>
        <v>642</v>
      </c>
      <c r="G37" s="176">
        <f ca="1">IF(ROWS($1:24)&gt;COUNT(Dong1),"",IF(OFFSET(TH!N$1,SMALL(Dong1,ROWS($1:24)),)="1111",OFFSET(TH!M$1,SMALL(Dong1,ROWS($1:24)),),0))</f>
        <v>0</v>
      </c>
      <c r="H37" s="174">
        <f ca="1">IF(ROWS($1:24)&gt;COUNT(Dong1),"",IF(OFFSET(TH!O$1,SMALL(Dong1,ROWS($1:24)),)="1111",OFFSET(TH!M$1,SMALL(Dong1,ROWS($1:24)),),0))</f>
        <v>50000</v>
      </c>
      <c r="I37" s="172">
        <f t="shared" ca="1" si="0"/>
        <v>636745327</v>
      </c>
      <c r="J37" s="177"/>
    </row>
    <row r="38" spans="1:10" ht="19.5" customHeight="1">
      <c r="A38" s="171">
        <f ca="1">IF(ROWS($1:25)&gt;COUNT(Dong1),"",OFFSET(TH!C$1,SMALL(Dong1,ROWS($1:25)),))</f>
        <v>42474</v>
      </c>
      <c r="B38" s="171">
        <f ca="1">IF(ROWS($1:25)&gt;COUNT(Dong1),"",OFFSET(TH!E$1,SMALL(Dong1,ROWS($1:25)),))</f>
        <v>42474</v>
      </c>
      <c r="C38" s="172" t="str">
        <f ca="1">IF(ROWS($1:25)&gt;COUNT(Dong1),"",IF(OFFSET(TH!N$1,SMALL(Dong1,ROWS($1:25)),)="1111",OFFSET(TH!D$1,SMALL(Dong1,ROWS($1:25)),),""))</f>
        <v/>
      </c>
      <c r="D38" s="173" t="str">
        <f ca="1">IF(ROWS($1:25)&gt;COUNT(Dong1),"",IF(OFFSET(TH!O$1,SMALL(Dong1,ROWS($1:25)),)="1111",OFFSET(TH!D$1,SMALL(Dong1,ROWS($1:25)),),""))</f>
        <v>C15</v>
      </c>
      <c r="E38" s="443" t="str">
        <f ca="1">IF(ROWS($1:25)&gt;COUNT(Dong1),"",OFFSET(TH!F$1,SMALL(Dong1,ROWS($1:25)),))</f>
        <v>Lưới 1,8m</v>
      </c>
      <c r="F38" s="175" t="str">
        <f ca="1">IF(ROWS($1:25)&gt;COUNT(Dong1),"",IF(OFFSET(TH!O$1,SMALL(Dong1,ROWS($1:25)),)="1111",OFFSET(TH!N$1,SMALL(Dong1,ROWS($1:25)),),OFFSET(TH!O$1,SMALL(Dong1,ROWS($1:25)),)))</f>
        <v>2412</v>
      </c>
      <c r="G38" s="176">
        <f ca="1">IF(ROWS($1:25)&gt;COUNT(Dong1),"",IF(OFFSET(TH!N$1,SMALL(Dong1,ROWS($1:25)),)="1111",OFFSET(TH!M$1,SMALL(Dong1,ROWS($1:25)),),0))</f>
        <v>0</v>
      </c>
      <c r="H38" s="174">
        <f ca="1">IF(ROWS($1:25)&gt;COUNT(Dong1),"",IF(OFFSET(TH!O$1,SMALL(Dong1,ROWS($1:25)),)="1111",OFFSET(TH!M$1,SMALL(Dong1,ROWS($1:25)),),0))</f>
        <v>2220000</v>
      </c>
      <c r="I38" s="172">
        <f t="shared" ca="1" si="0"/>
        <v>634525327</v>
      </c>
      <c r="J38" s="177"/>
    </row>
    <row r="39" spans="1:10" ht="19.5" customHeight="1">
      <c r="A39" s="171">
        <f ca="1">IF(ROWS($1:26)&gt;COUNT(Dong1),"",OFFSET(TH!C$1,SMALL(Dong1,ROWS($1:26)),))</f>
        <v>42480</v>
      </c>
      <c r="B39" s="171">
        <f ca="1">IF(ROWS($1:26)&gt;COUNT(Dong1),"",OFFSET(TH!E$1,SMALL(Dong1,ROWS($1:26)),))</f>
        <v>42480</v>
      </c>
      <c r="C39" s="172" t="str">
        <f ca="1">IF(ROWS($1:26)&gt;COUNT(Dong1),"",IF(OFFSET(TH!N$1,SMALL(Dong1,ROWS($1:26)),)="1111",OFFSET(TH!D$1,SMALL(Dong1,ROWS($1:26)),),""))</f>
        <v/>
      </c>
      <c r="D39" s="173" t="str">
        <f ca="1">IF(ROWS($1:26)&gt;COUNT(Dong1),"",IF(OFFSET(TH!O$1,SMALL(Dong1,ROWS($1:26)),)="1111",OFFSET(TH!D$1,SMALL(Dong1,ROWS($1:26)),),""))</f>
        <v>C16</v>
      </c>
      <c r="E39" s="443" t="str">
        <f ca="1">IF(ROWS($1:26)&gt;COUNT(Dong1),"",OFFSET(TH!F$1,SMALL(Dong1,ROWS($1:26)),))</f>
        <v>Cước điện thoại + Internet T3/2016</v>
      </c>
      <c r="F39" s="175" t="str">
        <f ca="1">IF(ROWS($1:26)&gt;COUNT(Dong1),"",IF(OFFSET(TH!O$1,SMALL(Dong1,ROWS($1:26)),)="1111",OFFSET(TH!N$1,SMALL(Dong1,ROWS($1:26)),),OFFSET(TH!O$1,SMALL(Dong1,ROWS($1:26)),)))</f>
        <v>642</v>
      </c>
      <c r="G39" s="176">
        <f ca="1">IF(ROWS($1:26)&gt;COUNT(Dong1),"",IF(OFFSET(TH!N$1,SMALL(Dong1,ROWS($1:26)),)="1111",OFFSET(TH!M$1,SMALL(Dong1,ROWS($1:26)),),0))</f>
        <v>0</v>
      </c>
      <c r="H39" s="174">
        <f ca="1">IF(ROWS($1:26)&gt;COUNT(Dong1),"",IF(OFFSET(TH!O$1,SMALL(Dong1,ROWS($1:26)),)="1111",OFFSET(TH!M$1,SMALL(Dong1,ROWS($1:26)),),0))</f>
        <v>624798</v>
      </c>
      <c r="I39" s="172">
        <f t="shared" ca="1" si="0"/>
        <v>633900529</v>
      </c>
      <c r="J39" s="177"/>
    </row>
    <row r="40" spans="1:10" ht="19.5" customHeight="1">
      <c r="A40" s="171">
        <f ca="1">IF(ROWS($1:27)&gt;COUNT(Dong1),"",OFFSET(TH!C$1,SMALL(Dong1,ROWS($1:27)),))</f>
        <v>42480</v>
      </c>
      <c r="B40" s="171">
        <f ca="1">IF(ROWS($1:27)&gt;COUNT(Dong1),"",OFFSET(TH!E$1,SMALL(Dong1,ROWS($1:27)),))</f>
        <v>42480</v>
      </c>
      <c r="C40" s="172" t="str">
        <f ca="1">IF(ROWS($1:27)&gt;COUNT(Dong1),"",IF(OFFSET(TH!N$1,SMALL(Dong1,ROWS($1:27)),)="1111",OFFSET(TH!D$1,SMALL(Dong1,ROWS($1:27)),),""))</f>
        <v/>
      </c>
      <c r="D40" s="173" t="str">
        <f ca="1">IF(ROWS($1:27)&gt;COUNT(Dong1),"",IF(OFFSET(TH!O$1,SMALL(Dong1,ROWS($1:27)),)="1111",OFFSET(TH!D$1,SMALL(Dong1,ROWS($1:27)),),""))</f>
        <v>C16</v>
      </c>
      <c r="E40" s="443" t="str">
        <f ca="1">IF(ROWS($1:27)&gt;COUNT(Dong1),"",OFFSET(TH!F$1,SMALL(Dong1,ROWS($1:27)),))</f>
        <v>VAT Cước điện thoại + Internet T3/2016</v>
      </c>
      <c r="F40" s="175" t="str">
        <f ca="1">IF(ROWS($1:27)&gt;COUNT(Dong1),"",IF(OFFSET(TH!O$1,SMALL(Dong1,ROWS($1:27)),)="1111",OFFSET(TH!N$1,SMALL(Dong1,ROWS($1:27)),),OFFSET(TH!O$1,SMALL(Dong1,ROWS($1:27)),)))</f>
        <v>1331</v>
      </c>
      <c r="G40" s="176">
        <f ca="1">IF(ROWS($1:27)&gt;COUNT(Dong1),"",IF(OFFSET(TH!N$1,SMALL(Dong1,ROWS($1:27)),)="1111",OFFSET(TH!M$1,SMALL(Dong1,ROWS($1:27)),),0))</f>
        <v>0</v>
      </c>
      <c r="H40" s="174">
        <f ca="1">IF(ROWS($1:27)&gt;COUNT(Dong1),"",IF(OFFSET(TH!O$1,SMALL(Dong1,ROWS($1:27)),)="1111",OFFSET(TH!M$1,SMALL(Dong1,ROWS($1:27)),),0))</f>
        <v>62479</v>
      </c>
      <c r="I40" s="172">
        <f t="shared" ca="1" si="0"/>
        <v>633838050</v>
      </c>
      <c r="J40" s="177"/>
    </row>
    <row r="41" spans="1:10" ht="19.5" customHeight="1">
      <c r="A41" s="171">
        <f ca="1">IF(ROWS($1:28)&gt;COUNT(Dong1),"",OFFSET(TH!C$1,SMALL(Dong1,ROWS($1:28)),))</f>
        <v>42480</v>
      </c>
      <c r="B41" s="171">
        <f ca="1">IF(ROWS($1:28)&gt;COUNT(Dong1),"",OFFSET(TH!E$1,SMALL(Dong1,ROWS($1:28)),))</f>
        <v>42480</v>
      </c>
      <c r="C41" s="172" t="str">
        <f ca="1">IF(ROWS($1:28)&gt;COUNT(Dong1),"",IF(OFFSET(TH!N$1,SMALL(Dong1,ROWS($1:28)),)="1111",OFFSET(TH!D$1,SMALL(Dong1,ROWS($1:28)),),""))</f>
        <v/>
      </c>
      <c r="D41" s="173" t="str">
        <f ca="1">IF(ROWS($1:28)&gt;COUNT(Dong1),"",IF(OFFSET(TH!O$1,SMALL(Dong1,ROWS($1:28)),)="1111",OFFSET(TH!D$1,SMALL(Dong1,ROWS($1:28)),),""))</f>
        <v>C17</v>
      </c>
      <c r="E41" s="443" t="str">
        <f ca="1">IF(ROWS($1:28)&gt;COUNT(Dong1),"",OFFSET(TH!F$1,SMALL(Dong1,ROWS($1:28)),))</f>
        <v>Dịch vụ thoát nước thải</v>
      </c>
      <c r="F41" s="175" t="str">
        <f ca="1">IF(ROWS($1:28)&gt;COUNT(Dong1),"",IF(OFFSET(TH!O$1,SMALL(Dong1,ROWS($1:28)),)="1111",OFFSET(TH!N$1,SMALL(Dong1,ROWS($1:28)),),OFFSET(TH!O$1,SMALL(Dong1,ROWS($1:28)),)))</f>
        <v>642</v>
      </c>
      <c r="G41" s="176">
        <f ca="1">IF(ROWS($1:28)&gt;COUNT(Dong1),"",IF(OFFSET(TH!N$1,SMALL(Dong1,ROWS($1:28)),)="1111",OFFSET(TH!M$1,SMALL(Dong1,ROWS($1:28)),),0))</f>
        <v>0</v>
      </c>
      <c r="H41" s="174">
        <f ca="1">IF(ROWS($1:28)&gt;COUNT(Dong1),"",IF(OFFSET(TH!O$1,SMALL(Dong1,ROWS($1:28)),)="1111",OFFSET(TH!M$1,SMALL(Dong1,ROWS($1:28)),),0))</f>
        <v>6523636</v>
      </c>
      <c r="I41" s="172">
        <f t="shared" ca="1" si="0"/>
        <v>627314414</v>
      </c>
      <c r="J41" s="177"/>
    </row>
    <row r="42" spans="1:10" ht="19.5" customHeight="1">
      <c r="A42" s="171">
        <f ca="1">IF(ROWS($1:29)&gt;COUNT(Dong1),"",OFFSET(TH!C$1,SMALL(Dong1,ROWS($1:29)),))</f>
        <v>42480</v>
      </c>
      <c r="B42" s="171">
        <f ca="1">IF(ROWS($1:29)&gt;COUNT(Dong1),"",OFFSET(TH!E$1,SMALL(Dong1,ROWS($1:29)),))</f>
        <v>42480</v>
      </c>
      <c r="C42" s="172" t="str">
        <f ca="1">IF(ROWS($1:29)&gt;COUNT(Dong1),"",IF(OFFSET(TH!N$1,SMALL(Dong1,ROWS($1:29)),)="1111",OFFSET(TH!D$1,SMALL(Dong1,ROWS($1:29)),),""))</f>
        <v/>
      </c>
      <c r="D42" s="173" t="str">
        <f ca="1">IF(ROWS($1:29)&gt;COUNT(Dong1),"",IF(OFFSET(TH!O$1,SMALL(Dong1,ROWS($1:29)),)="1111",OFFSET(TH!D$1,SMALL(Dong1,ROWS($1:29)),),""))</f>
        <v>C17</v>
      </c>
      <c r="E42" s="443" t="str">
        <f ca="1">IF(ROWS($1:29)&gt;COUNT(Dong1),"",OFFSET(TH!F$1,SMALL(Dong1,ROWS($1:29)),))</f>
        <v>VAT Dịch vụ thoát nước thải</v>
      </c>
      <c r="F42" s="175" t="str">
        <f ca="1">IF(ROWS($1:29)&gt;COUNT(Dong1),"",IF(OFFSET(TH!O$1,SMALL(Dong1,ROWS($1:29)),)="1111",OFFSET(TH!N$1,SMALL(Dong1,ROWS($1:29)),),OFFSET(TH!O$1,SMALL(Dong1,ROWS($1:29)),)))</f>
        <v>1331</v>
      </c>
      <c r="G42" s="176">
        <f ca="1">IF(ROWS($1:29)&gt;COUNT(Dong1),"",IF(OFFSET(TH!N$1,SMALL(Dong1,ROWS($1:29)),)="1111",OFFSET(TH!M$1,SMALL(Dong1,ROWS($1:29)),),0))</f>
        <v>0</v>
      </c>
      <c r="H42" s="174">
        <f ca="1">IF(ROWS($1:29)&gt;COUNT(Dong1),"",IF(OFFSET(TH!O$1,SMALL(Dong1,ROWS($1:29)),)="1111",OFFSET(TH!M$1,SMALL(Dong1,ROWS($1:29)),),0))</f>
        <v>652364</v>
      </c>
      <c r="I42" s="172">
        <f t="shared" ca="1" si="0"/>
        <v>626662050</v>
      </c>
      <c r="J42" s="177"/>
    </row>
    <row r="43" spans="1:10" ht="19.5" customHeight="1">
      <c r="A43" s="171">
        <f ca="1">IF(ROWS($1:30)&gt;COUNT(Dong1),"",OFFSET(TH!C$1,SMALL(Dong1,ROWS($1:30)),))</f>
        <v>42481</v>
      </c>
      <c r="B43" s="171">
        <f ca="1">IF(ROWS($1:30)&gt;COUNT(Dong1),"",OFFSET(TH!E$1,SMALL(Dong1,ROWS($1:30)),))</f>
        <v>42481</v>
      </c>
      <c r="C43" s="172" t="str">
        <f ca="1">IF(ROWS($1:30)&gt;COUNT(Dong1),"",IF(OFFSET(TH!N$1,SMALL(Dong1,ROWS($1:30)),)="1111",OFFSET(TH!D$1,SMALL(Dong1,ROWS($1:30)),),""))</f>
        <v/>
      </c>
      <c r="D43" s="173" t="str">
        <f ca="1">IF(ROWS($1:30)&gt;COUNT(Dong1),"",IF(OFFSET(TH!O$1,SMALL(Dong1,ROWS($1:30)),)="1111",OFFSET(TH!D$1,SMALL(Dong1,ROWS($1:30)),),""))</f>
        <v>C18</v>
      </c>
      <c r="E43" s="443" t="str">
        <f ca="1">IF(ROWS($1:30)&gt;COUNT(Dong1),"",OFFSET(TH!F$1,SMALL(Dong1,ROWS($1:30)),))</f>
        <v>Trả vốn mượn</v>
      </c>
      <c r="F43" s="175" t="str">
        <f ca="1">IF(ROWS($1:30)&gt;COUNT(Dong1),"",IF(OFFSET(TH!O$1,SMALL(Dong1,ROWS($1:30)),)="1111",OFFSET(TH!N$1,SMALL(Dong1,ROWS($1:30)),),OFFSET(TH!O$1,SMALL(Dong1,ROWS($1:30)),)))</f>
        <v>1388</v>
      </c>
      <c r="G43" s="176">
        <f ca="1">IF(ROWS($1:30)&gt;COUNT(Dong1),"",IF(OFFSET(TH!N$1,SMALL(Dong1,ROWS($1:30)),)="1111",OFFSET(TH!M$1,SMALL(Dong1,ROWS($1:30)),),0))</f>
        <v>0</v>
      </c>
      <c r="H43" s="174">
        <f ca="1">IF(ROWS($1:30)&gt;COUNT(Dong1),"",IF(OFFSET(TH!O$1,SMALL(Dong1,ROWS($1:30)),)="1111",OFFSET(TH!M$1,SMALL(Dong1,ROWS($1:30)),),0))</f>
        <v>40000000</v>
      </c>
      <c r="I43" s="172">
        <f t="shared" ca="1" si="0"/>
        <v>586662050</v>
      </c>
      <c r="J43" s="177"/>
    </row>
    <row r="44" spans="1:10" ht="19.5" customHeight="1">
      <c r="A44" s="171">
        <f ca="1">IF(ROWS($1:31)&gt;COUNT(Dong1),"",OFFSET(TH!C$1,SMALL(Dong1,ROWS($1:31)),))</f>
        <v>42481</v>
      </c>
      <c r="B44" s="171">
        <f ca="1">IF(ROWS($1:31)&gt;COUNT(Dong1),"",OFFSET(TH!E$1,SMALL(Dong1,ROWS($1:31)),))</f>
        <v>42481</v>
      </c>
      <c r="C44" s="172" t="str">
        <f ca="1">IF(ROWS($1:31)&gt;COUNT(Dong1),"",IF(OFFSET(TH!N$1,SMALL(Dong1,ROWS($1:31)),)="1111",OFFSET(TH!D$1,SMALL(Dong1,ROWS($1:31)),),""))</f>
        <v/>
      </c>
      <c r="D44" s="173" t="str">
        <f ca="1">IF(ROWS($1:31)&gt;COUNT(Dong1),"",IF(OFFSET(TH!O$1,SMALL(Dong1,ROWS($1:31)),)="1111",OFFSET(TH!D$1,SMALL(Dong1,ROWS($1:31)),),""))</f>
        <v>C19</v>
      </c>
      <c r="E44" s="443" t="str">
        <f ca="1">IF(ROWS($1:31)&gt;COUNT(Dong1),"",OFFSET(TH!F$1,SMALL(Dong1,ROWS($1:31)),))</f>
        <v>Q4 - Nộp tiền mặt</v>
      </c>
      <c r="F44" s="175" t="str">
        <f ca="1">IF(ROWS($1:31)&gt;COUNT(Dong1),"",IF(OFFSET(TH!O$1,SMALL(Dong1,ROWS($1:31)),)="1111",OFFSET(TH!N$1,SMALL(Dong1,ROWS($1:31)),),OFFSET(TH!O$1,SMALL(Dong1,ROWS($1:31)),)))</f>
        <v>1121</v>
      </c>
      <c r="G44" s="176">
        <f ca="1">IF(ROWS($1:31)&gt;COUNT(Dong1),"",IF(OFFSET(TH!N$1,SMALL(Dong1,ROWS($1:31)),)="1111",OFFSET(TH!M$1,SMALL(Dong1,ROWS($1:31)),),0))</f>
        <v>0</v>
      </c>
      <c r="H44" s="174">
        <f ca="1">IF(ROWS($1:31)&gt;COUNT(Dong1),"",IF(OFFSET(TH!O$1,SMALL(Dong1,ROWS($1:31)),)="1111",OFFSET(TH!M$1,SMALL(Dong1,ROWS($1:31)),),0))</f>
        <v>130000000</v>
      </c>
      <c r="I44" s="172">
        <f t="shared" ca="1" si="0"/>
        <v>456662050</v>
      </c>
      <c r="J44" s="177"/>
    </row>
    <row r="45" spans="1:10" ht="19.5" customHeight="1">
      <c r="A45" s="171">
        <f ca="1">IF(ROWS($1:32)&gt;COUNT(Dong1),"",OFFSET(TH!C$1,SMALL(Dong1,ROWS($1:32)),))</f>
        <v>42481</v>
      </c>
      <c r="B45" s="171">
        <f ca="1">IF(ROWS($1:32)&gt;COUNT(Dong1),"",OFFSET(TH!E$1,SMALL(Dong1,ROWS($1:32)),))</f>
        <v>42481</v>
      </c>
      <c r="C45" s="172" t="str">
        <f ca="1">IF(ROWS($1:32)&gt;COUNT(Dong1),"",IF(OFFSET(TH!N$1,SMALL(Dong1,ROWS($1:32)),)="1111",OFFSET(TH!D$1,SMALL(Dong1,ROWS($1:32)),),""))</f>
        <v/>
      </c>
      <c r="D45" s="173" t="str">
        <f ca="1">IF(ROWS($1:32)&gt;COUNT(Dong1),"",IF(OFFSET(TH!O$1,SMALL(Dong1,ROWS($1:32)),)="1111",OFFSET(TH!D$1,SMALL(Dong1,ROWS($1:32)),),""))</f>
        <v>C19</v>
      </c>
      <c r="E45" s="443" t="str">
        <f ca="1">IF(ROWS($1:32)&gt;COUNT(Dong1),"",OFFSET(TH!F$1,SMALL(Dong1,ROWS($1:32)),))</f>
        <v>Q4 - Nộp tiền mặt</v>
      </c>
      <c r="F45" s="175" t="str">
        <f ca="1">IF(ROWS($1:32)&gt;COUNT(Dong1),"",IF(OFFSET(TH!O$1,SMALL(Dong1,ROWS($1:32)),)="1111",OFFSET(TH!N$1,SMALL(Dong1,ROWS($1:32)),),OFFSET(TH!O$1,SMALL(Dong1,ROWS($1:32)),)))</f>
        <v>1121</v>
      </c>
      <c r="G45" s="176">
        <f ca="1">IF(ROWS($1:32)&gt;COUNT(Dong1),"",IF(OFFSET(TH!N$1,SMALL(Dong1,ROWS($1:32)),)="1111",OFFSET(TH!M$1,SMALL(Dong1,ROWS($1:32)),),0))</f>
        <v>0</v>
      </c>
      <c r="H45" s="174">
        <f ca="1">IF(ROWS($1:32)&gt;COUNT(Dong1),"",IF(OFFSET(TH!O$1,SMALL(Dong1,ROWS($1:32)),)="1111",OFFSET(TH!M$1,SMALL(Dong1,ROWS($1:32)),),0))</f>
        <v>60000000</v>
      </c>
      <c r="I45" s="172">
        <f t="shared" ca="1" si="0"/>
        <v>396662050</v>
      </c>
      <c r="J45" s="177"/>
    </row>
    <row r="46" spans="1:10" ht="19.5" customHeight="1">
      <c r="A46" s="171">
        <f ca="1">IF(ROWS($1:33)&gt;COUNT(Dong1),"",OFFSET(TH!C$1,SMALL(Dong1,ROWS($1:33)),))</f>
        <v>42483</v>
      </c>
      <c r="B46" s="171">
        <f ca="1">IF(ROWS($1:33)&gt;COUNT(Dong1),"",OFFSET(TH!E$1,SMALL(Dong1,ROWS($1:33)),))</f>
        <v>42483</v>
      </c>
      <c r="C46" s="172" t="str">
        <f ca="1">IF(ROWS($1:33)&gt;COUNT(Dong1),"",IF(OFFSET(TH!N$1,SMALL(Dong1,ROWS($1:33)),)="1111",OFFSET(TH!D$1,SMALL(Dong1,ROWS($1:33)),),""))</f>
        <v/>
      </c>
      <c r="D46" s="173" t="str">
        <f ca="1">IF(ROWS($1:33)&gt;COUNT(Dong1),"",IF(OFFSET(TH!O$1,SMALL(Dong1,ROWS($1:33)),)="1111",OFFSET(TH!D$1,SMALL(Dong1,ROWS($1:33)),),""))</f>
        <v>C20</v>
      </c>
      <c r="E46" s="443" t="str">
        <f ca="1">IF(ROWS($1:33)&gt;COUNT(Dong1),"",OFFSET(TH!F$1,SMALL(Dong1,ROWS($1:33)),))</f>
        <v>Vật liệu điện</v>
      </c>
      <c r="F46" s="175" t="str">
        <f ca="1">IF(ROWS($1:33)&gt;COUNT(Dong1),"",IF(OFFSET(TH!O$1,SMALL(Dong1,ROWS($1:33)),)="1111",OFFSET(TH!N$1,SMALL(Dong1,ROWS($1:33)),),OFFSET(TH!O$1,SMALL(Dong1,ROWS($1:33)),)))</f>
        <v>2412</v>
      </c>
      <c r="G46" s="176">
        <f ca="1">IF(ROWS($1:33)&gt;COUNT(Dong1),"",IF(OFFSET(TH!N$1,SMALL(Dong1,ROWS($1:33)),)="1111",OFFSET(TH!M$1,SMALL(Dong1,ROWS($1:33)),),0))</f>
        <v>0</v>
      </c>
      <c r="H46" s="174">
        <f ca="1">IF(ROWS($1:33)&gt;COUNT(Dong1),"",IF(OFFSET(TH!O$1,SMALL(Dong1,ROWS($1:33)),)="1111",OFFSET(TH!M$1,SMALL(Dong1,ROWS($1:33)),),0))</f>
        <v>618000</v>
      </c>
      <c r="I46" s="172">
        <f t="shared" ca="1" si="0"/>
        <v>396044050</v>
      </c>
      <c r="J46" s="177"/>
    </row>
    <row r="47" spans="1:10" ht="19.5" customHeight="1">
      <c r="A47" s="171">
        <f ca="1">IF(ROWS($1:34)&gt;COUNT(Dong1),"",OFFSET(TH!C$1,SMALL(Dong1,ROWS($1:34)),))</f>
        <v>42485</v>
      </c>
      <c r="B47" s="171">
        <f ca="1">IF(ROWS($1:34)&gt;COUNT(Dong1),"",OFFSET(TH!E$1,SMALL(Dong1,ROWS($1:34)),))</f>
        <v>42485</v>
      </c>
      <c r="C47" s="172" t="str">
        <f ca="1">IF(ROWS($1:34)&gt;COUNT(Dong1),"",IF(OFFSET(TH!N$1,SMALL(Dong1,ROWS($1:34)),)="1111",OFFSET(TH!D$1,SMALL(Dong1,ROWS($1:34)),),""))</f>
        <v/>
      </c>
      <c r="D47" s="173" t="str">
        <f ca="1">IF(ROWS($1:34)&gt;COUNT(Dong1),"",IF(OFFSET(TH!O$1,SMALL(Dong1,ROWS($1:34)),)="1111",OFFSET(TH!D$1,SMALL(Dong1,ROWS($1:34)),),""))</f>
        <v>C21</v>
      </c>
      <c r="E47" s="443" t="str">
        <f ca="1">IF(ROWS($1:34)&gt;COUNT(Dong1),"",OFFSET(TH!F$1,SMALL(Dong1,ROWS($1:34)),))</f>
        <v>Tiền nước tháng 4/2016</v>
      </c>
      <c r="F47" s="175" t="str">
        <f ca="1">IF(ROWS($1:34)&gt;COUNT(Dong1),"",IF(OFFSET(TH!O$1,SMALL(Dong1,ROWS($1:34)),)="1111",OFFSET(TH!N$1,SMALL(Dong1,ROWS($1:34)),),OFFSET(TH!O$1,SMALL(Dong1,ROWS($1:34)),)))</f>
        <v>642</v>
      </c>
      <c r="G47" s="176">
        <f ca="1">IF(ROWS($1:34)&gt;COUNT(Dong1),"",IF(OFFSET(TH!N$1,SMALL(Dong1,ROWS($1:34)),)="1111",OFFSET(TH!M$1,SMALL(Dong1,ROWS($1:34)),),0))</f>
        <v>0</v>
      </c>
      <c r="H47" s="174">
        <f ca="1">IF(ROWS($1:34)&gt;COUNT(Dong1),"",IF(OFFSET(TH!O$1,SMALL(Dong1,ROWS($1:34)),)="1111",OFFSET(TH!M$1,SMALL(Dong1,ROWS($1:34)),),0))</f>
        <v>10818800</v>
      </c>
      <c r="I47" s="172">
        <f t="shared" ca="1" si="0"/>
        <v>385225250</v>
      </c>
      <c r="J47" s="177"/>
    </row>
    <row r="48" spans="1:10" ht="19.5" customHeight="1">
      <c r="A48" s="171">
        <f ca="1">IF(ROWS($1:35)&gt;COUNT(Dong1),"",OFFSET(TH!C$1,SMALL(Dong1,ROWS($1:35)),))</f>
        <v>42485</v>
      </c>
      <c r="B48" s="171">
        <f ca="1">IF(ROWS($1:35)&gt;COUNT(Dong1),"",OFFSET(TH!E$1,SMALL(Dong1,ROWS($1:35)),))</f>
        <v>42485</v>
      </c>
      <c r="C48" s="172" t="str">
        <f ca="1">IF(ROWS($1:35)&gt;COUNT(Dong1),"",IF(OFFSET(TH!N$1,SMALL(Dong1,ROWS($1:35)),)="1111",OFFSET(TH!D$1,SMALL(Dong1,ROWS($1:35)),),""))</f>
        <v/>
      </c>
      <c r="D48" s="173" t="str">
        <f ca="1">IF(ROWS($1:35)&gt;COUNT(Dong1),"",IF(OFFSET(TH!O$1,SMALL(Dong1,ROWS($1:35)),)="1111",OFFSET(TH!D$1,SMALL(Dong1,ROWS($1:35)),),""))</f>
        <v>C21</v>
      </c>
      <c r="E48" s="443" t="str">
        <f ca="1">IF(ROWS($1:35)&gt;COUNT(Dong1),"",OFFSET(TH!F$1,SMALL(Dong1,ROWS($1:35)),))</f>
        <v>VAT Tiền nước tháng 4/2016</v>
      </c>
      <c r="F48" s="175" t="str">
        <f ca="1">IF(ROWS($1:35)&gt;COUNT(Dong1),"",IF(OFFSET(TH!O$1,SMALL(Dong1,ROWS($1:35)),)="1111",OFFSET(TH!N$1,SMALL(Dong1,ROWS($1:35)),),OFFSET(TH!O$1,SMALL(Dong1,ROWS($1:35)),)))</f>
        <v>1331</v>
      </c>
      <c r="G48" s="176">
        <f ca="1">IF(ROWS($1:35)&gt;COUNT(Dong1),"",IF(OFFSET(TH!N$1,SMALL(Dong1,ROWS($1:35)),)="1111",OFFSET(TH!M$1,SMALL(Dong1,ROWS($1:35)),),0))</f>
        <v>0</v>
      </c>
      <c r="H48" s="174">
        <f ca="1">IF(ROWS($1:35)&gt;COUNT(Dong1),"",IF(OFFSET(TH!O$1,SMALL(Dong1,ROWS($1:35)),)="1111",OFFSET(TH!M$1,SMALL(Dong1,ROWS($1:35)),),0))</f>
        <v>540940</v>
      </c>
      <c r="I48" s="172">
        <f t="shared" ca="1" si="0"/>
        <v>384684310</v>
      </c>
      <c r="J48" s="177"/>
    </row>
    <row r="49" spans="1:10" ht="19.5" customHeight="1">
      <c r="A49" s="171">
        <f ca="1">IF(ROWS($1:36)&gt;COUNT(Dong1),"",OFFSET(TH!C$1,SMALL(Dong1,ROWS($1:36)),))</f>
        <v>42486</v>
      </c>
      <c r="B49" s="171">
        <f ca="1">IF(ROWS($1:36)&gt;COUNT(Dong1),"",OFFSET(TH!E$1,SMALL(Dong1,ROWS($1:36)),))</f>
        <v>42486</v>
      </c>
      <c r="C49" s="172" t="str">
        <f ca="1">IF(ROWS($1:36)&gt;COUNT(Dong1),"",IF(OFFSET(TH!N$1,SMALL(Dong1,ROWS($1:36)),)="1111",OFFSET(TH!D$1,SMALL(Dong1,ROWS($1:36)),),""))</f>
        <v/>
      </c>
      <c r="D49" s="173" t="str">
        <f ca="1">IF(ROWS($1:36)&gt;COUNT(Dong1),"",IF(OFFSET(TH!O$1,SMALL(Dong1,ROWS($1:36)),)="1111",OFFSET(TH!D$1,SMALL(Dong1,ROWS($1:36)),),""))</f>
        <v>C22</v>
      </c>
      <c r="E49" s="443" t="str">
        <f ca="1">IF(ROWS($1:36)&gt;COUNT(Dong1),"",OFFSET(TH!F$1,SMALL(Dong1,ROWS($1:36)),))</f>
        <v>Vật liệu xây dựng</v>
      </c>
      <c r="F49" s="175" t="str">
        <f ca="1">IF(ROWS($1:36)&gt;COUNT(Dong1),"",IF(OFFSET(TH!O$1,SMALL(Dong1,ROWS($1:36)),)="1111",OFFSET(TH!N$1,SMALL(Dong1,ROWS($1:36)),),OFFSET(TH!O$1,SMALL(Dong1,ROWS($1:36)),)))</f>
        <v>2412</v>
      </c>
      <c r="G49" s="176">
        <f ca="1">IF(ROWS($1:36)&gt;COUNT(Dong1),"",IF(OFFSET(TH!N$1,SMALL(Dong1,ROWS($1:36)),)="1111",OFFSET(TH!M$1,SMALL(Dong1,ROWS($1:36)),),0))</f>
        <v>0</v>
      </c>
      <c r="H49" s="174">
        <f ca="1">IF(ROWS($1:36)&gt;COUNT(Dong1),"",IF(OFFSET(TH!O$1,SMALL(Dong1,ROWS($1:36)),)="1111",OFFSET(TH!M$1,SMALL(Dong1,ROWS($1:36)),),0))</f>
        <v>2180000</v>
      </c>
      <c r="I49" s="172">
        <f t="shared" ca="1" si="0"/>
        <v>382504310</v>
      </c>
      <c r="J49" s="177"/>
    </row>
    <row r="50" spans="1:10" ht="19.5" customHeight="1">
      <c r="A50" s="171">
        <f ca="1">IF(ROWS($1:37)&gt;COUNT(Dong1),"",OFFSET(TH!C$1,SMALL(Dong1,ROWS($1:37)),))</f>
        <v>42487</v>
      </c>
      <c r="B50" s="171">
        <f ca="1">IF(ROWS($1:37)&gt;COUNT(Dong1),"",OFFSET(TH!E$1,SMALL(Dong1,ROWS($1:37)),))</f>
        <v>42487</v>
      </c>
      <c r="C50" s="172" t="str">
        <f ca="1">IF(ROWS($1:37)&gt;COUNT(Dong1),"",IF(OFFSET(TH!N$1,SMALL(Dong1,ROWS($1:37)),)="1111",OFFSET(TH!D$1,SMALL(Dong1,ROWS($1:37)),),""))</f>
        <v/>
      </c>
      <c r="D50" s="173" t="str">
        <f ca="1">IF(ROWS($1:37)&gt;COUNT(Dong1),"",IF(OFFSET(TH!O$1,SMALL(Dong1,ROWS($1:37)),)="1111",OFFSET(TH!D$1,SMALL(Dong1,ROWS($1:37)),),""))</f>
        <v>C23</v>
      </c>
      <c r="E50" s="443" t="str">
        <f ca="1">IF(ROWS($1:37)&gt;COUNT(Dong1),"",OFFSET(TH!F$1,SMALL(Dong1,ROWS($1:37)),))</f>
        <v>Vật liệu xây dựng</v>
      </c>
      <c r="F50" s="175" t="str">
        <f ca="1">IF(ROWS($1:37)&gt;COUNT(Dong1),"",IF(OFFSET(TH!O$1,SMALL(Dong1,ROWS($1:37)),)="1111",OFFSET(TH!N$1,SMALL(Dong1,ROWS($1:37)),),OFFSET(TH!O$1,SMALL(Dong1,ROWS($1:37)),)))</f>
        <v>2412</v>
      </c>
      <c r="G50" s="176">
        <f ca="1">IF(ROWS($1:37)&gt;COUNT(Dong1),"",IF(OFFSET(TH!N$1,SMALL(Dong1,ROWS($1:37)),)="1111",OFFSET(TH!M$1,SMALL(Dong1,ROWS($1:37)),),0))</f>
        <v>0</v>
      </c>
      <c r="H50" s="174">
        <f ca="1">IF(ROWS($1:37)&gt;COUNT(Dong1),"",IF(OFFSET(TH!O$1,SMALL(Dong1,ROWS($1:37)),)="1111",OFFSET(TH!M$1,SMALL(Dong1,ROWS($1:37)),),0))</f>
        <v>1500000</v>
      </c>
      <c r="I50" s="172">
        <f t="shared" ca="1" si="0"/>
        <v>381004310</v>
      </c>
      <c r="J50" s="177"/>
    </row>
    <row r="51" spans="1:10" ht="19.5" customHeight="1">
      <c r="A51" s="171">
        <f ca="1">IF(ROWS($1:38)&gt;COUNT(Dong1),"",OFFSET(TH!C$1,SMALL(Dong1,ROWS($1:38)),))</f>
        <v>42487</v>
      </c>
      <c r="B51" s="171">
        <f ca="1">IF(ROWS($1:38)&gt;COUNT(Dong1),"",OFFSET(TH!E$1,SMALL(Dong1,ROWS($1:38)),))</f>
        <v>42487</v>
      </c>
      <c r="C51" s="172" t="str">
        <f ca="1">IF(ROWS($1:38)&gt;COUNT(Dong1),"",IF(OFFSET(TH!N$1,SMALL(Dong1,ROWS($1:38)),)="1111",OFFSET(TH!D$1,SMALL(Dong1,ROWS($1:38)),),""))</f>
        <v/>
      </c>
      <c r="D51" s="173" t="str">
        <f ca="1">IF(ROWS($1:38)&gt;COUNT(Dong1),"",IF(OFFSET(TH!O$1,SMALL(Dong1,ROWS($1:38)),)="1111",OFFSET(TH!D$1,SMALL(Dong1,ROWS($1:38)),),""))</f>
        <v>C24</v>
      </c>
      <c r="E51" s="443" t="str">
        <f ca="1">IF(ROWS($1:38)&gt;COUNT(Dong1),"",OFFSET(TH!F$1,SMALL(Dong1,ROWS($1:38)),))</f>
        <v>Q4 - Nộp tiền mặt</v>
      </c>
      <c r="F51" s="175" t="str">
        <f ca="1">IF(ROWS($1:38)&gt;COUNT(Dong1),"",IF(OFFSET(TH!O$1,SMALL(Dong1,ROWS($1:38)),)="1111",OFFSET(TH!N$1,SMALL(Dong1,ROWS($1:38)),),OFFSET(TH!O$1,SMALL(Dong1,ROWS($1:38)),)))</f>
        <v>1121</v>
      </c>
      <c r="G51" s="176">
        <f ca="1">IF(ROWS($1:38)&gt;COUNT(Dong1),"",IF(OFFSET(TH!N$1,SMALL(Dong1,ROWS($1:38)),)="1111",OFFSET(TH!M$1,SMALL(Dong1,ROWS($1:38)),),0))</f>
        <v>0</v>
      </c>
      <c r="H51" s="174">
        <f ca="1">IF(ROWS($1:38)&gt;COUNT(Dong1),"",IF(OFFSET(TH!O$1,SMALL(Dong1,ROWS($1:38)),)="1111",OFFSET(TH!M$1,SMALL(Dong1,ROWS($1:38)),),0))</f>
        <v>47000000</v>
      </c>
      <c r="I51" s="172">
        <f t="shared" ca="1" si="0"/>
        <v>334004310</v>
      </c>
      <c r="J51" s="177"/>
    </row>
    <row r="52" spans="1:10" ht="19.5" customHeight="1">
      <c r="A52" s="171">
        <f ca="1">IF(ROWS($1:39)&gt;COUNT(Dong1),"",OFFSET(TH!C$1,SMALL(Dong1,ROWS($1:39)),))</f>
        <v>42491</v>
      </c>
      <c r="B52" s="171">
        <f ca="1">IF(ROWS($1:39)&gt;COUNT(Dong1),"",OFFSET(TH!E$1,SMALL(Dong1,ROWS($1:39)),))</f>
        <v>42491</v>
      </c>
      <c r="C52" s="172" t="str">
        <f ca="1">IF(ROWS($1:39)&gt;COUNT(Dong1),"",IF(OFFSET(TH!N$1,SMALL(Dong1,ROWS($1:39)),)="1111",OFFSET(TH!D$1,SMALL(Dong1,ROWS($1:39)),),""))</f>
        <v>T01</v>
      </c>
      <c r="D52" s="173" t="str">
        <f ca="1">IF(ROWS($1:39)&gt;COUNT(Dong1),"",IF(OFFSET(TH!O$1,SMALL(Dong1,ROWS($1:39)),)="1111",OFFSET(TH!D$1,SMALL(Dong1,ROWS($1:39)),),""))</f>
        <v/>
      </c>
      <c r="E52" s="443" t="str">
        <f ca="1">IF(ROWS($1:39)&gt;COUNT(Dong1),"",OFFSET(TH!F$1,SMALL(Dong1,ROWS($1:39)),))</f>
        <v>Ứng vốn</v>
      </c>
      <c r="F52" s="175" t="str">
        <f ca="1">IF(ROWS($1:39)&gt;COUNT(Dong1),"",IF(OFFSET(TH!O$1,SMALL(Dong1,ROWS($1:39)),)="1111",OFFSET(TH!N$1,SMALL(Dong1,ROWS($1:39)),),OFFSET(TH!O$1,SMALL(Dong1,ROWS($1:39)),)))</f>
        <v>3388</v>
      </c>
      <c r="G52" s="176">
        <f ca="1">IF(ROWS($1:39)&gt;COUNT(Dong1),"",IF(OFFSET(TH!N$1,SMALL(Dong1,ROWS($1:39)),)="1111",OFFSET(TH!M$1,SMALL(Dong1,ROWS($1:39)),),0))</f>
        <v>1000000000</v>
      </c>
      <c r="H52" s="174">
        <f ca="1">IF(ROWS($1:39)&gt;COUNT(Dong1),"",IF(OFFSET(TH!O$1,SMALL(Dong1,ROWS($1:39)),)="1111",OFFSET(TH!M$1,SMALL(Dong1,ROWS($1:39)),),0))</f>
        <v>0</v>
      </c>
      <c r="I52" s="172">
        <f t="shared" ca="1" si="0"/>
        <v>1334004310</v>
      </c>
      <c r="J52" s="177"/>
    </row>
    <row r="53" spans="1:10" ht="19.5" customHeight="1">
      <c r="A53" s="171">
        <f ca="1">IF(ROWS($1:40)&gt;COUNT(Dong1),"",OFFSET(TH!C$1,SMALL(Dong1,ROWS($1:40)),))</f>
        <v>42494</v>
      </c>
      <c r="B53" s="171">
        <f ca="1">IF(ROWS($1:40)&gt;COUNT(Dong1),"",OFFSET(TH!E$1,SMALL(Dong1,ROWS($1:40)),))</f>
        <v>42494</v>
      </c>
      <c r="C53" s="172" t="str">
        <f ca="1">IF(ROWS($1:40)&gt;COUNT(Dong1),"",IF(OFFSET(TH!N$1,SMALL(Dong1,ROWS($1:40)),)="1111",OFFSET(TH!D$1,SMALL(Dong1,ROWS($1:40)),),""))</f>
        <v/>
      </c>
      <c r="D53" s="173" t="str">
        <f ca="1">IF(ROWS($1:40)&gt;COUNT(Dong1),"",IF(OFFSET(TH!O$1,SMALL(Dong1,ROWS($1:40)),)="1111",OFFSET(TH!D$1,SMALL(Dong1,ROWS($1:40)),),""))</f>
        <v>C25</v>
      </c>
      <c r="E53" s="443" t="str">
        <f ca="1">IF(ROWS($1:40)&gt;COUNT(Dong1),"",OFFSET(TH!F$1,SMALL(Dong1,ROWS($1:40)),))</f>
        <v>Trả vốn mượn</v>
      </c>
      <c r="F53" s="175" t="str">
        <f ca="1">IF(ROWS($1:40)&gt;COUNT(Dong1),"",IF(OFFSET(TH!O$1,SMALL(Dong1,ROWS($1:40)),)="1111",OFFSET(TH!N$1,SMALL(Dong1,ROWS($1:40)),),OFFSET(TH!O$1,SMALL(Dong1,ROWS($1:40)),)))</f>
        <v>1388</v>
      </c>
      <c r="G53" s="176">
        <f ca="1">IF(ROWS($1:40)&gt;COUNT(Dong1),"",IF(OFFSET(TH!N$1,SMALL(Dong1,ROWS($1:40)),)="1111",OFFSET(TH!M$1,SMALL(Dong1,ROWS($1:40)),),0))</f>
        <v>0</v>
      </c>
      <c r="H53" s="174">
        <f ca="1">IF(ROWS($1:40)&gt;COUNT(Dong1),"",IF(OFFSET(TH!O$1,SMALL(Dong1,ROWS($1:40)),)="1111",OFFSET(TH!M$1,SMALL(Dong1,ROWS($1:40)),),0))</f>
        <v>95000000</v>
      </c>
      <c r="I53" s="172">
        <f t="shared" ca="1" si="0"/>
        <v>1239004310</v>
      </c>
      <c r="J53" s="177"/>
    </row>
    <row r="54" spans="1:10" ht="19.5" customHeight="1">
      <c r="A54" s="171">
        <f ca="1">IF(ROWS($1:41)&gt;COUNT(Dong1),"",OFFSET(TH!C$1,SMALL(Dong1,ROWS($1:41)),))</f>
        <v>42500</v>
      </c>
      <c r="B54" s="171">
        <f ca="1">IF(ROWS($1:41)&gt;COUNT(Dong1),"",OFFSET(TH!E$1,SMALL(Dong1,ROWS($1:41)),))</f>
        <v>42500</v>
      </c>
      <c r="C54" s="172" t="str">
        <f ca="1">IF(ROWS($1:41)&gt;COUNT(Dong1),"",IF(OFFSET(TH!N$1,SMALL(Dong1,ROWS($1:41)),)="1111",OFFSET(TH!D$1,SMALL(Dong1,ROWS($1:41)),),""))</f>
        <v/>
      </c>
      <c r="D54" s="173" t="str">
        <f ca="1">IF(ROWS($1:41)&gt;COUNT(Dong1),"",IF(OFFSET(TH!O$1,SMALL(Dong1,ROWS($1:41)),)="1111",OFFSET(TH!D$1,SMALL(Dong1,ROWS($1:41)),),""))</f>
        <v>C26</v>
      </c>
      <c r="E54" s="443" t="str">
        <f ca="1">IF(ROWS($1:41)&gt;COUNT(Dong1),"",OFFSET(TH!F$1,SMALL(Dong1,ROWS($1:41)),))</f>
        <v>Phí dịch vụ bảo vệ T4/2016</v>
      </c>
      <c r="F54" s="175" t="str">
        <f ca="1">IF(ROWS($1:41)&gt;COUNT(Dong1),"",IF(OFFSET(TH!O$1,SMALL(Dong1,ROWS($1:41)),)="1111",OFFSET(TH!N$1,SMALL(Dong1,ROWS($1:41)),),OFFSET(TH!O$1,SMALL(Dong1,ROWS($1:41)),)))</f>
        <v>642</v>
      </c>
      <c r="G54" s="176">
        <f ca="1">IF(ROWS($1:41)&gt;COUNT(Dong1),"",IF(OFFSET(TH!N$1,SMALL(Dong1,ROWS($1:41)),)="1111",OFFSET(TH!M$1,SMALL(Dong1,ROWS($1:41)),),0))</f>
        <v>0</v>
      </c>
      <c r="H54" s="174">
        <f ca="1">IF(ROWS($1:41)&gt;COUNT(Dong1),"",IF(OFFSET(TH!O$1,SMALL(Dong1,ROWS($1:41)),)="1111",OFFSET(TH!M$1,SMALL(Dong1,ROWS($1:41)),),0))</f>
        <v>7272727</v>
      </c>
      <c r="I54" s="172">
        <f t="shared" ca="1" si="0"/>
        <v>1231731583</v>
      </c>
      <c r="J54" s="177"/>
    </row>
    <row r="55" spans="1:10" ht="19.5" customHeight="1">
      <c r="A55" s="171">
        <f ca="1">IF(ROWS($1:42)&gt;COUNT(Dong1),"",OFFSET(TH!C$1,SMALL(Dong1,ROWS($1:42)),))</f>
        <v>42500</v>
      </c>
      <c r="B55" s="171">
        <f ca="1">IF(ROWS($1:42)&gt;COUNT(Dong1),"",OFFSET(TH!E$1,SMALL(Dong1,ROWS($1:42)),))</f>
        <v>42500</v>
      </c>
      <c r="C55" s="172" t="str">
        <f ca="1">IF(ROWS($1:42)&gt;COUNT(Dong1),"",IF(OFFSET(TH!N$1,SMALL(Dong1,ROWS($1:42)),)="1111",OFFSET(TH!D$1,SMALL(Dong1,ROWS($1:42)),),""))</f>
        <v/>
      </c>
      <c r="D55" s="173" t="str">
        <f ca="1">IF(ROWS($1:42)&gt;COUNT(Dong1),"",IF(OFFSET(TH!O$1,SMALL(Dong1,ROWS($1:42)),)="1111",OFFSET(TH!D$1,SMALL(Dong1,ROWS($1:42)),),""))</f>
        <v>C26</v>
      </c>
      <c r="E55" s="443" t="str">
        <f ca="1">IF(ROWS($1:42)&gt;COUNT(Dong1),"",OFFSET(TH!F$1,SMALL(Dong1,ROWS($1:42)),))</f>
        <v>VAT Phí dịch vụ bảo vệ T4/2016</v>
      </c>
      <c r="F55" s="175" t="str">
        <f ca="1">IF(ROWS($1:42)&gt;COUNT(Dong1),"",IF(OFFSET(TH!O$1,SMALL(Dong1,ROWS($1:42)),)="1111",OFFSET(TH!N$1,SMALL(Dong1,ROWS($1:42)),),OFFSET(TH!O$1,SMALL(Dong1,ROWS($1:42)),)))</f>
        <v>1331</v>
      </c>
      <c r="G55" s="176">
        <f ca="1">IF(ROWS($1:42)&gt;COUNT(Dong1),"",IF(OFFSET(TH!N$1,SMALL(Dong1,ROWS($1:42)),)="1111",OFFSET(TH!M$1,SMALL(Dong1,ROWS($1:42)),),0))</f>
        <v>0</v>
      </c>
      <c r="H55" s="174">
        <f ca="1">IF(ROWS($1:42)&gt;COUNT(Dong1),"",IF(OFFSET(TH!O$1,SMALL(Dong1,ROWS($1:42)),)="1111",OFFSET(TH!M$1,SMALL(Dong1,ROWS($1:42)),),0))</f>
        <v>727273</v>
      </c>
      <c r="I55" s="172">
        <f t="shared" ca="1" si="0"/>
        <v>1231004310</v>
      </c>
      <c r="J55" s="177"/>
    </row>
    <row r="56" spans="1:10" ht="19.5" customHeight="1">
      <c r="A56" s="171">
        <f ca="1">IF(ROWS($1:43)&gt;COUNT(Dong1),"",OFFSET(TH!C$1,SMALL(Dong1,ROWS($1:43)),))</f>
        <v>42500</v>
      </c>
      <c r="B56" s="171">
        <f ca="1">IF(ROWS($1:43)&gt;COUNT(Dong1),"",OFFSET(TH!E$1,SMALL(Dong1,ROWS($1:43)),))</f>
        <v>42500</v>
      </c>
      <c r="C56" s="172" t="str">
        <f ca="1">IF(ROWS($1:43)&gt;COUNT(Dong1),"",IF(OFFSET(TH!N$1,SMALL(Dong1,ROWS($1:43)),)="1111",OFFSET(TH!D$1,SMALL(Dong1,ROWS($1:43)),),""))</f>
        <v/>
      </c>
      <c r="D56" s="173" t="str">
        <f ca="1">IF(ROWS($1:43)&gt;COUNT(Dong1),"",IF(OFFSET(TH!O$1,SMALL(Dong1,ROWS($1:43)),)="1111",OFFSET(TH!D$1,SMALL(Dong1,ROWS($1:43)),),""))</f>
        <v>C27</v>
      </c>
      <c r="E56" s="443" t="str">
        <f ca="1">IF(ROWS($1:43)&gt;COUNT(Dong1),"",OFFSET(TH!F$1,SMALL(Dong1,ROWS($1:43)),))</f>
        <v>Dụng cụ thử nghiêm</v>
      </c>
      <c r="F56" s="175" t="str">
        <f ca="1">IF(ROWS($1:43)&gt;COUNT(Dong1),"",IF(OFFSET(TH!O$1,SMALL(Dong1,ROWS($1:43)),)="1111",OFFSET(TH!N$1,SMALL(Dong1,ROWS($1:43)),),OFFSET(TH!O$1,SMALL(Dong1,ROWS($1:43)),)))</f>
        <v>642</v>
      </c>
      <c r="G56" s="176">
        <f ca="1">IF(ROWS($1:43)&gt;COUNT(Dong1),"",IF(OFFSET(TH!N$1,SMALL(Dong1,ROWS($1:43)),)="1111",OFFSET(TH!M$1,SMALL(Dong1,ROWS($1:43)),),0))</f>
        <v>0</v>
      </c>
      <c r="H56" s="174">
        <f ca="1">IF(ROWS($1:43)&gt;COUNT(Dong1),"",IF(OFFSET(TH!O$1,SMALL(Dong1,ROWS($1:43)),)="1111",OFFSET(TH!M$1,SMALL(Dong1,ROWS($1:43)),),0))</f>
        <v>1479091</v>
      </c>
      <c r="I56" s="172">
        <f t="shared" ca="1" si="0"/>
        <v>1229525219</v>
      </c>
      <c r="J56" s="177"/>
    </row>
    <row r="57" spans="1:10" ht="19.5" customHeight="1">
      <c r="A57" s="171">
        <f ca="1">IF(ROWS($1:44)&gt;COUNT(Dong1),"",OFFSET(TH!C$1,SMALL(Dong1,ROWS($1:44)),))</f>
        <v>42500</v>
      </c>
      <c r="B57" s="171">
        <f ca="1">IF(ROWS($1:44)&gt;COUNT(Dong1),"",OFFSET(TH!E$1,SMALL(Dong1,ROWS($1:44)),))</f>
        <v>42500</v>
      </c>
      <c r="C57" s="172" t="str">
        <f ca="1">IF(ROWS($1:44)&gt;COUNT(Dong1),"",IF(OFFSET(TH!N$1,SMALL(Dong1,ROWS($1:44)),)="1111",OFFSET(TH!D$1,SMALL(Dong1,ROWS($1:44)),),""))</f>
        <v/>
      </c>
      <c r="D57" s="173" t="str">
        <f ca="1">IF(ROWS($1:44)&gt;COUNT(Dong1),"",IF(OFFSET(TH!O$1,SMALL(Dong1,ROWS($1:44)),)="1111",OFFSET(TH!D$1,SMALL(Dong1,ROWS($1:44)),),""))</f>
        <v>C27</v>
      </c>
      <c r="E57" s="443" t="str">
        <f ca="1">IF(ROWS($1:44)&gt;COUNT(Dong1),"",OFFSET(TH!F$1,SMALL(Dong1,ROWS($1:44)),))</f>
        <v>VAT Dụng cụ thử nghiêm</v>
      </c>
      <c r="F57" s="175" t="str">
        <f ca="1">IF(ROWS($1:44)&gt;COUNT(Dong1),"",IF(OFFSET(TH!O$1,SMALL(Dong1,ROWS($1:44)),)="1111",OFFSET(TH!N$1,SMALL(Dong1,ROWS($1:44)),),OFFSET(TH!O$1,SMALL(Dong1,ROWS($1:44)),)))</f>
        <v>1331</v>
      </c>
      <c r="G57" s="176">
        <f ca="1">IF(ROWS($1:44)&gt;COUNT(Dong1),"",IF(OFFSET(TH!N$1,SMALL(Dong1,ROWS($1:44)),)="1111",OFFSET(TH!M$1,SMALL(Dong1,ROWS($1:44)),),0))</f>
        <v>0</v>
      </c>
      <c r="H57" s="174">
        <f ca="1">IF(ROWS($1:44)&gt;COUNT(Dong1),"",IF(OFFSET(TH!O$1,SMALL(Dong1,ROWS($1:44)),)="1111",OFFSET(TH!M$1,SMALL(Dong1,ROWS($1:44)),),0))</f>
        <v>147909</v>
      </c>
      <c r="I57" s="172">
        <f t="shared" ca="1" si="0"/>
        <v>1229377310</v>
      </c>
      <c r="J57" s="177"/>
    </row>
    <row r="58" spans="1:10" ht="19.5" customHeight="1">
      <c r="A58" s="171">
        <f ca="1">IF(ROWS($1:45)&gt;COUNT(Dong1),"",OFFSET(TH!C$1,SMALL(Dong1,ROWS($1:45)),))</f>
        <v>42503</v>
      </c>
      <c r="B58" s="171">
        <f ca="1">IF(ROWS($1:45)&gt;COUNT(Dong1),"",OFFSET(TH!E$1,SMALL(Dong1,ROWS($1:45)),))</f>
        <v>42503</v>
      </c>
      <c r="C58" s="172" t="str">
        <f ca="1">IF(ROWS($1:45)&gt;COUNT(Dong1),"",IF(OFFSET(TH!N$1,SMALL(Dong1,ROWS($1:45)),)="1111",OFFSET(TH!D$1,SMALL(Dong1,ROWS($1:45)),),""))</f>
        <v/>
      </c>
      <c r="D58" s="173" t="str">
        <f ca="1">IF(ROWS($1:45)&gt;COUNT(Dong1),"",IF(OFFSET(TH!O$1,SMALL(Dong1,ROWS($1:45)),)="1111",OFFSET(TH!D$1,SMALL(Dong1,ROWS($1:45)),),""))</f>
        <v>C28</v>
      </c>
      <c r="E58" s="443" t="str">
        <f ca="1">IF(ROWS($1:45)&gt;COUNT(Dong1),"",OFFSET(TH!F$1,SMALL(Dong1,ROWS($1:45)),))</f>
        <v>Vật liệu điện</v>
      </c>
      <c r="F58" s="175" t="str">
        <f ca="1">IF(ROWS($1:45)&gt;COUNT(Dong1),"",IF(OFFSET(TH!O$1,SMALL(Dong1,ROWS($1:45)),)="1111",OFFSET(TH!N$1,SMALL(Dong1,ROWS($1:45)),),OFFSET(TH!O$1,SMALL(Dong1,ROWS($1:45)),)))</f>
        <v>2412</v>
      </c>
      <c r="G58" s="176">
        <f ca="1">IF(ROWS($1:45)&gt;COUNT(Dong1),"",IF(OFFSET(TH!N$1,SMALL(Dong1,ROWS($1:45)),)="1111",OFFSET(TH!M$1,SMALL(Dong1,ROWS($1:45)),),0))</f>
        <v>0</v>
      </c>
      <c r="H58" s="174">
        <f ca="1">IF(ROWS($1:45)&gt;COUNT(Dong1),"",IF(OFFSET(TH!O$1,SMALL(Dong1,ROWS($1:45)),)="1111",OFFSET(TH!M$1,SMALL(Dong1,ROWS($1:45)),),0))</f>
        <v>1700000</v>
      </c>
      <c r="I58" s="172">
        <f t="shared" ca="1" si="0"/>
        <v>1227677310</v>
      </c>
      <c r="J58" s="177"/>
    </row>
    <row r="59" spans="1:10" ht="19.5" customHeight="1">
      <c r="A59" s="171">
        <f ca="1">IF(ROWS($1:46)&gt;COUNT(Dong1),"",OFFSET(TH!C$1,SMALL(Dong1,ROWS($1:46)),))</f>
        <v>42507</v>
      </c>
      <c r="B59" s="171">
        <f ca="1">IF(ROWS($1:46)&gt;COUNT(Dong1),"",OFFSET(TH!E$1,SMALL(Dong1,ROWS($1:46)),))</f>
        <v>42507</v>
      </c>
      <c r="C59" s="172" t="str">
        <f ca="1">IF(ROWS($1:46)&gt;COUNT(Dong1),"",IF(OFFSET(TH!N$1,SMALL(Dong1,ROWS($1:46)),)="1111",OFFSET(TH!D$1,SMALL(Dong1,ROWS($1:46)),),""))</f>
        <v/>
      </c>
      <c r="D59" s="173" t="str">
        <f ca="1">IF(ROWS($1:46)&gt;COUNT(Dong1),"",IF(OFFSET(TH!O$1,SMALL(Dong1,ROWS($1:46)),)="1111",OFFSET(TH!D$1,SMALL(Dong1,ROWS($1:46)),),""))</f>
        <v>C29</v>
      </c>
      <c r="E59" s="443" t="str">
        <f ca="1">IF(ROWS($1:46)&gt;COUNT(Dong1),"",OFFSET(TH!F$1,SMALL(Dong1,ROWS($1:46)),))</f>
        <v>Cước điện thoại + Internet T4/2016</v>
      </c>
      <c r="F59" s="175" t="str">
        <f ca="1">IF(ROWS($1:46)&gt;COUNT(Dong1),"",IF(OFFSET(TH!O$1,SMALL(Dong1,ROWS($1:46)),)="1111",OFFSET(TH!N$1,SMALL(Dong1,ROWS($1:46)),),OFFSET(TH!O$1,SMALL(Dong1,ROWS($1:46)),)))</f>
        <v>642</v>
      </c>
      <c r="G59" s="176">
        <f ca="1">IF(ROWS($1:46)&gt;COUNT(Dong1),"",IF(OFFSET(TH!N$1,SMALL(Dong1,ROWS($1:46)),)="1111",OFFSET(TH!M$1,SMALL(Dong1,ROWS($1:46)),),0))</f>
        <v>0</v>
      </c>
      <c r="H59" s="174">
        <f ca="1">IF(ROWS($1:46)&gt;COUNT(Dong1),"",IF(OFFSET(TH!O$1,SMALL(Dong1,ROWS($1:46)),)="1111",OFFSET(TH!M$1,SMALL(Dong1,ROWS($1:46)),),0))</f>
        <v>481314</v>
      </c>
      <c r="I59" s="172">
        <f t="shared" ca="1" si="0"/>
        <v>1227195996</v>
      </c>
      <c r="J59" s="177"/>
    </row>
    <row r="60" spans="1:10" ht="19.5" customHeight="1">
      <c r="A60" s="171">
        <f ca="1">IF(ROWS($1:47)&gt;COUNT(Dong1),"",OFFSET(TH!C$1,SMALL(Dong1,ROWS($1:47)),))</f>
        <v>42507</v>
      </c>
      <c r="B60" s="171">
        <f ca="1">IF(ROWS($1:47)&gt;COUNT(Dong1),"",OFFSET(TH!E$1,SMALL(Dong1,ROWS($1:47)),))</f>
        <v>42507</v>
      </c>
      <c r="C60" s="172" t="str">
        <f ca="1">IF(ROWS($1:47)&gt;COUNT(Dong1),"",IF(OFFSET(TH!N$1,SMALL(Dong1,ROWS($1:47)),)="1111",OFFSET(TH!D$1,SMALL(Dong1,ROWS($1:47)),),""))</f>
        <v/>
      </c>
      <c r="D60" s="173" t="str">
        <f ca="1">IF(ROWS($1:47)&gt;COUNT(Dong1),"",IF(OFFSET(TH!O$1,SMALL(Dong1,ROWS($1:47)),)="1111",OFFSET(TH!D$1,SMALL(Dong1,ROWS($1:47)),),""))</f>
        <v>C29</v>
      </c>
      <c r="E60" s="443" t="str">
        <f ca="1">IF(ROWS($1:47)&gt;COUNT(Dong1),"",OFFSET(TH!F$1,SMALL(Dong1,ROWS($1:47)),))</f>
        <v>VAT Cước điện thoại + Internet T4/2016</v>
      </c>
      <c r="F60" s="175" t="str">
        <f ca="1">IF(ROWS($1:47)&gt;COUNT(Dong1),"",IF(OFFSET(TH!O$1,SMALL(Dong1,ROWS($1:47)),)="1111",OFFSET(TH!N$1,SMALL(Dong1,ROWS($1:47)),),OFFSET(TH!O$1,SMALL(Dong1,ROWS($1:47)),)))</f>
        <v>1331</v>
      </c>
      <c r="G60" s="176">
        <f ca="1">IF(ROWS($1:47)&gt;COUNT(Dong1),"",IF(OFFSET(TH!N$1,SMALL(Dong1,ROWS($1:47)),)="1111",OFFSET(TH!M$1,SMALL(Dong1,ROWS($1:47)),),0))</f>
        <v>0</v>
      </c>
      <c r="H60" s="174">
        <f ca="1">IF(ROWS($1:47)&gt;COUNT(Dong1),"",IF(OFFSET(TH!O$1,SMALL(Dong1,ROWS($1:47)),)="1111",OFFSET(TH!M$1,SMALL(Dong1,ROWS($1:47)),),0))</f>
        <v>48131</v>
      </c>
      <c r="I60" s="172">
        <f t="shared" ca="1" si="0"/>
        <v>1227147865</v>
      </c>
      <c r="J60" s="177"/>
    </row>
    <row r="61" spans="1:10" ht="19.5" customHeight="1">
      <c r="A61" s="171">
        <f ca="1">IF(ROWS($1:48)&gt;COUNT(Dong1),"",OFFSET(TH!C$1,SMALL(Dong1,ROWS($1:48)),))</f>
        <v>42507</v>
      </c>
      <c r="B61" s="171">
        <f ca="1">IF(ROWS($1:48)&gt;COUNT(Dong1),"",OFFSET(TH!E$1,SMALL(Dong1,ROWS($1:48)),))</f>
        <v>42507</v>
      </c>
      <c r="C61" s="172" t="str">
        <f ca="1">IF(ROWS($1:48)&gt;COUNT(Dong1),"",IF(OFFSET(TH!N$1,SMALL(Dong1,ROWS($1:48)),)="1111",OFFSET(TH!D$1,SMALL(Dong1,ROWS($1:48)),),""))</f>
        <v/>
      </c>
      <c r="D61" s="173" t="str">
        <f ca="1">IF(ROWS($1:48)&gt;COUNT(Dong1),"",IF(OFFSET(TH!O$1,SMALL(Dong1,ROWS($1:48)),)="1111",OFFSET(TH!D$1,SMALL(Dong1,ROWS($1:48)),),""))</f>
        <v>C30</v>
      </c>
      <c r="E61" s="443" t="str">
        <f ca="1">IF(ROWS($1:48)&gt;COUNT(Dong1),"",OFFSET(TH!F$1,SMALL(Dong1,ROWS($1:48)),))</f>
        <v>Vật liệu điện</v>
      </c>
      <c r="F61" s="175" t="str">
        <f ca="1">IF(ROWS($1:48)&gt;COUNT(Dong1),"",IF(OFFSET(TH!O$1,SMALL(Dong1,ROWS($1:48)),)="1111",OFFSET(TH!N$1,SMALL(Dong1,ROWS($1:48)),),OFFSET(TH!O$1,SMALL(Dong1,ROWS($1:48)),)))</f>
        <v>2412</v>
      </c>
      <c r="G61" s="176">
        <f ca="1">IF(ROWS($1:48)&gt;COUNT(Dong1),"",IF(OFFSET(TH!N$1,SMALL(Dong1,ROWS($1:48)),)="1111",OFFSET(TH!M$1,SMALL(Dong1,ROWS($1:48)),),0))</f>
        <v>0</v>
      </c>
      <c r="H61" s="174">
        <f ca="1">IF(ROWS($1:48)&gt;COUNT(Dong1),"",IF(OFFSET(TH!O$1,SMALL(Dong1,ROWS($1:48)),)="1111",OFFSET(TH!M$1,SMALL(Dong1,ROWS($1:48)),),0))</f>
        <v>3800000</v>
      </c>
      <c r="I61" s="172">
        <f t="shared" ca="1" si="0"/>
        <v>1223347865</v>
      </c>
      <c r="J61" s="177"/>
    </row>
    <row r="62" spans="1:10" ht="19.5" customHeight="1">
      <c r="A62" s="171">
        <f ca="1">IF(ROWS($1:49)&gt;COUNT(Dong1),"",OFFSET(TH!C$1,SMALL(Dong1,ROWS($1:49)),))</f>
        <v>42509</v>
      </c>
      <c r="B62" s="171">
        <f ca="1">IF(ROWS($1:49)&gt;COUNT(Dong1),"",OFFSET(TH!E$1,SMALL(Dong1,ROWS($1:49)),))</f>
        <v>42509</v>
      </c>
      <c r="C62" s="172" t="str">
        <f ca="1">IF(ROWS($1:49)&gt;COUNT(Dong1),"",IF(OFFSET(TH!N$1,SMALL(Dong1,ROWS($1:49)),)="1111",OFFSET(TH!D$1,SMALL(Dong1,ROWS($1:49)),),""))</f>
        <v/>
      </c>
      <c r="D62" s="173" t="str">
        <f ca="1">IF(ROWS($1:49)&gt;COUNT(Dong1),"",IF(OFFSET(TH!O$1,SMALL(Dong1,ROWS($1:49)),)="1111",OFFSET(TH!D$1,SMALL(Dong1,ROWS($1:49)),),""))</f>
        <v>C31</v>
      </c>
      <c r="E62" s="443" t="str">
        <f ca="1">IF(ROWS($1:49)&gt;COUNT(Dong1),"",OFFSET(TH!F$1,SMALL(Dong1,ROWS($1:49)),))</f>
        <v>Vật liệu xây dựng</v>
      </c>
      <c r="F62" s="175" t="str">
        <f ca="1">IF(ROWS($1:49)&gt;COUNT(Dong1),"",IF(OFFSET(TH!O$1,SMALL(Dong1,ROWS($1:49)),)="1111",OFFSET(TH!N$1,SMALL(Dong1,ROWS($1:49)),),OFFSET(TH!O$1,SMALL(Dong1,ROWS($1:49)),)))</f>
        <v>2412</v>
      </c>
      <c r="G62" s="176">
        <f ca="1">IF(ROWS($1:49)&gt;COUNT(Dong1),"",IF(OFFSET(TH!N$1,SMALL(Dong1,ROWS($1:49)),)="1111",OFFSET(TH!M$1,SMALL(Dong1,ROWS($1:49)),),0))</f>
        <v>0</v>
      </c>
      <c r="H62" s="174">
        <f ca="1">IF(ROWS($1:49)&gt;COUNT(Dong1),"",IF(OFFSET(TH!O$1,SMALL(Dong1,ROWS($1:49)),)="1111",OFFSET(TH!M$1,SMALL(Dong1,ROWS($1:49)),),0))</f>
        <v>1145000</v>
      </c>
      <c r="I62" s="172">
        <f t="shared" ca="1" si="0"/>
        <v>1222202865</v>
      </c>
      <c r="J62" s="177"/>
    </row>
    <row r="63" spans="1:10" ht="19.5" customHeight="1">
      <c r="A63" s="171">
        <f ca="1">IF(ROWS($1:50)&gt;COUNT(Dong1),"",OFFSET(TH!C$1,SMALL(Dong1,ROWS($1:50)),))</f>
        <v>42509</v>
      </c>
      <c r="B63" s="171">
        <f ca="1">IF(ROWS($1:50)&gt;COUNT(Dong1),"",OFFSET(TH!E$1,SMALL(Dong1,ROWS($1:50)),))</f>
        <v>42509</v>
      </c>
      <c r="C63" s="172" t="str">
        <f ca="1">IF(ROWS($1:50)&gt;COUNT(Dong1),"",IF(OFFSET(TH!N$1,SMALL(Dong1,ROWS($1:50)),)="1111",OFFSET(TH!D$1,SMALL(Dong1,ROWS($1:50)),),""))</f>
        <v/>
      </c>
      <c r="D63" s="173" t="str">
        <f ca="1">IF(ROWS($1:50)&gt;COUNT(Dong1),"",IF(OFFSET(TH!O$1,SMALL(Dong1,ROWS($1:50)),)="1111",OFFSET(TH!D$1,SMALL(Dong1,ROWS($1:50)),),""))</f>
        <v>C32</v>
      </c>
      <c r="E63" s="443" t="str">
        <f ca="1">IF(ROWS($1:50)&gt;COUNT(Dong1),"",OFFSET(TH!F$1,SMALL(Dong1,ROWS($1:50)),))</f>
        <v>Trả vốn mượn</v>
      </c>
      <c r="F63" s="175" t="str">
        <f ca="1">IF(ROWS($1:50)&gt;COUNT(Dong1),"",IF(OFFSET(TH!O$1,SMALL(Dong1,ROWS($1:50)),)="1111",OFFSET(TH!N$1,SMALL(Dong1,ROWS($1:50)),),OFFSET(TH!O$1,SMALL(Dong1,ROWS($1:50)),)))</f>
        <v>1388</v>
      </c>
      <c r="G63" s="176">
        <f ca="1">IF(ROWS($1:50)&gt;COUNT(Dong1),"",IF(OFFSET(TH!N$1,SMALL(Dong1,ROWS($1:50)),)="1111",OFFSET(TH!M$1,SMALL(Dong1,ROWS($1:50)),),0))</f>
        <v>0</v>
      </c>
      <c r="H63" s="174">
        <f ca="1">IF(ROWS($1:50)&gt;COUNT(Dong1),"",IF(OFFSET(TH!O$1,SMALL(Dong1,ROWS($1:50)),)="1111",OFFSET(TH!M$1,SMALL(Dong1,ROWS($1:50)),),0))</f>
        <v>14000000</v>
      </c>
      <c r="I63" s="172">
        <f t="shared" ca="1" si="0"/>
        <v>1208202865</v>
      </c>
      <c r="J63" s="177"/>
    </row>
    <row r="64" spans="1:10" ht="19.5" customHeight="1">
      <c r="A64" s="171">
        <f ca="1">IF(ROWS($1:51)&gt;COUNT(Dong1),"",OFFSET(TH!C$1,SMALL(Dong1,ROWS($1:51)),))</f>
        <v>42510</v>
      </c>
      <c r="B64" s="171">
        <f ca="1">IF(ROWS($1:51)&gt;COUNT(Dong1),"",OFFSET(TH!E$1,SMALL(Dong1,ROWS($1:51)),))</f>
        <v>42510</v>
      </c>
      <c r="C64" s="172" t="str">
        <f ca="1">IF(ROWS($1:51)&gt;COUNT(Dong1),"",IF(OFFSET(TH!N$1,SMALL(Dong1,ROWS($1:51)),)="1111",OFFSET(TH!D$1,SMALL(Dong1,ROWS($1:51)),),""))</f>
        <v/>
      </c>
      <c r="D64" s="173" t="str">
        <f ca="1">IF(ROWS($1:51)&gt;COUNT(Dong1),"",IF(OFFSET(TH!O$1,SMALL(Dong1,ROWS($1:51)),)="1111",OFFSET(TH!D$1,SMALL(Dong1,ROWS($1:51)),),""))</f>
        <v>C33</v>
      </c>
      <c r="E64" s="443" t="str">
        <f ca="1">IF(ROWS($1:51)&gt;COUNT(Dong1),"",OFFSET(TH!F$1,SMALL(Dong1,ROWS($1:51)),))</f>
        <v>Clorin tẩy rửa xưởng</v>
      </c>
      <c r="F64" s="175" t="str">
        <f ca="1">IF(ROWS($1:51)&gt;COUNT(Dong1),"",IF(OFFSET(TH!O$1,SMALL(Dong1,ROWS($1:51)),)="1111",OFFSET(TH!N$1,SMALL(Dong1,ROWS($1:51)),),OFFSET(TH!O$1,SMALL(Dong1,ROWS($1:51)),)))</f>
        <v>642</v>
      </c>
      <c r="G64" s="176">
        <f ca="1">IF(ROWS($1:51)&gt;COUNT(Dong1),"",IF(OFFSET(TH!N$1,SMALL(Dong1,ROWS($1:51)),)="1111",OFFSET(TH!M$1,SMALL(Dong1,ROWS($1:51)),),0))</f>
        <v>0</v>
      </c>
      <c r="H64" s="174">
        <f ca="1">IF(ROWS($1:51)&gt;COUNT(Dong1),"",IF(OFFSET(TH!O$1,SMALL(Dong1,ROWS($1:51)),)="1111",OFFSET(TH!M$1,SMALL(Dong1,ROWS($1:51)),),0))</f>
        <v>8409091</v>
      </c>
      <c r="I64" s="172">
        <f t="shared" ca="1" si="0"/>
        <v>1199793774</v>
      </c>
      <c r="J64" s="177"/>
    </row>
    <row r="65" spans="1:10" ht="19.5" customHeight="1">
      <c r="A65" s="171">
        <f ca="1">IF(ROWS($1:52)&gt;COUNT(Dong1),"",OFFSET(TH!C$1,SMALL(Dong1,ROWS($1:52)),))</f>
        <v>42510</v>
      </c>
      <c r="B65" s="171">
        <f ca="1">IF(ROWS($1:52)&gt;COUNT(Dong1),"",OFFSET(TH!E$1,SMALL(Dong1,ROWS($1:52)),))</f>
        <v>42510</v>
      </c>
      <c r="C65" s="172" t="str">
        <f ca="1">IF(ROWS($1:52)&gt;COUNT(Dong1),"",IF(OFFSET(TH!N$1,SMALL(Dong1,ROWS($1:52)),)="1111",OFFSET(TH!D$1,SMALL(Dong1,ROWS($1:52)),),""))</f>
        <v/>
      </c>
      <c r="D65" s="173" t="str">
        <f ca="1">IF(ROWS($1:52)&gt;COUNT(Dong1),"",IF(OFFSET(TH!O$1,SMALL(Dong1,ROWS($1:52)),)="1111",OFFSET(TH!D$1,SMALL(Dong1,ROWS($1:52)),),""))</f>
        <v>C33</v>
      </c>
      <c r="E65" s="443" t="str">
        <f ca="1">IF(ROWS($1:52)&gt;COUNT(Dong1),"",OFFSET(TH!F$1,SMALL(Dong1,ROWS($1:52)),))</f>
        <v>VAT Clorin tẩy rửa xưởng</v>
      </c>
      <c r="F65" s="175" t="str">
        <f ca="1">IF(ROWS($1:52)&gt;COUNT(Dong1),"",IF(OFFSET(TH!O$1,SMALL(Dong1,ROWS($1:52)),)="1111",OFFSET(TH!N$1,SMALL(Dong1,ROWS($1:52)),),OFFSET(TH!O$1,SMALL(Dong1,ROWS($1:52)),)))</f>
        <v>1331</v>
      </c>
      <c r="G65" s="176">
        <f ca="1">IF(ROWS($1:52)&gt;COUNT(Dong1),"",IF(OFFSET(TH!N$1,SMALL(Dong1,ROWS($1:52)),)="1111",OFFSET(TH!M$1,SMALL(Dong1,ROWS($1:52)),),0))</f>
        <v>0</v>
      </c>
      <c r="H65" s="174">
        <f ca="1">IF(ROWS($1:52)&gt;COUNT(Dong1),"",IF(OFFSET(TH!O$1,SMALL(Dong1,ROWS($1:52)),)="1111",OFFSET(TH!M$1,SMALL(Dong1,ROWS($1:52)),),0))</f>
        <v>840909</v>
      </c>
      <c r="I65" s="172">
        <f t="shared" ca="1" si="0"/>
        <v>1198952865</v>
      </c>
      <c r="J65" s="177"/>
    </row>
    <row r="66" spans="1:10" ht="19.5" customHeight="1">
      <c r="A66" s="171">
        <f ca="1">IF(ROWS($1:53)&gt;COUNT(Dong1),"",OFFSET(TH!C$1,SMALL(Dong1,ROWS($1:53)),))</f>
        <v>42515</v>
      </c>
      <c r="B66" s="171">
        <f ca="1">IF(ROWS($1:53)&gt;COUNT(Dong1),"",OFFSET(TH!E$1,SMALL(Dong1,ROWS($1:53)),))</f>
        <v>42515</v>
      </c>
      <c r="C66" s="172" t="str">
        <f ca="1">IF(ROWS($1:53)&gt;COUNT(Dong1),"",IF(OFFSET(TH!N$1,SMALL(Dong1,ROWS($1:53)),)="1111",OFFSET(TH!D$1,SMALL(Dong1,ROWS($1:53)),),""))</f>
        <v/>
      </c>
      <c r="D66" s="173" t="str">
        <f ca="1">IF(ROWS($1:53)&gt;COUNT(Dong1),"",IF(OFFSET(TH!O$1,SMALL(Dong1,ROWS($1:53)),)="1111",OFFSET(TH!D$1,SMALL(Dong1,ROWS($1:53)),),""))</f>
        <v>C34</v>
      </c>
      <c r="E66" s="443" t="str">
        <f ca="1">IF(ROWS($1:53)&gt;COUNT(Dong1),"",OFFSET(TH!F$1,SMALL(Dong1,ROWS($1:53)),))</f>
        <v>Trả vốn mượn</v>
      </c>
      <c r="F66" s="175" t="str">
        <f ca="1">IF(ROWS($1:53)&gt;COUNT(Dong1),"",IF(OFFSET(TH!O$1,SMALL(Dong1,ROWS($1:53)),)="1111",OFFSET(TH!N$1,SMALL(Dong1,ROWS($1:53)),),OFFSET(TH!O$1,SMALL(Dong1,ROWS($1:53)),)))</f>
        <v>1388</v>
      </c>
      <c r="G66" s="176">
        <f ca="1">IF(ROWS($1:53)&gt;COUNT(Dong1),"",IF(OFFSET(TH!N$1,SMALL(Dong1,ROWS($1:53)),)="1111",OFFSET(TH!M$1,SMALL(Dong1,ROWS($1:53)),),0))</f>
        <v>0</v>
      </c>
      <c r="H66" s="174">
        <f ca="1">IF(ROWS($1:53)&gt;COUNT(Dong1),"",IF(OFFSET(TH!O$1,SMALL(Dong1,ROWS($1:53)),)="1111",OFFSET(TH!M$1,SMALL(Dong1,ROWS($1:53)),),0))</f>
        <v>85000000</v>
      </c>
      <c r="I66" s="172">
        <f t="shared" ca="1" si="0"/>
        <v>1113952865</v>
      </c>
      <c r="J66" s="177"/>
    </row>
    <row r="67" spans="1:10" ht="19.5" customHeight="1">
      <c r="A67" s="171">
        <f ca="1">IF(ROWS($1:54)&gt;COUNT(Dong1),"",OFFSET(TH!C$1,SMALL(Dong1,ROWS($1:54)),))</f>
        <v>42515</v>
      </c>
      <c r="B67" s="171">
        <f ca="1">IF(ROWS($1:54)&gt;COUNT(Dong1),"",OFFSET(TH!E$1,SMALL(Dong1,ROWS($1:54)),))</f>
        <v>42515</v>
      </c>
      <c r="C67" s="172" t="str">
        <f ca="1">IF(ROWS($1:54)&gt;COUNT(Dong1),"",IF(OFFSET(TH!N$1,SMALL(Dong1,ROWS($1:54)),)="1111",OFFSET(TH!D$1,SMALL(Dong1,ROWS($1:54)),),""))</f>
        <v/>
      </c>
      <c r="D67" s="173" t="str">
        <f ca="1">IF(ROWS($1:54)&gt;COUNT(Dong1),"",IF(OFFSET(TH!O$1,SMALL(Dong1,ROWS($1:54)),)="1111",OFFSET(TH!D$1,SMALL(Dong1,ROWS($1:54)),),""))</f>
        <v>C35</v>
      </c>
      <c r="E67" s="443" t="str">
        <f ca="1">IF(ROWS($1:54)&gt;COUNT(Dong1),"",OFFSET(TH!F$1,SMALL(Dong1,ROWS($1:54)),))</f>
        <v>Q4 - Nộp tiền mặt</v>
      </c>
      <c r="F67" s="175" t="str">
        <f ca="1">IF(ROWS($1:54)&gt;COUNT(Dong1),"",IF(OFFSET(TH!O$1,SMALL(Dong1,ROWS($1:54)),)="1111",OFFSET(TH!N$1,SMALL(Dong1,ROWS($1:54)),),OFFSET(TH!O$1,SMALL(Dong1,ROWS($1:54)),)))</f>
        <v>1121</v>
      </c>
      <c r="G67" s="176">
        <f ca="1">IF(ROWS($1:54)&gt;COUNT(Dong1),"",IF(OFFSET(TH!N$1,SMALL(Dong1,ROWS($1:54)),)="1111",OFFSET(TH!M$1,SMALL(Dong1,ROWS($1:54)),),0))</f>
        <v>0</v>
      </c>
      <c r="H67" s="174">
        <f ca="1">IF(ROWS($1:54)&gt;COUNT(Dong1),"",IF(OFFSET(TH!O$1,SMALL(Dong1,ROWS($1:54)),)="1111",OFFSET(TH!M$1,SMALL(Dong1,ROWS($1:54)),),0))</f>
        <v>40000000</v>
      </c>
      <c r="I67" s="172">
        <f t="shared" ca="1" si="0"/>
        <v>1073952865</v>
      </c>
      <c r="J67" s="177"/>
    </row>
    <row r="68" spans="1:10" ht="19.5" customHeight="1">
      <c r="A68" s="171">
        <f ca="1">IF(ROWS($1:55)&gt;COUNT(Dong1),"",OFFSET(TH!C$1,SMALL(Dong1,ROWS($1:55)),))</f>
        <v>42515</v>
      </c>
      <c r="B68" s="171">
        <f ca="1">IF(ROWS($1:55)&gt;COUNT(Dong1),"",OFFSET(TH!E$1,SMALL(Dong1,ROWS($1:55)),))</f>
        <v>42515</v>
      </c>
      <c r="C68" s="172" t="str">
        <f ca="1">IF(ROWS($1:55)&gt;COUNT(Dong1),"",IF(OFFSET(TH!N$1,SMALL(Dong1,ROWS($1:55)),)="1111",OFFSET(TH!D$1,SMALL(Dong1,ROWS($1:55)),),""))</f>
        <v/>
      </c>
      <c r="D68" s="173" t="str">
        <f ca="1">IF(ROWS($1:55)&gt;COUNT(Dong1),"",IF(OFFSET(TH!O$1,SMALL(Dong1,ROWS($1:55)),)="1111",OFFSET(TH!D$1,SMALL(Dong1,ROWS($1:55)),),""))</f>
        <v>C36</v>
      </c>
      <c r="E68" s="443" t="str">
        <f ca="1">IF(ROWS($1:55)&gt;COUNT(Dong1),"",OFFSET(TH!F$1,SMALL(Dong1,ROWS($1:55)),))</f>
        <v>Tiền nước tháng 5/2016</v>
      </c>
      <c r="F68" s="175" t="str">
        <f ca="1">IF(ROWS($1:55)&gt;COUNT(Dong1),"",IF(OFFSET(TH!O$1,SMALL(Dong1,ROWS($1:55)),)="1111",OFFSET(TH!N$1,SMALL(Dong1,ROWS($1:55)),),OFFSET(TH!O$1,SMALL(Dong1,ROWS($1:55)),)))</f>
        <v>642</v>
      </c>
      <c r="G68" s="176">
        <f ca="1">IF(ROWS($1:55)&gt;COUNT(Dong1),"",IF(OFFSET(TH!N$1,SMALL(Dong1,ROWS($1:55)),)="1111",OFFSET(TH!M$1,SMALL(Dong1,ROWS($1:55)),),0))</f>
        <v>0</v>
      </c>
      <c r="H68" s="174">
        <f ca="1">IF(ROWS($1:55)&gt;COUNT(Dong1),"",IF(OFFSET(TH!O$1,SMALL(Dong1,ROWS($1:55)),)="1111",OFFSET(TH!M$1,SMALL(Dong1,ROWS($1:55)),),0))</f>
        <v>10648600</v>
      </c>
      <c r="I68" s="172">
        <f t="shared" ca="1" si="0"/>
        <v>1063304265</v>
      </c>
      <c r="J68" s="177"/>
    </row>
    <row r="69" spans="1:10" ht="19.5" customHeight="1">
      <c r="A69" s="171">
        <f ca="1">IF(ROWS($1:56)&gt;COUNT(Dong1),"",OFFSET(TH!C$1,SMALL(Dong1,ROWS($1:56)),))</f>
        <v>42515</v>
      </c>
      <c r="B69" s="171">
        <f ca="1">IF(ROWS($1:56)&gt;COUNT(Dong1),"",OFFSET(TH!E$1,SMALL(Dong1,ROWS($1:56)),))</f>
        <v>42515</v>
      </c>
      <c r="C69" s="172" t="str">
        <f ca="1">IF(ROWS($1:56)&gt;COUNT(Dong1),"",IF(OFFSET(TH!N$1,SMALL(Dong1,ROWS($1:56)),)="1111",OFFSET(TH!D$1,SMALL(Dong1,ROWS($1:56)),),""))</f>
        <v/>
      </c>
      <c r="D69" s="173" t="str">
        <f ca="1">IF(ROWS($1:56)&gt;COUNT(Dong1),"",IF(OFFSET(TH!O$1,SMALL(Dong1,ROWS($1:56)),)="1111",OFFSET(TH!D$1,SMALL(Dong1,ROWS($1:56)),),""))</f>
        <v>C36</v>
      </c>
      <c r="E69" s="443" t="str">
        <f ca="1">IF(ROWS($1:56)&gt;COUNT(Dong1),"",OFFSET(TH!F$1,SMALL(Dong1,ROWS($1:56)),))</f>
        <v>VAT Tiền nước tháng 5/2016</v>
      </c>
      <c r="F69" s="175" t="str">
        <f ca="1">IF(ROWS($1:56)&gt;COUNT(Dong1),"",IF(OFFSET(TH!O$1,SMALL(Dong1,ROWS($1:56)),)="1111",OFFSET(TH!N$1,SMALL(Dong1,ROWS($1:56)),),OFFSET(TH!O$1,SMALL(Dong1,ROWS($1:56)),)))</f>
        <v>1331</v>
      </c>
      <c r="G69" s="176">
        <f ca="1">IF(ROWS($1:56)&gt;COUNT(Dong1),"",IF(OFFSET(TH!N$1,SMALL(Dong1,ROWS($1:56)),)="1111",OFFSET(TH!M$1,SMALL(Dong1,ROWS($1:56)),),0))</f>
        <v>0</v>
      </c>
      <c r="H69" s="174">
        <f ca="1">IF(ROWS($1:56)&gt;COUNT(Dong1),"",IF(OFFSET(TH!O$1,SMALL(Dong1,ROWS($1:56)),)="1111",OFFSET(TH!M$1,SMALL(Dong1,ROWS($1:56)),),0))</f>
        <v>532430</v>
      </c>
      <c r="I69" s="172">
        <f t="shared" ca="1" si="0"/>
        <v>1062771835</v>
      </c>
      <c r="J69" s="177"/>
    </row>
    <row r="70" spans="1:10" ht="19.5" customHeight="1">
      <c r="A70" s="171">
        <f ca="1">IF(ROWS($1:57)&gt;COUNT(Dong1),"",OFFSET(TH!C$1,SMALL(Dong1,ROWS($1:57)),))</f>
        <v>42516</v>
      </c>
      <c r="B70" s="171">
        <f ca="1">IF(ROWS($1:57)&gt;COUNT(Dong1),"",OFFSET(TH!E$1,SMALL(Dong1,ROWS($1:57)),))</f>
        <v>42516</v>
      </c>
      <c r="C70" s="172" t="str">
        <f ca="1">IF(ROWS($1:57)&gt;COUNT(Dong1),"",IF(OFFSET(TH!N$1,SMALL(Dong1,ROWS($1:57)),)="1111",OFFSET(TH!D$1,SMALL(Dong1,ROWS($1:57)),),""))</f>
        <v/>
      </c>
      <c r="D70" s="173" t="str">
        <f ca="1">IF(ROWS($1:57)&gt;COUNT(Dong1),"",IF(OFFSET(TH!O$1,SMALL(Dong1,ROWS($1:57)),)="1111",OFFSET(TH!D$1,SMALL(Dong1,ROWS($1:57)),),""))</f>
        <v>C37</v>
      </c>
      <c r="E70" s="443" t="str">
        <f ca="1">IF(ROWS($1:57)&gt;COUNT(Dong1),"",OFFSET(TH!F$1,SMALL(Dong1,ROWS($1:57)),))</f>
        <v>Trồng cây xanh</v>
      </c>
      <c r="F70" s="175" t="str">
        <f ca="1">IF(ROWS($1:57)&gt;COUNT(Dong1),"",IF(OFFSET(TH!O$1,SMALL(Dong1,ROWS($1:57)),)="1111",OFFSET(TH!N$1,SMALL(Dong1,ROWS($1:57)),),OFFSET(TH!O$1,SMALL(Dong1,ROWS($1:57)),)))</f>
        <v>2412</v>
      </c>
      <c r="G70" s="176">
        <f ca="1">IF(ROWS($1:57)&gt;COUNT(Dong1),"",IF(OFFSET(TH!N$1,SMALL(Dong1,ROWS($1:57)),)="1111",OFFSET(TH!M$1,SMALL(Dong1,ROWS($1:57)),),0))</f>
        <v>0</v>
      </c>
      <c r="H70" s="174">
        <f ca="1">IF(ROWS($1:57)&gt;COUNT(Dong1),"",IF(OFFSET(TH!O$1,SMALL(Dong1,ROWS($1:57)),)="1111",OFFSET(TH!M$1,SMALL(Dong1,ROWS($1:57)),),0))</f>
        <v>9090909</v>
      </c>
      <c r="I70" s="172">
        <f t="shared" ca="1" si="0"/>
        <v>1053680926</v>
      </c>
      <c r="J70" s="177"/>
    </row>
    <row r="71" spans="1:10" ht="19.5" customHeight="1">
      <c r="A71" s="171">
        <f ca="1">IF(ROWS($1:58)&gt;COUNT(Dong1),"",OFFSET(TH!C$1,SMALL(Dong1,ROWS($1:58)),))</f>
        <v>42516</v>
      </c>
      <c r="B71" s="171">
        <f ca="1">IF(ROWS($1:58)&gt;COUNT(Dong1),"",OFFSET(TH!E$1,SMALL(Dong1,ROWS($1:58)),))</f>
        <v>42516</v>
      </c>
      <c r="C71" s="172" t="str">
        <f ca="1">IF(ROWS($1:58)&gt;COUNT(Dong1),"",IF(OFFSET(TH!N$1,SMALL(Dong1,ROWS($1:58)),)="1111",OFFSET(TH!D$1,SMALL(Dong1,ROWS($1:58)),),""))</f>
        <v/>
      </c>
      <c r="D71" s="173" t="str">
        <f ca="1">IF(ROWS($1:58)&gt;COUNT(Dong1),"",IF(OFFSET(TH!O$1,SMALL(Dong1,ROWS($1:58)),)="1111",OFFSET(TH!D$1,SMALL(Dong1,ROWS($1:58)),),""))</f>
        <v>C37</v>
      </c>
      <c r="E71" s="443" t="str">
        <f ca="1">IF(ROWS($1:58)&gt;COUNT(Dong1),"",OFFSET(TH!F$1,SMALL(Dong1,ROWS($1:58)),))</f>
        <v>VAT Trồng cây xanh</v>
      </c>
      <c r="F71" s="175" t="str">
        <f ca="1">IF(ROWS($1:58)&gt;COUNT(Dong1),"",IF(OFFSET(TH!O$1,SMALL(Dong1,ROWS($1:58)),)="1111",OFFSET(TH!N$1,SMALL(Dong1,ROWS($1:58)),),OFFSET(TH!O$1,SMALL(Dong1,ROWS($1:58)),)))</f>
        <v>1331</v>
      </c>
      <c r="G71" s="176">
        <f ca="1">IF(ROWS($1:58)&gt;COUNT(Dong1),"",IF(OFFSET(TH!N$1,SMALL(Dong1,ROWS($1:58)),)="1111",OFFSET(TH!M$1,SMALL(Dong1,ROWS($1:58)),),0))</f>
        <v>0</v>
      </c>
      <c r="H71" s="174">
        <f ca="1">IF(ROWS($1:58)&gt;COUNT(Dong1),"",IF(OFFSET(TH!O$1,SMALL(Dong1,ROWS($1:58)),)="1111",OFFSET(TH!M$1,SMALL(Dong1,ROWS($1:58)),),0))</f>
        <v>909091</v>
      </c>
      <c r="I71" s="172">
        <f t="shared" ca="1" si="0"/>
        <v>1052771835</v>
      </c>
      <c r="J71" s="177"/>
    </row>
    <row r="72" spans="1:10" ht="19.5" customHeight="1">
      <c r="A72" s="171">
        <f ca="1">IF(ROWS($1:59)&gt;COUNT(Dong1),"",OFFSET(TH!C$1,SMALL(Dong1,ROWS($1:59)),))</f>
        <v>42517</v>
      </c>
      <c r="B72" s="171">
        <f ca="1">IF(ROWS($1:59)&gt;COUNT(Dong1),"",OFFSET(TH!E$1,SMALL(Dong1,ROWS($1:59)),))</f>
        <v>42517</v>
      </c>
      <c r="C72" s="172" t="str">
        <f ca="1">IF(ROWS($1:59)&gt;COUNT(Dong1),"",IF(OFFSET(TH!N$1,SMALL(Dong1,ROWS($1:59)),)="1111",OFFSET(TH!D$1,SMALL(Dong1,ROWS($1:59)),),""))</f>
        <v/>
      </c>
      <c r="D72" s="173" t="str">
        <f ca="1">IF(ROWS($1:59)&gt;COUNT(Dong1),"",IF(OFFSET(TH!O$1,SMALL(Dong1,ROWS($1:59)),)="1111",OFFSET(TH!D$1,SMALL(Dong1,ROWS($1:59)),),""))</f>
        <v>C38</v>
      </c>
      <c r="E72" s="443" t="str">
        <f ca="1">IF(ROWS($1:59)&gt;COUNT(Dong1),"",OFFSET(TH!F$1,SMALL(Dong1,ROWS($1:59)),))</f>
        <v>Vật liệu xây dựng</v>
      </c>
      <c r="F72" s="175" t="str">
        <f ca="1">IF(ROWS($1:59)&gt;COUNT(Dong1),"",IF(OFFSET(TH!O$1,SMALL(Dong1,ROWS($1:59)),)="1111",OFFSET(TH!N$1,SMALL(Dong1,ROWS($1:59)),),OFFSET(TH!O$1,SMALL(Dong1,ROWS($1:59)),)))</f>
        <v>2412</v>
      </c>
      <c r="G72" s="176">
        <f ca="1">IF(ROWS($1:59)&gt;COUNT(Dong1),"",IF(OFFSET(TH!N$1,SMALL(Dong1,ROWS($1:59)),)="1111",OFFSET(TH!M$1,SMALL(Dong1,ROWS($1:59)),),0))</f>
        <v>0</v>
      </c>
      <c r="H72" s="174">
        <f ca="1">IF(ROWS($1:59)&gt;COUNT(Dong1),"",IF(OFFSET(TH!O$1,SMALL(Dong1,ROWS($1:59)),)="1111",OFFSET(TH!M$1,SMALL(Dong1,ROWS($1:59)),),0))</f>
        <v>1186000</v>
      </c>
      <c r="I72" s="172">
        <f t="shared" ca="1" si="0"/>
        <v>1051585835</v>
      </c>
      <c r="J72" s="177"/>
    </row>
    <row r="73" spans="1:10" ht="19.5" customHeight="1">
      <c r="A73" s="171">
        <f ca="1">IF(ROWS($1:60)&gt;COUNT(Dong1),"",OFFSET(TH!C$1,SMALL(Dong1,ROWS($1:60)),))</f>
        <v>42517</v>
      </c>
      <c r="B73" s="171">
        <f ca="1">IF(ROWS($1:60)&gt;COUNT(Dong1),"",OFFSET(TH!E$1,SMALL(Dong1,ROWS($1:60)),))</f>
        <v>42517</v>
      </c>
      <c r="C73" s="172" t="str">
        <f ca="1">IF(ROWS($1:60)&gt;COUNT(Dong1),"",IF(OFFSET(TH!N$1,SMALL(Dong1,ROWS($1:60)),)="1111",OFFSET(TH!D$1,SMALL(Dong1,ROWS($1:60)),),""))</f>
        <v/>
      </c>
      <c r="D73" s="173" t="str">
        <f ca="1">IF(ROWS($1:60)&gt;COUNT(Dong1),"",IF(OFFSET(TH!O$1,SMALL(Dong1,ROWS($1:60)),)="1111",OFFSET(TH!D$1,SMALL(Dong1,ROWS($1:60)),),""))</f>
        <v>C39</v>
      </c>
      <c r="E73" s="443" t="str">
        <f ca="1">IF(ROWS($1:60)&gt;COUNT(Dong1),"",OFFSET(TH!F$1,SMALL(Dong1,ROWS($1:60)),))</f>
        <v>Q4 - Nộp tiền mặt</v>
      </c>
      <c r="F73" s="175" t="str">
        <f ca="1">IF(ROWS($1:60)&gt;COUNT(Dong1),"",IF(OFFSET(TH!O$1,SMALL(Dong1,ROWS($1:60)),)="1111",OFFSET(TH!N$1,SMALL(Dong1,ROWS($1:60)),),OFFSET(TH!O$1,SMALL(Dong1,ROWS($1:60)),)))</f>
        <v>1121</v>
      </c>
      <c r="G73" s="176">
        <f ca="1">IF(ROWS($1:60)&gt;COUNT(Dong1),"",IF(OFFSET(TH!N$1,SMALL(Dong1,ROWS($1:60)),)="1111",OFFSET(TH!M$1,SMALL(Dong1,ROWS($1:60)),),0))</f>
        <v>0</v>
      </c>
      <c r="H73" s="174">
        <f ca="1">IF(ROWS($1:60)&gt;COUNT(Dong1),"",IF(OFFSET(TH!O$1,SMALL(Dong1,ROWS($1:60)),)="1111",OFFSET(TH!M$1,SMALL(Dong1,ROWS($1:60)),),0))</f>
        <v>24000000</v>
      </c>
      <c r="I73" s="172">
        <f t="shared" ca="1" si="0"/>
        <v>1027585835</v>
      </c>
      <c r="J73" s="177"/>
    </row>
    <row r="74" spans="1:10" ht="19.5" customHeight="1">
      <c r="A74" s="171">
        <f ca="1">IF(ROWS($1:61)&gt;COUNT(Dong1),"",OFFSET(TH!C$1,SMALL(Dong1,ROWS($1:61)),))</f>
        <v>42520</v>
      </c>
      <c r="B74" s="171">
        <f ca="1">IF(ROWS($1:61)&gt;COUNT(Dong1),"",OFFSET(TH!E$1,SMALL(Dong1,ROWS($1:61)),))</f>
        <v>42520</v>
      </c>
      <c r="C74" s="172" t="str">
        <f ca="1">IF(ROWS($1:61)&gt;COUNT(Dong1),"",IF(OFFSET(TH!N$1,SMALL(Dong1,ROWS($1:61)),)="1111",OFFSET(TH!D$1,SMALL(Dong1,ROWS($1:61)),),""))</f>
        <v/>
      </c>
      <c r="D74" s="173" t="str">
        <f ca="1">IF(ROWS($1:61)&gt;COUNT(Dong1),"",IF(OFFSET(TH!O$1,SMALL(Dong1,ROWS($1:61)),)="1111",OFFSET(TH!D$1,SMALL(Dong1,ROWS($1:61)),),""))</f>
        <v>C40</v>
      </c>
      <c r="E74" s="443" t="str">
        <f ca="1">IF(ROWS($1:61)&gt;COUNT(Dong1),"",OFFSET(TH!F$1,SMALL(Dong1,ROWS($1:61)),))</f>
        <v>Dịch vụ thoát nước thải</v>
      </c>
      <c r="F74" s="175" t="str">
        <f ca="1">IF(ROWS($1:61)&gt;COUNT(Dong1),"",IF(OFFSET(TH!O$1,SMALL(Dong1,ROWS($1:61)),)="1111",OFFSET(TH!N$1,SMALL(Dong1,ROWS($1:61)),),OFFSET(TH!O$1,SMALL(Dong1,ROWS($1:61)),)))</f>
        <v>642</v>
      </c>
      <c r="G74" s="176">
        <f ca="1">IF(ROWS($1:61)&gt;COUNT(Dong1),"",IF(OFFSET(TH!N$1,SMALL(Dong1,ROWS($1:61)),)="1111",OFFSET(TH!M$1,SMALL(Dong1,ROWS($1:61)),),0))</f>
        <v>0</v>
      </c>
      <c r="H74" s="174">
        <f ca="1">IF(ROWS($1:61)&gt;COUNT(Dong1),"",IF(OFFSET(TH!O$1,SMALL(Dong1,ROWS($1:61)),)="1111",OFFSET(TH!M$1,SMALL(Dong1,ROWS($1:61)),),0))</f>
        <v>6379636</v>
      </c>
      <c r="I74" s="172">
        <f t="shared" ca="1" si="0"/>
        <v>1021206199</v>
      </c>
      <c r="J74" s="177"/>
    </row>
    <row r="75" spans="1:10" ht="19.5" customHeight="1">
      <c r="A75" s="171">
        <f ca="1">IF(ROWS($1:62)&gt;COUNT(Dong1),"",OFFSET(TH!C$1,SMALL(Dong1,ROWS($1:62)),))</f>
        <v>42520</v>
      </c>
      <c r="B75" s="171">
        <f ca="1">IF(ROWS($1:62)&gt;COUNT(Dong1),"",OFFSET(TH!E$1,SMALL(Dong1,ROWS($1:62)),))</f>
        <v>42520</v>
      </c>
      <c r="C75" s="172" t="str">
        <f ca="1">IF(ROWS($1:62)&gt;COUNT(Dong1),"",IF(OFFSET(TH!N$1,SMALL(Dong1,ROWS($1:62)),)="1111",OFFSET(TH!D$1,SMALL(Dong1,ROWS($1:62)),),""))</f>
        <v/>
      </c>
      <c r="D75" s="173" t="str">
        <f ca="1">IF(ROWS($1:62)&gt;COUNT(Dong1),"",IF(OFFSET(TH!O$1,SMALL(Dong1,ROWS($1:62)),)="1111",OFFSET(TH!D$1,SMALL(Dong1,ROWS($1:62)),),""))</f>
        <v>C40</v>
      </c>
      <c r="E75" s="443" t="str">
        <f ca="1">IF(ROWS($1:62)&gt;COUNT(Dong1),"",OFFSET(TH!F$1,SMALL(Dong1,ROWS($1:62)),))</f>
        <v>VAT Dịch vụ thoát nước thải</v>
      </c>
      <c r="F75" s="175" t="str">
        <f ca="1">IF(ROWS($1:62)&gt;COUNT(Dong1),"",IF(OFFSET(TH!O$1,SMALL(Dong1,ROWS($1:62)),)="1111",OFFSET(TH!N$1,SMALL(Dong1,ROWS($1:62)),),OFFSET(TH!O$1,SMALL(Dong1,ROWS($1:62)),)))</f>
        <v>1331</v>
      </c>
      <c r="G75" s="176">
        <f ca="1">IF(ROWS($1:62)&gt;COUNT(Dong1),"",IF(OFFSET(TH!N$1,SMALL(Dong1,ROWS($1:62)),)="1111",OFFSET(TH!M$1,SMALL(Dong1,ROWS($1:62)),),0))</f>
        <v>0</v>
      </c>
      <c r="H75" s="174">
        <f ca="1">IF(ROWS($1:62)&gt;COUNT(Dong1),"",IF(OFFSET(TH!O$1,SMALL(Dong1,ROWS($1:62)),)="1111",OFFSET(TH!M$1,SMALL(Dong1,ROWS($1:62)),),0))</f>
        <v>637964</v>
      </c>
      <c r="I75" s="172">
        <f t="shared" ca="1" si="0"/>
        <v>1020568235</v>
      </c>
      <c r="J75" s="177"/>
    </row>
    <row r="76" spans="1:10" ht="19.5" customHeight="1">
      <c r="A76" s="171">
        <f ca="1">IF(ROWS($1:63)&gt;COUNT(Dong1),"",OFFSET(TH!C$1,SMALL(Dong1,ROWS($1:63)),))</f>
        <v>42521</v>
      </c>
      <c r="B76" s="171">
        <f ca="1">IF(ROWS($1:63)&gt;COUNT(Dong1),"",OFFSET(TH!E$1,SMALL(Dong1,ROWS($1:63)),))</f>
        <v>42521</v>
      </c>
      <c r="C76" s="172" t="str">
        <f ca="1">IF(ROWS($1:63)&gt;COUNT(Dong1),"",IF(OFFSET(TH!N$1,SMALL(Dong1,ROWS($1:63)),)="1111",OFFSET(TH!D$1,SMALL(Dong1,ROWS($1:63)),),""))</f>
        <v/>
      </c>
      <c r="D76" s="173" t="str">
        <f ca="1">IF(ROWS($1:63)&gt;COUNT(Dong1),"",IF(OFFSET(TH!O$1,SMALL(Dong1,ROWS($1:63)),)="1111",OFFSET(TH!D$1,SMALL(Dong1,ROWS($1:63)),),""))</f>
        <v>C41</v>
      </c>
      <c r="E76" s="443" t="str">
        <f ca="1">IF(ROWS($1:63)&gt;COUNT(Dong1),"",OFFSET(TH!F$1,SMALL(Dong1,ROWS($1:63)),))</f>
        <v>Hóa đơn GTGT, Phiếu NK kiêm VCNB</v>
      </c>
      <c r="F76" s="175" t="str">
        <f ca="1">IF(ROWS($1:63)&gt;COUNT(Dong1),"",IF(OFFSET(TH!O$1,SMALL(Dong1,ROWS($1:63)),)="1111",OFFSET(TH!N$1,SMALL(Dong1,ROWS($1:63)),),OFFSET(TH!O$1,SMALL(Dong1,ROWS($1:63)),)))</f>
        <v>642</v>
      </c>
      <c r="G76" s="176">
        <f ca="1">IF(ROWS($1:63)&gt;COUNT(Dong1),"",IF(OFFSET(TH!N$1,SMALL(Dong1,ROWS($1:63)),)="1111",OFFSET(TH!M$1,SMALL(Dong1,ROWS($1:63)),),0))</f>
        <v>0</v>
      </c>
      <c r="H76" s="174">
        <f ca="1">IF(ROWS($1:63)&gt;COUNT(Dong1),"",IF(OFFSET(TH!O$1,SMALL(Dong1,ROWS($1:63)),)="1111",OFFSET(TH!M$1,SMALL(Dong1,ROWS($1:63)),),0))</f>
        <v>3000000</v>
      </c>
      <c r="I76" s="172">
        <f t="shared" ca="1" si="0"/>
        <v>1017568235</v>
      </c>
      <c r="J76" s="177"/>
    </row>
    <row r="77" spans="1:10" ht="19.5" customHeight="1">
      <c r="A77" s="171">
        <f ca="1">IF(ROWS($1:64)&gt;COUNT(Dong1),"",OFFSET(TH!C$1,SMALL(Dong1,ROWS($1:64)),))</f>
        <v>42521</v>
      </c>
      <c r="B77" s="171">
        <f ca="1">IF(ROWS($1:64)&gt;COUNT(Dong1),"",OFFSET(TH!E$1,SMALL(Dong1,ROWS($1:64)),))</f>
        <v>42521</v>
      </c>
      <c r="C77" s="172" t="str">
        <f ca="1">IF(ROWS($1:64)&gt;COUNT(Dong1),"",IF(OFFSET(TH!N$1,SMALL(Dong1,ROWS($1:64)),)="1111",OFFSET(TH!D$1,SMALL(Dong1,ROWS($1:64)),),""))</f>
        <v/>
      </c>
      <c r="D77" s="173" t="str">
        <f ca="1">IF(ROWS($1:64)&gt;COUNT(Dong1),"",IF(OFFSET(TH!O$1,SMALL(Dong1,ROWS($1:64)),)="1111",OFFSET(TH!D$1,SMALL(Dong1,ROWS($1:64)),),""))</f>
        <v>C41</v>
      </c>
      <c r="E77" s="443" t="str">
        <f ca="1">IF(ROWS($1:64)&gt;COUNT(Dong1),"",OFFSET(TH!F$1,SMALL(Dong1,ROWS($1:64)),))</f>
        <v>VAT Hóa đơn GTGT, Phiếu NK kiêm VCNB</v>
      </c>
      <c r="F77" s="175" t="str">
        <f ca="1">IF(ROWS($1:64)&gt;COUNT(Dong1),"",IF(OFFSET(TH!O$1,SMALL(Dong1,ROWS($1:64)),)="1111",OFFSET(TH!N$1,SMALL(Dong1,ROWS($1:64)),),OFFSET(TH!O$1,SMALL(Dong1,ROWS($1:64)),)))</f>
        <v>1331</v>
      </c>
      <c r="G77" s="176">
        <f ca="1">IF(ROWS($1:64)&gt;COUNT(Dong1),"",IF(OFFSET(TH!N$1,SMALL(Dong1,ROWS($1:64)),)="1111",OFFSET(TH!M$1,SMALL(Dong1,ROWS($1:64)),),0))</f>
        <v>0</v>
      </c>
      <c r="H77" s="174">
        <f ca="1">IF(ROWS($1:64)&gt;COUNT(Dong1),"",IF(OFFSET(TH!O$1,SMALL(Dong1,ROWS($1:64)),)="1111",OFFSET(TH!M$1,SMALL(Dong1,ROWS($1:64)),),0))</f>
        <v>300000</v>
      </c>
      <c r="I77" s="172">
        <f t="shared" ca="1" si="0"/>
        <v>1017268235</v>
      </c>
      <c r="J77" s="177"/>
    </row>
    <row r="78" spans="1:10" ht="19.5" customHeight="1">
      <c r="A78" s="171">
        <f ca="1">IF(ROWS($1:65)&gt;COUNT(Dong1),"",OFFSET(TH!C$1,SMALL(Dong1,ROWS($1:65)),))</f>
        <v>42521</v>
      </c>
      <c r="B78" s="171">
        <f ca="1">IF(ROWS($1:65)&gt;COUNT(Dong1),"",OFFSET(TH!E$1,SMALL(Dong1,ROWS($1:65)),))</f>
        <v>42521</v>
      </c>
      <c r="C78" s="172" t="str">
        <f ca="1">IF(ROWS($1:65)&gt;COUNT(Dong1),"",IF(OFFSET(TH!N$1,SMALL(Dong1,ROWS($1:65)),)="1111",OFFSET(TH!D$1,SMALL(Dong1,ROWS($1:65)),),""))</f>
        <v/>
      </c>
      <c r="D78" s="173" t="str">
        <f ca="1">IF(ROWS($1:65)&gt;COUNT(Dong1),"",IF(OFFSET(TH!O$1,SMALL(Dong1,ROWS($1:65)),)="1111",OFFSET(TH!D$1,SMALL(Dong1,ROWS($1:65)),),""))</f>
        <v>C42</v>
      </c>
      <c r="E78" s="443" t="str">
        <f ca="1">IF(ROWS($1:65)&gt;COUNT(Dong1),"",OFFSET(TH!F$1,SMALL(Dong1,ROWS($1:65)),))</f>
        <v>Q4 - Nộp tiền mặt</v>
      </c>
      <c r="F78" s="175" t="str">
        <f ca="1">IF(ROWS($1:65)&gt;COUNT(Dong1),"",IF(OFFSET(TH!O$1,SMALL(Dong1,ROWS($1:65)),)="1111",OFFSET(TH!N$1,SMALL(Dong1,ROWS($1:65)),),OFFSET(TH!O$1,SMALL(Dong1,ROWS($1:65)),)))</f>
        <v>1121</v>
      </c>
      <c r="G78" s="176">
        <f ca="1">IF(ROWS($1:65)&gt;COUNT(Dong1),"",IF(OFFSET(TH!N$1,SMALL(Dong1,ROWS($1:65)),)="1111",OFFSET(TH!M$1,SMALL(Dong1,ROWS($1:65)),),0))</f>
        <v>0</v>
      </c>
      <c r="H78" s="174">
        <f ca="1">IF(ROWS($1:65)&gt;COUNT(Dong1),"",IF(OFFSET(TH!O$1,SMALL(Dong1,ROWS($1:65)),)="1111",OFFSET(TH!M$1,SMALL(Dong1,ROWS($1:65)),),0))</f>
        <v>62000000</v>
      </c>
      <c r="I78" s="172">
        <f t="shared" ca="1" si="0"/>
        <v>955268235</v>
      </c>
      <c r="J78" s="177"/>
    </row>
    <row r="79" spans="1:10" ht="19.5" customHeight="1">
      <c r="A79" s="171">
        <f ca="1">IF(ROWS($1:66)&gt;COUNT(Dong1),"",OFFSET(TH!C$1,SMALL(Dong1,ROWS($1:66)),))</f>
        <v>42531</v>
      </c>
      <c r="B79" s="171">
        <f ca="1">IF(ROWS($1:66)&gt;COUNT(Dong1),"",OFFSET(TH!E$1,SMALL(Dong1,ROWS($1:66)),))</f>
        <v>42531</v>
      </c>
      <c r="C79" s="172" t="str">
        <f ca="1">IF(ROWS($1:66)&gt;COUNT(Dong1),"",IF(OFFSET(TH!N$1,SMALL(Dong1,ROWS($1:66)),)="1111",OFFSET(TH!D$1,SMALL(Dong1,ROWS($1:66)),),""))</f>
        <v/>
      </c>
      <c r="D79" s="173" t="str">
        <f ca="1">IF(ROWS($1:66)&gt;COUNT(Dong1),"",IF(OFFSET(TH!O$1,SMALL(Dong1,ROWS($1:66)),)="1111",OFFSET(TH!D$1,SMALL(Dong1,ROWS($1:66)),),""))</f>
        <v>C43</v>
      </c>
      <c r="E79" s="443" t="str">
        <f ca="1">IF(ROWS($1:66)&gt;COUNT(Dong1),"",OFFSET(TH!F$1,SMALL(Dong1,ROWS($1:66)),))</f>
        <v>Vật liệu điện</v>
      </c>
      <c r="F79" s="175" t="str">
        <f ca="1">IF(ROWS($1:66)&gt;COUNT(Dong1),"",IF(OFFSET(TH!O$1,SMALL(Dong1,ROWS($1:66)),)="1111",OFFSET(TH!N$1,SMALL(Dong1,ROWS($1:66)),),OFFSET(TH!O$1,SMALL(Dong1,ROWS($1:66)),)))</f>
        <v>2412</v>
      </c>
      <c r="G79" s="176">
        <f ca="1">IF(ROWS($1:66)&gt;COUNT(Dong1),"",IF(OFFSET(TH!N$1,SMALL(Dong1,ROWS($1:66)),)="1111",OFFSET(TH!M$1,SMALL(Dong1,ROWS($1:66)),),0))</f>
        <v>0</v>
      </c>
      <c r="H79" s="174">
        <f ca="1">IF(ROWS($1:66)&gt;COUNT(Dong1),"",IF(OFFSET(TH!O$1,SMALL(Dong1,ROWS($1:66)),)="1111",OFFSET(TH!M$1,SMALL(Dong1,ROWS($1:66)),),0))</f>
        <v>2588000</v>
      </c>
      <c r="I79" s="172">
        <f t="shared" ref="I79:I100" ca="1" si="1">IF(E79&lt;&gt;"",I78+G79-H79,0)</f>
        <v>952680235</v>
      </c>
      <c r="J79" s="177"/>
    </row>
    <row r="80" spans="1:10" ht="19.5" customHeight="1">
      <c r="A80" s="171">
        <f ca="1">IF(ROWS($1:67)&gt;COUNT(Dong1),"",OFFSET(TH!C$1,SMALL(Dong1,ROWS($1:67)),))</f>
        <v>42531</v>
      </c>
      <c r="B80" s="171">
        <f ca="1">IF(ROWS($1:67)&gt;COUNT(Dong1),"",OFFSET(TH!E$1,SMALL(Dong1,ROWS($1:67)),))</f>
        <v>42531</v>
      </c>
      <c r="C80" s="172" t="str">
        <f ca="1">IF(ROWS($1:67)&gt;COUNT(Dong1),"",IF(OFFSET(TH!N$1,SMALL(Dong1,ROWS($1:67)),)="1111",OFFSET(TH!D$1,SMALL(Dong1,ROWS($1:67)),),""))</f>
        <v/>
      </c>
      <c r="D80" s="173" t="str">
        <f ca="1">IF(ROWS($1:67)&gt;COUNT(Dong1),"",IF(OFFSET(TH!O$1,SMALL(Dong1,ROWS($1:67)),)="1111",OFFSET(TH!D$1,SMALL(Dong1,ROWS($1:67)),),""))</f>
        <v>C44</v>
      </c>
      <c r="E80" s="443" t="str">
        <f ca="1">IF(ROWS($1:67)&gt;COUNT(Dong1),"",OFFSET(TH!F$1,SMALL(Dong1,ROWS($1:67)),))</f>
        <v>Phí dịch vụ bảo vệ T5/2016</v>
      </c>
      <c r="F80" s="175" t="str">
        <f ca="1">IF(ROWS($1:67)&gt;COUNT(Dong1),"",IF(OFFSET(TH!O$1,SMALL(Dong1,ROWS($1:67)),)="1111",OFFSET(TH!N$1,SMALL(Dong1,ROWS($1:67)),),OFFSET(TH!O$1,SMALL(Dong1,ROWS($1:67)),)))</f>
        <v>642</v>
      </c>
      <c r="G80" s="176">
        <f ca="1">IF(ROWS($1:67)&gt;COUNT(Dong1),"",IF(OFFSET(TH!N$1,SMALL(Dong1,ROWS($1:67)),)="1111",OFFSET(TH!M$1,SMALL(Dong1,ROWS($1:67)),),0))</f>
        <v>0</v>
      </c>
      <c r="H80" s="174">
        <f ca="1">IF(ROWS($1:67)&gt;COUNT(Dong1),"",IF(OFFSET(TH!O$1,SMALL(Dong1,ROWS($1:67)),)="1111",OFFSET(TH!M$1,SMALL(Dong1,ROWS($1:67)),),0))</f>
        <v>7272727</v>
      </c>
      <c r="I80" s="172">
        <f t="shared" ca="1" si="1"/>
        <v>945407508</v>
      </c>
      <c r="J80" s="177"/>
    </row>
    <row r="81" spans="1:10" ht="19.5" customHeight="1">
      <c r="A81" s="171">
        <f ca="1">IF(ROWS($1:68)&gt;COUNT(Dong1),"",OFFSET(TH!C$1,SMALL(Dong1,ROWS($1:68)),))</f>
        <v>42531</v>
      </c>
      <c r="B81" s="171">
        <f ca="1">IF(ROWS($1:68)&gt;COUNT(Dong1),"",OFFSET(TH!E$1,SMALL(Dong1,ROWS($1:68)),))</f>
        <v>42531</v>
      </c>
      <c r="C81" s="172" t="str">
        <f ca="1">IF(ROWS($1:68)&gt;COUNT(Dong1),"",IF(OFFSET(TH!N$1,SMALL(Dong1,ROWS($1:68)),)="1111",OFFSET(TH!D$1,SMALL(Dong1,ROWS($1:68)),),""))</f>
        <v/>
      </c>
      <c r="D81" s="173" t="str">
        <f ca="1">IF(ROWS($1:68)&gt;COUNT(Dong1),"",IF(OFFSET(TH!O$1,SMALL(Dong1,ROWS($1:68)),)="1111",OFFSET(TH!D$1,SMALL(Dong1,ROWS($1:68)),),""))</f>
        <v>C44</v>
      </c>
      <c r="E81" s="443" t="str">
        <f ca="1">IF(ROWS($1:68)&gt;COUNT(Dong1),"",OFFSET(TH!F$1,SMALL(Dong1,ROWS($1:68)),))</f>
        <v>VAT Phí dịch vụ bảo vệ T5/2016</v>
      </c>
      <c r="F81" s="175" t="str">
        <f ca="1">IF(ROWS($1:68)&gt;COUNT(Dong1),"",IF(OFFSET(TH!O$1,SMALL(Dong1,ROWS($1:68)),)="1111",OFFSET(TH!N$1,SMALL(Dong1,ROWS($1:68)),),OFFSET(TH!O$1,SMALL(Dong1,ROWS($1:68)),)))</f>
        <v>1331</v>
      </c>
      <c r="G81" s="176">
        <f ca="1">IF(ROWS($1:68)&gt;COUNT(Dong1),"",IF(OFFSET(TH!N$1,SMALL(Dong1,ROWS($1:68)),)="1111",OFFSET(TH!M$1,SMALL(Dong1,ROWS($1:68)),),0))</f>
        <v>0</v>
      </c>
      <c r="H81" s="174">
        <f ca="1">IF(ROWS($1:68)&gt;COUNT(Dong1),"",IF(OFFSET(TH!O$1,SMALL(Dong1,ROWS($1:68)),)="1111",OFFSET(TH!M$1,SMALL(Dong1,ROWS($1:68)),),0))</f>
        <v>727273</v>
      </c>
      <c r="I81" s="172">
        <f t="shared" ca="1" si="1"/>
        <v>944680235</v>
      </c>
      <c r="J81" s="177"/>
    </row>
    <row r="82" spans="1:10" ht="19.5" customHeight="1">
      <c r="A82" s="171">
        <f ca="1">IF(ROWS($1:69)&gt;COUNT(Dong1),"",OFFSET(TH!C$1,SMALL(Dong1,ROWS($1:69)),))</f>
        <v>42537</v>
      </c>
      <c r="B82" s="171">
        <f ca="1">IF(ROWS($1:69)&gt;COUNT(Dong1),"",OFFSET(TH!E$1,SMALL(Dong1,ROWS($1:69)),))</f>
        <v>42537</v>
      </c>
      <c r="C82" s="172" t="str">
        <f ca="1">IF(ROWS($1:69)&gt;COUNT(Dong1),"",IF(OFFSET(TH!N$1,SMALL(Dong1,ROWS($1:69)),)="1111",OFFSET(TH!D$1,SMALL(Dong1,ROWS($1:69)),),""))</f>
        <v/>
      </c>
      <c r="D82" s="173" t="str">
        <f ca="1">IF(ROWS($1:69)&gt;COUNT(Dong1),"",IF(OFFSET(TH!O$1,SMALL(Dong1,ROWS($1:69)),)="1111",OFFSET(TH!D$1,SMALL(Dong1,ROWS($1:69)),),""))</f>
        <v>C45</v>
      </c>
      <c r="E82" s="443" t="str">
        <f ca="1">IF(ROWS($1:69)&gt;COUNT(Dong1),"",OFFSET(TH!F$1,SMALL(Dong1,ROWS($1:69)),))</f>
        <v>Cước điện thoại + Internet T5/2016</v>
      </c>
      <c r="F82" s="175" t="str">
        <f ca="1">IF(ROWS($1:69)&gt;COUNT(Dong1),"",IF(OFFSET(TH!O$1,SMALL(Dong1,ROWS($1:69)),)="1111",OFFSET(TH!N$1,SMALL(Dong1,ROWS($1:69)),),OFFSET(TH!O$1,SMALL(Dong1,ROWS($1:69)),)))</f>
        <v>642</v>
      </c>
      <c r="G82" s="176">
        <f ca="1">IF(ROWS($1:69)&gt;COUNT(Dong1),"",IF(OFFSET(TH!N$1,SMALL(Dong1,ROWS($1:69)),)="1111",OFFSET(TH!M$1,SMALL(Dong1,ROWS($1:69)),),0))</f>
        <v>0</v>
      </c>
      <c r="H82" s="174">
        <f ca="1">IF(ROWS($1:69)&gt;COUNT(Dong1),"",IF(OFFSET(TH!O$1,SMALL(Dong1,ROWS($1:69)),)="1111",OFFSET(TH!M$1,SMALL(Dong1,ROWS($1:69)),),0))</f>
        <v>421656</v>
      </c>
      <c r="I82" s="172">
        <f t="shared" ca="1" si="1"/>
        <v>944258579</v>
      </c>
      <c r="J82" s="177"/>
    </row>
    <row r="83" spans="1:10" ht="19.5" customHeight="1">
      <c r="A83" s="171">
        <f ca="1">IF(ROWS($1:70)&gt;COUNT(Dong1),"",OFFSET(TH!C$1,SMALL(Dong1,ROWS($1:70)),))</f>
        <v>42537</v>
      </c>
      <c r="B83" s="171">
        <f ca="1">IF(ROWS($1:70)&gt;COUNT(Dong1),"",OFFSET(TH!E$1,SMALL(Dong1,ROWS($1:70)),))</f>
        <v>42537</v>
      </c>
      <c r="C83" s="172" t="str">
        <f ca="1">IF(ROWS($1:70)&gt;COUNT(Dong1),"",IF(OFFSET(TH!N$1,SMALL(Dong1,ROWS($1:70)),)="1111",OFFSET(TH!D$1,SMALL(Dong1,ROWS($1:70)),),""))</f>
        <v/>
      </c>
      <c r="D83" s="173" t="str">
        <f ca="1">IF(ROWS($1:70)&gt;COUNT(Dong1),"",IF(OFFSET(TH!O$1,SMALL(Dong1,ROWS($1:70)),)="1111",OFFSET(TH!D$1,SMALL(Dong1,ROWS($1:70)),),""))</f>
        <v>C45</v>
      </c>
      <c r="E83" s="443" t="str">
        <f ca="1">IF(ROWS($1:70)&gt;COUNT(Dong1),"",OFFSET(TH!F$1,SMALL(Dong1,ROWS($1:70)),))</f>
        <v>VAT Cước điện thoại + Internet T5/2016</v>
      </c>
      <c r="F83" s="175" t="str">
        <f ca="1">IF(ROWS($1:70)&gt;COUNT(Dong1),"",IF(OFFSET(TH!O$1,SMALL(Dong1,ROWS($1:70)),)="1111",OFFSET(TH!N$1,SMALL(Dong1,ROWS($1:70)),),OFFSET(TH!O$1,SMALL(Dong1,ROWS($1:70)),)))</f>
        <v>1331</v>
      </c>
      <c r="G83" s="176">
        <f ca="1">IF(ROWS($1:70)&gt;COUNT(Dong1),"",IF(OFFSET(TH!N$1,SMALL(Dong1,ROWS($1:70)),)="1111",OFFSET(TH!M$1,SMALL(Dong1,ROWS($1:70)),),0))</f>
        <v>0</v>
      </c>
      <c r="H83" s="174">
        <f ca="1">IF(ROWS($1:70)&gt;COUNT(Dong1),"",IF(OFFSET(TH!O$1,SMALL(Dong1,ROWS($1:70)),)="1111",OFFSET(TH!M$1,SMALL(Dong1,ROWS($1:70)),),0))</f>
        <v>42165</v>
      </c>
      <c r="I83" s="172">
        <f t="shared" ca="1" si="1"/>
        <v>944216414</v>
      </c>
      <c r="J83" s="177"/>
    </row>
    <row r="84" spans="1:10" ht="19.5" customHeight="1">
      <c r="A84" s="171">
        <f ca="1">IF(ROWS($1:71)&gt;COUNT(Dong1),"",OFFSET(TH!C$1,SMALL(Dong1,ROWS($1:71)),))</f>
        <v>42542</v>
      </c>
      <c r="B84" s="171">
        <f ca="1">IF(ROWS($1:71)&gt;COUNT(Dong1),"",OFFSET(TH!E$1,SMALL(Dong1,ROWS($1:71)),))</f>
        <v>42542</v>
      </c>
      <c r="C84" s="172" t="str">
        <f ca="1">IF(ROWS($1:71)&gt;COUNT(Dong1),"",IF(OFFSET(TH!N$1,SMALL(Dong1,ROWS($1:71)),)="1111",OFFSET(TH!D$1,SMALL(Dong1,ROWS($1:71)),),""))</f>
        <v/>
      </c>
      <c r="D84" s="173" t="str">
        <f ca="1">IF(ROWS($1:71)&gt;COUNT(Dong1),"",IF(OFFSET(TH!O$1,SMALL(Dong1,ROWS($1:71)),)="1111",OFFSET(TH!D$1,SMALL(Dong1,ROWS($1:71)),),""))</f>
        <v>C46</v>
      </c>
      <c r="E84" s="443" t="str">
        <f ca="1">IF(ROWS($1:71)&gt;COUNT(Dong1),"",OFFSET(TH!F$1,SMALL(Dong1,ROWS($1:71)),))</f>
        <v>Q4 - Nộp tiền mặt</v>
      </c>
      <c r="F84" s="175" t="str">
        <f ca="1">IF(ROWS($1:71)&gt;COUNT(Dong1),"",IF(OFFSET(TH!O$1,SMALL(Dong1,ROWS($1:71)),)="1111",OFFSET(TH!N$1,SMALL(Dong1,ROWS($1:71)),),OFFSET(TH!O$1,SMALL(Dong1,ROWS($1:71)),)))</f>
        <v>1121</v>
      </c>
      <c r="G84" s="176">
        <f ca="1">IF(ROWS($1:71)&gt;COUNT(Dong1),"",IF(OFFSET(TH!N$1,SMALL(Dong1,ROWS($1:71)),)="1111",OFFSET(TH!M$1,SMALL(Dong1,ROWS($1:71)),),0))</f>
        <v>0</v>
      </c>
      <c r="H84" s="174">
        <f ca="1">IF(ROWS($1:71)&gt;COUNT(Dong1),"",IF(OFFSET(TH!O$1,SMALL(Dong1,ROWS($1:71)),)="1111",OFFSET(TH!M$1,SMALL(Dong1,ROWS($1:71)),),0))</f>
        <v>100000000</v>
      </c>
      <c r="I84" s="172">
        <f t="shared" ca="1" si="1"/>
        <v>844216414</v>
      </c>
      <c r="J84" s="177"/>
    </row>
    <row r="85" spans="1:10" ht="19.5" customHeight="1">
      <c r="A85" s="171">
        <f ca="1">IF(ROWS($1:72)&gt;COUNT(Dong1),"",OFFSET(TH!C$1,SMALL(Dong1,ROWS($1:72)),))</f>
        <v>42542</v>
      </c>
      <c r="B85" s="171">
        <f ca="1">IF(ROWS($1:72)&gt;COUNT(Dong1),"",OFFSET(TH!E$1,SMALL(Dong1,ROWS($1:72)),))</f>
        <v>42542</v>
      </c>
      <c r="C85" s="172" t="str">
        <f ca="1">IF(ROWS($1:72)&gt;COUNT(Dong1),"",IF(OFFSET(TH!N$1,SMALL(Dong1,ROWS($1:72)),)="1111",OFFSET(TH!D$1,SMALL(Dong1,ROWS($1:72)),),""))</f>
        <v/>
      </c>
      <c r="D85" s="173" t="str">
        <f ca="1">IF(ROWS($1:72)&gt;COUNT(Dong1),"",IF(OFFSET(TH!O$1,SMALL(Dong1,ROWS($1:72)),)="1111",OFFSET(TH!D$1,SMALL(Dong1,ROWS($1:72)),),""))</f>
        <v>C46</v>
      </c>
      <c r="E85" s="443" t="str">
        <f ca="1">IF(ROWS($1:72)&gt;COUNT(Dong1),"",OFFSET(TH!F$1,SMALL(Dong1,ROWS($1:72)),))</f>
        <v>Q4 - Nộp tiền mặt</v>
      </c>
      <c r="F85" s="175" t="str">
        <f ca="1">IF(ROWS($1:72)&gt;COUNT(Dong1),"",IF(OFFSET(TH!O$1,SMALL(Dong1,ROWS($1:72)),)="1111",OFFSET(TH!N$1,SMALL(Dong1,ROWS($1:72)),),OFFSET(TH!O$1,SMALL(Dong1,ROWS($1:72)),)))</f>
        <v>1121</v>
      </c>
      <c r="G85" s="176">
        <f ca="1">IF(ROWS($1:72)&gt;COUNT(Dong1),"",IF(OFFSET(TH!N$1,SMALL(Dong1,ROWS($1:72)),)="1111",OFFSET(TH!M$1,SMALL(Dong1,ROWS($1:72)),),0))</f>
        <v>0</v>
      </c>
      <c r="H85" s="174">
        <f ca="1">IF(ROWS($1:72)&gt;COUNT(Dong1),"",IF(OFFSET(TH!O$1,SMALL(Dong1,ROWS($1:72)),)="1111",OFFSET(TH!M$1,SMALL(Dong1,ROWS($1:72)),),0))</f>
        <v>70000000</v>
      </c>
      <c r="I85" s="172">
        <f t="shared" ca="1" si="1"/>
        <v>774216414</v>
      </c>
      <c r="J85" s="177"/>
    </row>
    <row r="86" spans="1:10" ht="19.5" customHeight="1">
      <c r="A86" s="171">
        <f ca="1">IF(ROWS($1:73)&gt;COUNT(Dong1),"",OFFSET(TH!C$1,SMALL(Dong1,ROWS($1:73)),))</f>
        <v>42544</v>
      </c>
      <c r="B86" s="171">
        <f ca="1">IF(ROWS($1:73)&gt;COUNT(Dong1),"",OFFSET(TH!E$1,SMALL(Dong1,ROWS($1:73)),))</f>
        <v>42544</v>
      </c>
      <c r="C86" s="172" t="str">
        <f ca="1">IF(ROWS($1:73)&gt;COUNT(Dong1),"",IF(OFFSET(TH!N$1,SMALL(Dong1,ROWS($1:73)),)="1111",OFFSET(TH!D$1,SMALL(Dong1,ROWS($1:73)),),""))</f>
        <v>T02</v>
      </c>
      <c r="D86" s="173" t="str">
        <f ca="1">IF(ROWS($1:73)&gt;COUNT(Dong1),"",IF(OFFSET(TH!O$1,SMALL(Dong1,ROWS($1:73)),)="1111",OFFSET(TH!D$1,SMALL(Dong1,ROWS($1:73)),),""))</f>
        <v/>
      </c>
      <c r="E86" s="443" t="str">
        <f ca="1">IF(ROWS($1:73)&gt;COUNT(Dong1),"",OFFSET(TH!F$1,SMALL(Dong1,ROWS($1:73)),))</f>
        <v>Q4 - Rút tiền mặt</v>
      </c>
      <c r="F86" s="175" t="str">
        <f ca="1">IF(ROWS($1:73)&gt;COUNT(Dong1),"",IF(OFFSET(TH!O$1,SMALL(Dong1,ROWS($1:73)),)="1111",OFFSET(TH!N$1,SMALL(Dong1,ROWS($1:73)),),OFFSET(TH!O$1,SMALL(Dong1,ROWS($1:73)),)))</f>
        <v>1121</v>
      </c>
      <c r="G86" s="176">
        <f ca="1">IF(ROWS($1:73)&gt;COUNT(Dong1),"",IF(OFFSET(TH!N$1,SMALL(Dong1,ROWS($1:73)),)="1111",OFFSET(TH!M$1,SMALL(Dong1,ROWS($1:73)),),0))</f>
        <v>1960000000</v>
      </c>
      <c r="H86" s="174">
        <f ca="1">IF(ROWS($1:73)&gt;COUNT(Dong1),"",IF(OFFSET(TH!O$1,SMALL(Dong1,ROWS($1:73)),)="1111",OFFSET(TH!M$1,SMALL(Dong1,ROWS($1:73)),),0))</f>
        <v>0</v>
      </c>
      <c r="I86" s="172">
        <f t="shared" ca="1" si="1"/>
        <v>2734216414</v>
      </c>
      <c r="J86" s="177"/>
    </row>
    <row r="87" spans="1:10" ht="19.5" customHeight="1">
      <c r="A87" s="171">
        <f ca="1">IF(ROWS($1:74)&gt;COUNT(Dong1),"",OFFSET(TH!C$1,SMALL(Dong1,ROWS($1:74)),))</f>
        <v>42544</v>
      </c>
      <c r="B87" s="171">
        <f ca="1">IF(ROWS($1:74)&gt;COUNT(Dong1),"",OFFSET(TH!E$1,SMALL(Dong1,ROWS($1:74)),))</f>
        <v>42544</v>
      </c>
      <c r="C87" s="172" t="str">
        <f ca="1">IF(ROWS($1:74)&gt;COUNT(Dong1),"",IF(OFFSET(TH!N$1,SMALL(Dong1,ROWS($1:74)),)="1111",OFFSET(TH!D$1,SMALL(Dong1,ROWS($1:74)),),""))</f>
        <v/>
      </c>
      <c r="D87" s="173" t="str">
        <f ca="1">IF(ROWS($1:74)&gt;COUNT(Dong1),"",IF(OFFSET(TH!O$1,SMALL(Dong1,ROWS($1:74)),)="1111",OFFSET(TH!D$1,SMALL(Dong1,ROWS($1:74)),),""))</f>
        <v>C47</v>
      </c>
      <c r="E87" s="443" t="str">
        <f ca="1">IF(ROWS($1:74)&gt;COUNT(Dong1),"",OFFSET(TH!F$1,SMALL(Dong1,ROWS($1:74)),))</f>
        <v>Hoàn vốn mượn</v>
      </c>
      <c r="F87" s="175" t="str">
        <f ca="1">IF(ROWS($1:74)&gt;COUNT(Dong1),"",IF(OFFSET(TH!O$1,SMALL(Dong1,ROWS($1:74)),)="1111",OFFSET(TH!N$1,SMALL(Dong1,ROWS($1:74)),),OFFSET(TH!O$1,SMALL(Dong1,ROWS($1:74)),)))</f>
        <v>1388</v>
      </c>
      <c r="G87" s="176">
        <f ca="1">IF(ROWS($1:74)&gt;COUNT(Dong1),"",IF(OFFSET(TH!N$1,SMALL(Dong1,ROWS($1:74)),)="1111",OFFSET(TH!M$1,SMALL(Dong1,ROWS($1:74)),),0))</f>
        <v>0</v>
      </c>
      <c r="H87" s="174">
        <f ca="1">IF(ROWS($1:74)&gt;COUNT(Dong1),"",IF(OFFSET(TH!O$1,SMALL(Dong1,ROWS($1:74)),)="1111",OFFSET(TH!M$1,SMALL(Dong1,ROWS($1:74)),),0))</f>
        <v>1960000000</v>
      </c>
      <c r="I87" s="172">
        <f t="shared" ca="1" si="1"/>
        <v>774216414</v>
      </c>
      <c r="J87" s="177"/>
    </row>
    <row r="88" spans="1:10" ht="19.5" customHeight="1">
      <c r="A88" s="171">
        <f ca="1">IF(ROWS($1:75)&gt;COUNT(Dong1),"",OFFSET(TH!C$1,SMALL(Dong1,ROWS($1:75)),))</f>
        <v>42551</v>
      </c>
      <c r="B88" s="171">
        <f ca="1">IF(ROWS($1:75)&gt;COUNT(Dong1),"",OFFSET(TH!E$1,SMALL(Dong1,ROWS($1:75)),))</f>
        <v>42551</v>
      </c>
      <c r="C88" s="172" t="str">
        <f ca="1">IF(ROWS($1:75)&gt;COUNT(Dong1),"",IF(OFFSET(TH!N$1,SMALL(Dong1,ROWS($1:75)),)="1111",OFFSET(TH!D$1,SMALL(Dong1,ROWS($1:75)),),""))</f>
        <v/>
      </c>
      <c r="D88" s="173" t="str">
        <f ca="1">IF(ROWS($1:75)&gt;COUNT(Dong1),"",IF(OFFSET(TH!O$1,SMALL(Dong1,ROWS($1:75)),)="1111",OFFSET(TH!D$1,SMALL(Dong1,ROWS($1:75)),),""))</f>
        <v>C48</v>
      </c>
      <c r="E88" s="443" t="str">
        <f ca="1">IF(ROWS($1:75)&gt;COUNT(Dong1),"",OFFSET(TH!F$1,SMALL(Dong1,ROWS($1:75)),))</f>
        <v>Phí giao thông - Quý II / 2016</v>
      </c>
      <c r="F88" s="175" t="str">
        <f ca="1">IF(ROWS($1:75)&gt;COUNT(Dong1),"",IF(OFFSET(TH!O$1,SMALL(Dong1,ROWS($1:75)),)="1111",OFFSET(TH!N$1,SMALL(Dong1,ROWS($1:75)),),OFFSET(TH!O$1,SMALL(Dong1,ROWS($1:75)),)))</f>
        <v>642</v>
      </c>
      <c r="G88" s="176">
        <f ca="1">IF(ROWS($1:75)&gt;COUNT(Dong1),"",IF(OFFSET(TH!N$1,SMALL(Dong1,ROWS($1:75)),)="1111",OFFSET(TH!M$1,SMALL(Dong1,ROWS($1:75)),),0))</f>
        <v>0</v>
      </c>
      <c r="H88" s="174">
        <f ca="1">IF(ROWS($1:75)&gt;COUNT(Dong1),"",IF(OFFSET(TH!O$1,SMALL(Dong1,ROWS($1:75)),)="1111",OFFSET(TH!M$1,SMALL(Dong1,ROWS($1:75)),),0))</f>
        <v>1927273</v>
      </c>
      <c r="I88" s="172">
        <f t="shared" ca="1" si="1"/>
        <v>772289141</v>
      </c>
      <c r="J88" s="177"/>
    </row>
    <row r="89" spans="1:10" ht="19.5" customHeight="1">
      <c r="A89" s="171">
        <f ca="1">IF(ROWS($1:76)&gt;COUNT(Dong1),"",OFFSET(TH!C$1,SMALL(Dong1,ROWS($1:76)),))</f>
        <v>42551</v>
      </c>
      <c r="B89" s="171">
        <f ca="1">IF(ROWS($1:76)&gt;COUNT(Dong1),"",OFFSET(TH!E$1,SMALL(Dong1,ROWS($1:76)),))</f>
        <v>42551</v>
      </c>
      <c r="C89" s="172" t="str">
        <f ca="1">IF(ROWS($1:76)&gt;COUNT(Dong1),"",IF(OFFSET(TH!N$1,SMALL(Dong1,ROWS($1:76)),)="1111",OFFSET(TH!D$1,SMALL(Dong1,ROWS($1:76)),),""))</f>
        <v/>
      </c>
      <c r="D89" s="173" t="str">
        <f ca="1">IF(ROWS($1:76)&gt;COUNT(Dong1),"",IF(OFFSET(TH!O$1,SMALL(Dong1,ROWS($1:76)),)="1111",OFFSET(TH!D$1,SMALL(Dong1,ROWS($1:76)),),""))</f>
        <v>C48</v>
      </c>
      <c r="E89" s="443" t="str">
        <f ca="1">IF(ROWS($1:76)&gt;COUNT(Dong1),"",OFFSET(TH!F$1,SMALL(Dong1,ROWS($1:76)),))</f>
        <v>VAT Phí giao thông - Quý II / 2016</v>
      </c>
      <c r="F89" s="175" t="str">
        <f ca="1">IF(ROWS($1:76)&gt;COUNT(Dong1),"",IF(OFFSET(TH!O$1,SMALL(Dong1,ROWS($1:76)),)="1111",OFFSET(TH!N$1,SMALL(Dong1,ROWS($1:76)),),OFFSET(TH!O$1,SMALL(Dong1,ROWS($1:76)),)))</f>
        <v>1331</v>
      </c>
      <c r="G89" s="176">
        <f ca="1">IF(ROWS($1:76)&gt;COUNT(Dong1),"",IF(OFFSET(TH!N$1,SMALL(Dong1,ROWS($1:76)),)="1111",OFFSET(TH!M$1,SMALL(Dong1,ROWS($1:76)),),0))</f>
        <v>0</v>
      </c>
      <c r="H89" s="174">
        <f ca="1">IF(ROWS($1:76)&gt;COUNT(Dong1),"",IF(OFFSET(TH!O$1,SMALL(Dong1,ROWS($1:76)),)="1111",OFFSET(TH!M$1,SMALL(Dong1,ROWS($1:76)),),0))</f>
        <v>192727</v>
      </c>
      <c r="I89" s="172">
        <f t="shared" ca="1" si="1"/>
        <v>772096414</v>
      </c>
      <c r="J89" s="177"/>
    </row>
    <row r="90" spans="1:10" ht="19.5" customHeight="1">
      <c r="A90" s="171" t="str">
        <f ca="1">IF(ROWS($1:77)&gt;COUNT(Dong1),"",OFFSET(TH!C$1,SMALL(Dong1,ROWS($1:77)),))</f>
        <v/>
      </c>
      <c r="B90" s="171" t="str">
        <f ca="1">IF(ROWS($1:77)&gt;COUNT(Dong1),"",OFFSET(TH!E$1,SMALL(Dong1,ROWS($1:77)),))</f>
        <v/>
      </c>
      <c r="C90" s="172" t="str">
        <f ca="1">IF(ROWS($1:77)&gt;COUNT(Dong1),"",IF(OFFSET(TH!N$1,SMALL(Dong1,ROWS($1:77)),)="1111",OFFSET(TH!D$1,SMALL(Dong1,ROWS($1:77)),),""))</f>
        <v/>
      </c>
      <c r="D90" s="173" t="str">
        <f ca="1">IF(ROWS($1:77)&gt;COUNT(Dong1),"",IF(OFFSET(TH!O$1,SMALL(Dong1,ROWS($1:77)),)="1111",OFFSET(TH!D$1,SMALL(Dong1,ROWS($1:77)),),""))</f>
        <v/>
      </c>
      <c r="E90" s="443" t="str">
        <f ca="1">IF(ROWS($1:77)&gt;COUNT(Dong1),"",OFFSET(TH!F$1,SMALL(Dong1,ROWS($1:77)),))</f>
        <v/>
      </c>
      <c r="F90" s="175" t="str">
        <f ca="1">IF(ROWS($1:77)&gt;COUNT(Dong1),"",IF(OFFSET(TH!O$1,SMALL(Dong1,ROWS($1:77)),)="1111",OFFSET(TH!N$1,SMALL(Dong1,ROWS($1:77)),),OFFSET(TH!O$1,SMALL(Dong1,ROWS($1:77)),)))</f>
        <v/>
      </c>
      <c r="G90" s="176" t="str">
        <f ca="1">IF(ROWS($1:77)&gt;COUNT(Dong1),"",IF(OFFSET(TH!N$1,SMALL(Dong1,ROWS($1:77)),)="1111",OFFSET(TH!M$1,SMALL(Dong1,ROWS($1:77)),),0))</f>
        <v/>
      </c>
      <c r="H90" s="174" t="str">
        <f ca="1">IF(ROWS($1:77)&gt;COUNT(Dong1),"",IF(OFFSET(TH!O$1,SMALL(Dong1,ROWS($1:77)),)="1111",OFFSET(TH!M$1,SMALL(Dong1,ROWS($1:77)),),0))</f>
        <v/>
      </c>
      <c r="I90" s="172">
        <f t="shared" ca="1" si="1"/>
        <v>0</v>
      </c>
      <c r="J90" s="177"/>
    </row>
    <row r="91" spans="1:10" ht="19.5" customHeight="1">
      <c r="A91" s="171" t="str">
        <f ca="1">IF(ROWS($1:78)&gt;COUNT(Dong1),"",OFFSET(TH!C$1,SMALL(Dong1,ROWS($1:78)),))</f>
        <v/>
      </c>
      <c r="B91" s="171" t="str">
        <f ca="1">IF(ROWS($1:78)&gt;COUNT(Dong1),"",OFFSET(TH!E$1,SMALL(Dong1,ROWS($1:78)),))</f>
        <v/>
      </c>
      <c r="C91" s="172" t="str">
        <f ca="1">IF(ROWS($1:78)&gt;COUNT(Dong1),"",IF(OFFSET(TH!N$1,SMALL(Dong1,ROWS($1:78)),)="1111",OFFSET(TH!D$1,SMALL(Dong1,ROWS($1:78)),),""))</f>
        <v/>
      </c>
      <c r="D91" s="173" t="str">
        <f ca="1">IF(ROWS($1:78)&gt;COUNT(Dong1),"",IF(OFFSET(TH!O$1,SMALL(Dong1,ROWS($1:78)),)="1111",OFFSET(TH!D$1,SMALL(Dong1,ROWS($1:78)),),""))</f>
        <v/>
      </c>
      <c r="E91" s="443" t="str">
        <f ca="1">IF(ROWS($1:78)&gt;COUNT(Dong1),"",OFFSET(TH!F$1,SMALL(Dong1,ROWS($1:78)),))</f>
        <v/>
      </c>
      <c r="F91" s="175" t="str">
        <f ca="1">IF(ROWS($1:78)&gt;COUNT(Dong1),"",IF(OFFSET(TH!O$1,SMALL(Dong1,ROWS($1:78)),)="1111",OFFSET(TH!N$1,SMALL(Dong1,ROWS($1:78)),),OFFSET(TH!O$1,SMALL(Dong1,ROWS($1:78)),)))</f>
        <v/>
      </c>
      <c r="G91" s="176" t="str">
        <f ca="1">IF(ROWS($1:78)&gt;COUNT(Dong1),"",IF(OFFSET(TH!N$1,SMALL(Dong1,ROWS($1:78)),)="1111",OFFSET(TH!M$1,SMALL(Dong1,ROWS($1:78)),),0))</f>
        <v/>
      </c>
      <c r="H91" s="174" t="str">
        <f ca="1">IF(ROWS($1:78)&gt;COUNT(Dong1),"",IF(OFFSET(TH!O$1,SMALL(Dong1,ROWS($1:78)),)="1111",OFFSET(TH!M$1,SMALL(Dong1,ROWS($1:78)),),0))</f>
        <v/>
      </c>
      <c r="I91" s="172">
        <f t="shared" ca="1" si="1"/>
        <v>0</v>
      </c>
      <c r="J91" s="177"/>
    </row>
    <row r="92" spans="1:10" ht="19.5" customHeight="1">
      <c r="A92" s="171" t="str">
        <f ca="1">IF(ROWS($1:79)&gt;COUNT(Dong1),"",OFFSET(TH!C$1,SMALL(Dong1,ROWS($1:79)),))</f>
        <v/>
      </c>
      <c r="B92" s="171" t="str">
        <f ca="1">IF(ROWS($1:79)&gt;COUNT(Dong1),"",OFFSET(TH!E$1,SMALL(Dong1,ROWS($1:79)),))</f>
        <v/>
      </c>
      <c r="C92" s="172" t="str">
        <f ca="1">IF(ROWS($1:79)&gt;COUNT(Dong1),"",IF(OFFSET(TH!N$1,SMALL(Dong1,ROWS($1:79)),)="1111",OFFSET(TH!D$1,SMALL(Dong1,ROWS($1:79)),),""))</f>
        <v/>
      </c>
      <c r="D92" s="173" t="str">
        <f ca="1">IF(ROWS($1:79)&gt;COUNT(Dong1),"",IF(OFFSET(TH!O$1,SMALL(Dong1,ROWS($1:79)),)="1111",OFFSET(TH!D$1,SMALL(Dong1,ROWS($1:79)),),""))</f>
        <v/>
      </c>
      <c r="E92" s="443" t="str">
        <f ca="1">IF(ROWS($1:79)&gt;COUNT(Dong1),"",OFFSET(TH!F$1,SMALL(Dong1,ROWS($1:79)),))</f>
        <v/>
      </c>
      <c r="F92" s="175" t="str">
        <f ca="1">IF(ROWS($1:79)&gt;COUNT(Dong1),"",IF(OFFSET(TH!O$1,SMALL(Dong1,ROWS($1:79)),)="1111",OFFSET(TH!N$1,SMALL(Dong1,ROWS($1:79)),),OFFSET(TH!O$1,SMALL(Dong1,ROWS($1:79)),)))</f>
        <v/>
      </c>
      <c r="G92" s="176" t="str">
        <f ca="1">IF(ROWS($1:79)&gt;COUNT(Dong1),"",IF(OFFSET(TH!N$1,SMALL(Dong1,ROWS($1:79)),)="1111",OFFSET(TH!M$1,SMALL(Dong1,ROWS($1:79)),),0))</f>
        <v/>
      </c>
      <c r="H92" s="174" t="str">
        <f ca="1">IF(ROWS($1:79)&gt;COUNT(Dong1),"",IF(OFFSET(TH!O$1,SMALL(Dong1,ROWS($1:79)),)="1111",OFFSET(TH!M$1,SMALL(Dong1,ROWS($1:79)),),0))</f>
        <v/>
      </c>
      <c r="I92" s="172">
        <f t="shared" ca="1" si="1"/>
        <v>0</v>
      </c>
      <c r="J92" s="177"/>
    </row>
    <row r="93" spans="1:10" ht="19.5" customHeight="1">
      <c r="A93" s="171" t="str">
        <f ca="1">IF(ROWS($1:80)&gt;COUNT(Dong1),"",OFFSET(TH!C$1,SMALL(Dong1,ROWS($1:80)),))</f>
        <v/>
      </c>
      <c r="B93" s="171" t="str">
        <f ca="1">IF(ROWS($1:80)&gt;COUNT(Dong1),"",OFFSET(TH!E$1,SMALL(Dong1,ROWS($1:80)),))</f>
        <v/>
      </c>
      <c r="C93" s="172" t="str">
        <f ca="1">IF(ROWS($1:80)&gt;COUNT(Dong1),"",IF(OFFSET(TH!N$1,SMALL(Dong1,ROWS($1:80)),)="1111",OFFSET(TH!D$1,SMALL(Dong1,ROWS($1:80)),),""))</f>
        <v/>
      </c>
      <c r="D93" s="173" t="str">
        <f ca="1">IF(ROWS($1:80)&gt;COUNT(Dong1),"",IF(OFFSET(TH!O$1,SMALL(Dong1,ROWS($1:80)),)="1111",OFFSET(TH!D$1,SMALL(Dong1,ROWS($1:80)),),""))</f>
        <v/>
      </c>
      <c r="E93" s="443" t="str">
        <f ca="1">IF(ROWS($1:80)&gt;COUNT(Dong1),"",OFFSET(TH!F$1,SMALL(Dong1,ROWS($1:80)),))</f>
        <v/>
      </c>
      <c r="F93" s="175" t="str">
        <f ca="1">IF(ROWS($1:80)&gt;COUNT(Dong1),"",IF(OFFSET(TH!O$1,SMALL(Dong1,ROWS($1:80)),)="1111",OFFSET(TH!N$1,SMALL(Dong1,ROWS($1:80)),),OFFSET(TH!O$1,SMALL(Dong1,ROWS($1:80)),)))</f>
        <v/>
      </c>
      <c r="G93" s="176" t="str">
        <f ca="1">IF(ROWS($1:80)&gt;COUNT(Dong1),"",IF(OFFSET(TH!N$1,SMALL(Dong1,ROWS($1:80)),)="1111",OFFSET(TH!M$1,SMALL(Dong1,ROWS($1:80)),),0))</f>
        <v/>
      </c>
      <c r="H93" s="174" t="str">
        <f ca="1">IF(ROWS($1:80)&gt;COUNT(Dong1),"",IF(OFFSET(TH!O$1,SMALL(Dong1,ROWS($1:80)),)="1111",OFFSET(TH!M$1,SMALL(Dong1,ROWS($1:80)),),0))</f>
        <v/>
      </c>
      <c r="I93" s="172">
        <f t="shared" ca="1" si="1"/>
        <v>0</v>
      </c>
      <c r="J93" s="177"/>
    </row>
    <row r="94" spans="1:10" ht="19.5" customHeight="1">
      <c r="A94" s="171" t="str">
        <f ca="1">IF(ROWS($1:81)&gt;COUNT(Dong1),"",OFFSET(TH!C$1,SMALL(Dong1,ROWS($1:81)),))</f>
        <v/>
      </c>
      <c r="B94" s="171" t="str">
        <f ca="1">IF(ROWS($1:81)&gt;COUNT(Dong1),"",OFFSET(TH!E$1,SMALL(Dong1,ROWS($1:81)),))</f>
        <v/>
      </c>
      <c r="C94" s="172" t="str">
        <f ca="1">IF(ROWS($1:81)&gt;COUNT(Dong1),"",IF(OFFSET(TH!N$1,SMALL(Dong1,ROWS($1:81)),)="1111",OFFSET(TH!D$1,SMALL(Dong1,ROWS($1:81)),),""))</f>
        <v/>
      </c>
      <c r="D94" s="173" t="str">
        <f ca="1">IF(ROWS($1:81)&gt;COUNT(Dong1),"",IF(OFFSET(TH!O$1,SMALL(Dong1,ROWS($1:81)),)="1111",OFFSET(TH!D$1,SMALL(Dong1,ROWS($1:81)),),""))</f>
        <v/>
      </c>
      <c r="E94" s="443" t="str">
        <f ca="1">IF(ROWS($1:81)&gt;COUNT(Dong1),"",OFFSET(TH!F$1,SMALL(Dong1,ROWS($1:81)),))</f>
        <v/>
      </c>
      <c r="F94" s="175" t="str">
        <f ca="1">IF(ROWS($1:81)&gt;COUNT(Dong1),"",IF(OFFSET(TH!O$1,SMALL(Dong1,ROWS($1:81)),)="1111",OFFSET(TH!N$1,SMALL(Dong1,ROWS($1:81)),),OFFSET(TH!O$1,SMALL(Dong1,ROWS($1:81)),)))</f>
        <v/>
      </c>
      <c r="G94" s="176" t="str">
        <f ca="1">IF(ROWS($1:81)&gt;COUNT(Dong1),"",IF(OFFSET(TH!N$1,SMALL(Dong1,ROWS($1:81)),)="1111",OFFSET(TH!M$1,SMALL(Dong1,ROWS($1:81)),),0))</f>
        <v/>
      </c>
      <c r="H94" s="174" t="str">
        <f ca="1">IF(ROWS($1:81)&gt;COUNT(Dong1),"",IF(OFFSET(TH!O$1,SMALL(Dong1,ROWS($1:81)),)="1111",OFFSET(TH!M$1,SMALL(Dong1,ROWS($1:81)),),0))</f>
        <v/>
      </c>
      <c r="I94" s="172">
        <f t="shared" ca="1" si="1"/>
        <v>0</v>
      </c>
      <c r="J94" s="177"/>
    </row>
    <row r="95" spans="1:10" ht="19.5" customHeight="1">
      <c r="A95" s="171" t="str">
        <f ca="1">IF(ROWS($1:82)&gt;COUNT(Dong1),"",OFFSET(TH!C$1,SMALL(Dong1,ROWS($1:82)),))</f>
        <v/>
      </c>
      <c r="B95" s="171" t="str">
        <f ca="1">IF(ROWS($1:82)&gt;COUNT(Dong1),"",OFFSET(TH!E$1,SMALL(Dong1,ROWS($1:82)),))</f>
        <v/>
      </c>
      <c r="C95" s="172" t="str">
        <f ca="1">IF(ROWS($1:82)&gt;COUNT(Dong1),"",IF(OFFSET(TH!N$1,SMALL(Dong1,ROWS($1:82)),)="1111",OFFSET(TH!D$1,SMALL(Dong1,ROWS($1:82)),),""))</f>
        <v/>
      </c>
      <c r="D95" s="173" t="str">
        <f ca="1">IF(ROWS($1:82)&gt;COUNT(Dong1),"",IF(OFFSET(TH!O$1,SMALL(Dong1,ROWS($1:82)),)="1111",OFFSET(TH!D$1,SMALL(Dong1,ROWS($1:82)),),""))</f>
        <v/>
      </c>
      <c r="E95" s="443" t="str">
        <f ca="1">IF(ROWS($1:82)&gt;COUNT(Dong1),"",OFFSET(TH!F$1,SMALL(Dong1,ROWS($1:82)),))</f>
        <v/>
      </c>
      <c r="F95" s="175" t="str">
        <f ca="1">IF(ROWS($1:82)&gt;COUNT(Dong1),"",IF(OFFSET(TH!O$1,SMALL(Dong1,ROWS($1:82)),)="1111",OFFSET(TH!N$1,SMALL(Dong1,ROWS($1:82)),),OFFSET(TH!O$1,SMALL(Dong1,ROWS($1:82)),)))</f>
        <v/>
      </c>
      <c r="G95" s="176" t="str">
        <f ca="1">IF(ROWS($1:82)&gt;COUNT(Dong1),"",IF(OFFSET(TH!N$1,SMALL(Dong1,ROWS($1:82)),)="1111",OFFSET(TH!M$1,SMALL(Dong1,ROWS($1:82)),),0))</f>
        <v/>
      </c>
      <c r="H95" s="174" t="str">
        <f ca="1">IF(ROWS($1:82)&gt;COUNT(Dong1),"",IF(OFFSET(TH!O$1,SMALL(Dong1,ROWS($1:82)),)="1111",OFFSET(TH!M$1,SMALL(Dong1,ROWS($1:82)),),0))</f>
        <v/>
      </c>
      <c r="I95" s="172">
        <f t="shared" ca="1" si="1"/>
        <v>0</v>
      </c>
      <c r="J95" s="177"/>
    </row>
    <row r="96" spans="1:10" ht="19.5" customHeight="1">
      <c r="A96" s="171" t="str">
        <f ca="1">IF(ROWS($1:83)&gt;COUNT(Dong1),"",OFFSET(TH!C$1,SMALL(Dong1,ROWS($1:83)),))</f>
        <v/>
      </c>
      <c r="B96" s="171" t="str">
        <f ca="1">IF(ROWS($1:83)&gt;COUNT(Dong1),"",OFFSET(TH!E$1,SMALL(Dong1,ROWS($1:83)),))</f>
        <v/>
      </c>
      <c r="C96" s="172" t="str">
        <f ca="1">IF(ROWS($1:83)&gt;COUNT(Dong1),"",IF(OFFSET(TH!N$1,SMALL(Dong1,ROWS($1:83)),)="1111",OFFSET(TH!D$1,SMALL(Dong1,ROWS($1:83)),),""))</f>
        <v/>
      </c>
      <c r="D96" s="173" t="str">
        <f ca="1">IF(ROWS($1:83)&gt;COUNT(Dong1),"",IF(OFFSET(TH!O$1,SMALL(Dong1,ROWS($1:83)),)="1111",OFFSET(TH!D$1,SMALL(Dong1,ROWS($1:83)),),""))</f>
        <v/>
      </c>
      <c r="E96" s="443" t="str">
        <f ca="1">IF(ROWS($1:83)&gt;COUNT(Dong1),"",OFFSET(TH!F$1,SMALL(Dong1,ROWS($1:83)),))</f>
        <v/>
      </c>
      <c r="F96" s="175" t="str">
        <f ca="1">IF(ROWS($1:83)&gt;COUNT(Dong1),"",IF(OFFSET(TH!O$1,SMALL(Dong1,ROWS($1:83)),)="1111",OFFSET(TH!N$1,SMALL(Dong1,ROWS($1:83)),),OFFSET(TH!O$1,SMALL(Dong1,ROWS($1:83)),)))</f>
        <v/>
      </c>
      <c r="G96" s="176" t="str">
        <f ca="1">IF(ROWS($1:83)&gt;COUNT(Dong1),"",IF(OFFSET(TH!N$1,SMALL(Dong1,ROWS($1:83)),)="1111",OFFSET(TH!M$1,SMALL(Dong1,ROWS($1:83)),),0))</f>
        <v/>
      </c>
      <c r="H96" s="174" t="str">
        <f ca="1">IF(ROWS($1:83)&gt;COUNT(Dong1),"",IF(OFFSET(TH!O$1,SMALL(Dong1,ROWS($1:83)),)="1111",OFFSET(TH!M$1,SMALL(Dong1,ROWS($1:83)),),0))</f>
        <v/>
      </c>
      <c r="I96" s="172">
        <f t="shared" ca="1" si="1"/>
        <v>0</v>
      </c>
      <c r="J96" s="177"/>
    </row>
    <row r="97" spans="1:12" ht="19.5" customHeight="1">
      <c r="A97" s="171" t="str">
        <f ca="1">IF(ROWS($1:84)&gt;COUNT(Dong1),"",OFFSET(TH!C$1,SMALL(Dong1,ROWS($1:84)),))</f>
        <v/>
      </c>
      <c r="B97" s="171" t="str">
        <f ca="1">IF(ROWS($1:84)&gt;COUNT(Dong1),"",OFFSET(TH!E$1,SMALL(Dong1,ROWS($1:84)),))</f>
        <v/>
      </c>
      <c r="C97" s="172" t="str">
        <f ca="1">IF(ROWS($1:84)&gt;COUNT(Dong1),"",IF(OFFSET(TH!N$1,SMALL(Dong1,ROWS($1:84)),)="1111",OFFSET(TH!D$1,SMALL(Dong1,ROWS($1:84)),),""))</f>
        <v/>
      </c>
      <c r="D97" s="173" t="str">
        <f ca="1">IF(ROWS($1:84)&gt;COUNT(Dong1),"",IF(OFFSET(TH!O$1,SMALL(Dong1,ROWS($1:84)),)="1111",OFFSET(TH!D$1,SMALL(Dong1,ROWS($1:84)),),""))</f>
        <v/>
      </c>
      <c r="E97" s="443" t="str">
        <f ca="1">IF(ROWS($1:84)&gt;COUNT(Dong1),"",OFFSET(TH!F$1,SMALL(Dong1,ROWS($1:84)),))</f>
        <v/>
      </c>
      <c r="F97" s="175" t="str">
        <f ca="1">IF(ROWS($1:84)&gt;COUNT(Dong1),"",IF(OFFSET(TH!O$1,SMALL(Dong1,ROWS($1:84)),)="1111",OFFSET(TH!N$1,SMALL(Dong1,ROWS($1:84)),),OFFSET(TH!O$1,SMALL(Dong1,ROWS($1:84)),)))</f>
        <v/>
      </c>
      <c r="G97" s="176" t="str">
        <f ca="1">IF(ROWS($1:84)&gt;COUNT(Dong1),"",IF(OFFSET(TH!N$1,SMALL(Dong1,ROWS($1:84)),)="1111",OFFSET(TH!M$1,SMALL(Dong1,ROWS($1:84)),),0))</f>
        <v/>
      </c>
      <c r="H97" s="174" t="str">
        <f ca="1">IF(ROWS($1:84)&gt;COUNT(Dong1),"",IF(OFFSET(TH!O$1,SMALL(Dong1,ROWS($1:84)),)="1111",OFFSET(TH!M$1,SMALL(Dong1,ROWS($1:84)),),0))</f>
        <v/>
      </c>
      <c r="I97" s="172">
        <f t="shared" ca="1" si="1"/>
        <v>0</v>
      </c>
      <c r="J97" s="177"/>
    </row>
    <row r="98" spans="1:12" ht="19.5" customHeight="1">
      <c r="A98" s="171" t="str">
        <f ca="1">IF(ROWS($1:85)&gt;COUNT(Dong1),"",OFFSET(TH!C$1,SMALL(Dong1,ROWS($1:85)),))</f>
        <v/>
      </c>
      <c r="B98" s="171" t="str">
        <f ca="1">IF(ROWS($1:85)&gt;COUNT(Dong1),"",OFFSET(TH!E$1,SMALL(Dong1,ROWS($1:85)),))</f>
        <v/>
      </c>
      <c r="C98" s="172" t="str">
        <f ca="1">IF(ROWS($1:85)&gt;COUNT(Dong1),"",IF(OFFSET(TH!N$1,SMALL(Dong1,ROWS($1:85)),)="1111",OFFSET(TH!D$1,SMALL(Dong1,ROWS($1:85)),),""))</f>
        <v/>
      </c>
      <c r="D98" s="173" t="str">
        <f ca="1">IF(ROWS($1:85)&gt;COUNT(Dong1),"",IF(OFFSET(TH!O$1,SMALL(Dong1,ROWS($1:85)),)="1111",OFFSET(TH!D$1,SMALL(Dong1,ROWS($1:85)),),""))</f>
        <v/>
      </c>
      <c r="E98" s="443" t="str">
        <f ca="1">IF(ROWS($1:85)&gt;COUNT(Dong1),"",OFFSET(TH!F$1,SMALL(Dong1,ROWS($1:85)),))</f>
        <v/>
      </c>
      <c r="F98" s="175" t="str">
        <f ca="1">IF(ROWS($1:85)&gt;COUNT(Dong1),"",IF(OFFSET(TH!O$1,SMALL(Dong1,ROWS($1:85)),)="1111",OFFSET(TH!N$1,SMALL(Dong1,ROWS($1:85)),),OFFSET(TH!O$1,SMALL(Dong1,ROWS($1:85)),)))</f>
        <v/>
      </c>
      <c r="G98" s="176" t="str">
        <f ca="1">IF(ROWS($1:85)&gt;COUNT(Dong1),"",IF(OFFSET(TH!N$1,SMALL(Dong1,ROWS($1:85)),)="1111",OFFSET(TH!M$1,SMALL(Dong1,ROWS($1:85)),),0))</f>
        <v/>
      </c>
      <c r="H98" s="174" t="str">
        <f ca="1">IF(ROWS($1:85)&gt;COUNT(Dong1),"",IF(OFFSET(TH!O$1,SMALL(Dong1,ROWS($1:85)),)="1111",OFFSET(TH!M$1,SMALL(Dong1,ROWS($1:85)),),0))</f>
        <v/>
      </c>
      <c r="I98" s="172">
        <f t="shared" ca="1" si="1"/>
        <v>0</v>
      </c>
      <c r="J98" s="177"/>
    </row>
    <row r="99" spans="1:12" ht="19.5" customHeight="1">
      <c r="A99" s="171" t="str">
        <f ca="1">IF(ROWS($1:86)&gt;COUNT(Dong1),"",OFFSET(TH!C$1,SMALL(Dong1,ROWS($1:86)),))</f>
        <v/>
      </c>
      <c r="B99" s="171" t="str">
        <f ca="1">IF(ROWS($1:86)&gt;COUNT(Dong1),"",OFFSET(TH!E$1,SMALL(Dong1,ROWS($1:86)),))</f>
        <v/>
      </c>
      <c r="C99" s="172" t="str">
        <f ca="1">IF(ROWS($1:86)&gt;COUNT(Dong1),"",IF(OFFSET(TH!N$1,SMALL(Dong1,ROWS($1:86)),)="1111",OFFSET(TH!D$1,SMALL(Dong1,ROWS($1:86)),),""))</f>
        <v/>
      </c>
      <c r="D99" s="173" t="str">
        <f ca="1">IF(ROWS($1:86)&gt;COUNT(Dong1),"",IF(OFFSET(TH!O$1,SMALL(Dong1,ROWS($1:86)),)="1111",OFFSET(TH!D$1,SMALL(Dong1,ROWS($1:86)),),""))</f>
        <v/>
      </c>
      <c r="E99" s="443" t="str">
        <f ca="1">IF(ROWS($1:86)&gt;COUNT(Dong1),"",OFFSET(TH!F$1,SMALL(Dong1,ROWS($1:86)),))</f>
        <v/>
      </c>
      <c r="F99" s="175" t="str">
        <f ca="1">IF(ROWS($1:86)&gt;COUNT(Dong1),"",IF(OFFSET(TH!O$1,SMALL(Dong1,ROWS($1:86)),)="1111",OFFSET(TH!N$1,SMALL(Dong1,ROWS($1:86)),),OFFSET(TH!O$1,SMALL(Dong1,ROWS($1:86)),)))</f>
        <v/>
      </c>
      <c r="G99" s="176" t="str">
        <f ca="1">IF(ROWS($1:86)&gt;COUNT(Dong1),"",IF(OFFSET(TH!N$1,SMALL(Dong1,ROWS($1:86)),)="1111",OFFSET(TH!M$1,SMALL(Dong1,ROWS($1:86)),),0))</f>
        <v/>
      </c>
      <c r="H99" s="174" t="str">
        <f ca="1">IF(ROWS($1:86)&gt;COUNT(Dong1),"",IF(OFFSET(TH!O$1,SMALL(Dong1,ROWS($1:86)),)="1111",OFFSET(TH!M$1,SMALL(Dong1,ROWS($1:86)),),0))</f>
        <v/>
      </c>
      <c r="I99" s="172">
        <f t="shared" ca="1" si="1"/>
        <v>0</v>
      </c>
      <c r="J99" s="177"/>
    </row>
    <row r="100" spans="1:12" ht="19.5" customHeight="1">
      <c r="A100" s="171" t="str">
        <f ca="1">IF(ROWS($1:87)&gt;COUNT(Dong1),"",OFFSET(TH!C$1,SMALL(Dong1,ROWS($1:87)),))</f>
        <v/>
      </c>
      <c r="B100" s="171" t="str">
        <f ca="1">IF(ROWS($1:87)&gt;COUNT(Dong1),"",OFFSET(TH!E$1,SMALL(Dong1,ROWS($1:87)),))</f>
        <v/>
      </c>
      <c r="C100" s="172" t="str">
        <f ca="1">IF(ROWS($1:87)&gt;COUNT(Dong1),"",IF(OFFSET(TH!N$1,SMALL(Dong1,ROWS($1:87)),)="1111",OFFSET(TH!D$1,SMALL(Dong1,ROWS($1:87)),),""))</f>
        <v/>
      </c>
      <c r="D100" s="173" t="str">
        <f ca="1">IF(ROWS($1:87)&gt;COUNT(Dong1),"",IF(OFFSET(TH!O$1,SMALL(Dong1,ROWS($1:87)),)="1111",OFFSET(TH!D$1,SMALL(Dong1,ROWS($1:87)),),""))</f>
        <v/>
      </c>
      <c r="E100" s="443" t="str">
        <f ca="1">IF(ROWS($1:87)&gt;COUNT(Dong1),"",OFFSET(TH!F$1,SMALL(Dong1,ROWS($1:87)),))</f>
        <v/>
      </c>
      <c r="F100" s="175" t="str">
        <f ca="1">IF(ROWS($1:87)&gt;COUNT(Dong1),"",IF(OFFSET(TH!O$1,SMALL(Dong1,ROWS($1:87)),)="1111",OFFSET(TH!N$1,SMALL(Dong1,ROWS($1:87)),),OFFSET(TH!O$1,SMALL(Dong1,ROWS($1:87)),)))</f>
        <v/>
      </c>
      <c r="G100" s="176" t="str">
        <f ca="1">IF(ROWS($1:87)&gt;COUNT(Dong1),"",IF(OFFSET(TH!N$1,SMALL(Dong1,ROWS($1:87)),)="1111",OFFSET(TH!M$1,SMALL(Dong1,ROWS($1:87)),),0))</f>
        <v/>
      </c>
      <c r="H100" s="174" t="str">
        <f ca="1">IF(ROWS($1:87)&gt;COUNT(Dong1),"",IF(OFFSET(TH!O$1,SMALL(Dong1,ROWS($1:87)),)="1111",OFFSET(TH!M$1,SMALL(Dong1,ROWS($1:87)),),0))</f>
        <v/>
      </c>
      <c r="I100" s="172">
        <f t="shared" ca="1" si="1"/>
        <v>0</v>
      </c>
      <c r="J100" s="177"/>
    </row>
    <row r="101" spans="1:12" ht="19.5" customHeight="1">
      <c r="A101" s="178"/>
      <c r="B101" s="177"/>
      <c r="C101" s="177"/>
      <c r="D101" s="177"/>
      <c r="E101" s="444"/>
      <c r="F101" s="179"/>
      <c r="G101" s="177"/>
      <c r="H101" s="177"/>
      <c r="I101" s="172"/>
      <c r="J101" s="177"/>
    </row>
    <row r="102" spans="1:12" s="167" customFormat="1" ht="19.5" customHeight="1">
      <c r="A102" s="180"/>
      <c r="B102" s="180"/>
      <c r="C102" s="180"/>
      <c r="D102" s="180"/>
      <c r="E102" s="180" t="s">
        <v>238</v>
      </c>
      <c r="F102" s="181" t="s">
        <v>26</v>
      </c>
      <c r="G102" s="180">
        <f ca="1">SUM(G14:G101)</f>
        <v>2960000000</v>
      </c>
      <c r="H102" s="180">
        <f ca="1">SUM(H14:H101)</f>
        <v>2964915729</v>
      </c>
      <c r="I102" s="181" t="s">
        <v>26</v>
      </c>
      <c r="J102" s="181" t="s">
        <v>26</v>
      </c>
    </row>
    <row r="103" spans="1:12" s="167" customFormat="1" ht="19.5" customHeight="1">
      <c r="A103" s="182"/>
      <c r="B103" s="182"/>
      <c r="C103" s="182"/>
      <c r="D103" s="182"/>
      <c r="E103" s="182" t="s">
        <v>239</v>
      </c>
      <c r="F103" s="183" t="s">
        <v>26</v>
      </c>
      <c r="G103" s="183" t="s">
        <v>26</v>
      </c>
      <c r="H103" s="183" t="s">
        <v>26</v>
      </c>
      <c r="I103" s="184">
        <f ca="1">I13+G102-H102</f>
        <v>772096414</v>
      </c>
      <c r="J103" s="183" t="s">
        <v>26</v>
      </c>
    </row>
    <row r="104" spans="1:12">
      <c r="L104" s="488" t="s">
        <v>361</v>
      </c>
    </row>
    <row r="105" spans="1:12">
      <c r="A105" s="185" t="s">
        <v>342</v>
      </c>
      <c r="L105" s="488" t="s">
        <v>362</v>
      </c>
    </row>
    <row r="106" spans="1:12">
      <c r="A106" s="263" t="str">
        <f ca="1">"- Ngày mở sổ: "&amp;DAY($A$14)&amp;"/"&amp;MONTH($A$14)&amp;"/ 2015"</f>
        <v>- Ngày mở sổ: 2/4/ 2015</v>
      </c>
      <c r="L106" s="488" t="s">
        <v>240</v>
      </c>
    </row>
    <row r="107" spans="1:12">
      <c r="I107" s="186" t="str">
        <f>"Ngày "&amp;IF(OR($O$11=3,$O$11=12),"31","30")&amp;" tháng "&amp;$O$11&amp;"  năm  2015 "</f>
        <v xml:space="preserve">Ngày 30 tháng 6  năm  2015 </v>
      </c>
      <c r="L107" s="488" t="s">
        <v>342</v>
      </c>
    </row>
    <row r="108" spans="1:12" s="187" customFormat="1" ht="14.25">
      <c r="C108" s="187" t="s">
        <v>14</v>
      </c>
      <c r="E108" s="187" t="s">
        <v>15</v>
      </c>
      <c r="I108" s="187" t="s">
        <v>206</v>
      </c>
    </row>
    <row r="109" spans="1:12" s="188" customFormat="1">
      <c r="C109" s="188" t="s">
        <v>16</v>
      </c>
      <c r="E109" s="188" t="s">
        <v>16</v>
      </c>
      <c r="I109" s="188" t="s">
        <v>241</v>
      </c>
    </row>
    <row r="110" spans="1:12" s="188" customFormat="1"/>
    <row r="111" spans="1:12" s="188" customFormat="1"/>
    <row r="112" spans="1:12" s="188" customFormat="1"/>
    <row r="113" spans="1:10" s="188" customFormat="1"/>
    <row r="116" spans="1:10" ht="15.75">
      <c r="C116" s="441" t="s">
        <v>337</v>
      </c>
      <c r="I116" s="442" t="s">
        <v>183</v>
      </c>
    </row>
    <row r="117" spans="1:10">
      <c r="E117" s="162">
        <f ca="1">SUMIF($D$14:$D$36,#REF!,H14:H36)</f>
        <v>0</v>
      </c>
    </row>
    <row r="120" spans="1:10">
      <c r="A120" s="162">
        <v>2</v>
      </c>
      <c r="B120" s="162">
        <v>3</v>
      </c>
      <c r="C120" s="162">
        <v>4</v>
      </c>
      <c r="D120" s="162">
        <v>5</v>
      </c>
      <c r="E120" s="162">
        <v>6</v>
      </c>
      <c r="F120" s="162">
        <v>9</v>
      </c>
      <c r="G120" s="162">
        <v>10</v>
      </c>
      <c r="H120" s="162">
        <v>11</v>
      </c>
      <c r="I120" s="162">
        <v>12</v>
      </c>
      <c r="J120" s="162">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33" customWidth="1"/>
    <col min="2" max="2" width="6" style="234" customWidth="1"/>
    <col min="3" max="3" width="7.7109375" style="233" customWidth="1"/>
    <col min="4" max="4" width="40.7109375" style="232" customWidth="1"/>
    <col min="5" max="5" width="6.5703125" style="232" customWidth="1"/>
    <col min="6" max="8" width="13.5703125" style="232" customWidth="1"/>
    <col min="9" max="9" width="6.5703125" style="232" customWidth="1"/>
    <col min="10" max="10" width="2.85546875" style="232" customWidth="1"/>
    <col min="11" max="11" width="10.7109375" style="232" bestFit="1" customWidth="1"/>
    <col min="12" max="12" width="4.140625" style="232" hidden="1" customWidth="1"/>
    <col min="13" max="14" width="4.5703125" style="232" hidden="1" customWidth="1"/>
    <col min="15" max="15" width="9.140625" style="232" hidden="1" customWidth="1"/>
    <col min="16" max="16384" width="9.140625" style="232"/>
  </cols>
  <sheetData>
    <row r="1" spans="1:14" s="192" customFormat="1" ht="16.5" customHeight="1">
      <c r="A1" s="134" t="s">
        <v>213</v>
      </c>
      <c r="B1" s="193"/>
      <c r="C1" s="194"/>
      <c r="F1" s="445"/>
      <c r="G1" s="447" t="s">
        <v>343</v>
      </c>
      <c r="H1" s="447"/>
      <c r="I1" s="445"/>
      <c r="K1" s="195"/>
    </row>
    <row r="2" spans="1:14" s="192" customFormat="1" ht="16.5" customHeight="1">
      <c r="A2" s="449" t="s">
        <v>214</v>
      </c>
      <c r="B2" s="235"/>
      <c r="C2" s="235"/>
      <c r="D2" s="235"/>
      <c r="F2" s="446"/>
      <c r="G2" s="448" t="s">
        <v>344</v>
      </c>
      <c r="H2" s="448"/>
      <c r="I2" s="446"/>
      <c r="K2" s="196"/>
    </row>
    <row r="3" spans="1:14" s="192" customFormat="1" ht="16.5" customHeight="1">
      <c r="A3" s="235"/>
      <c r="B3" s="235"/>
      <c r="C3" s="235"/>
      <c r="D3" s="235"/>
      <c r="F3" s="446"/>
      <c r="G3" s="448" t="s">
        <v>345</v>
      </c>
      <c r="H3" s="448"/>
      <c r="I3" s="446"/>
    </row>
    <row r="4" spans="1:14" s="192" customFormat="1" ht="19.5" customHeight="1">
      <c r="A4" s="1110" t="s">
        <v>246</v>
      </c>
      <c r="B4" s="1110"/>
      <c r="C4" s="1110"/>
      <c r="D4" s="1110"/>
      <c r="E4" s="1110"/>
      <c r="F4" s="1110"/>
      <c r="G4" s="1110"/>
      <c r="H4" s="1110"/>
      <c r="I4" s="1110"/>
    </row>
    <row r="5" spans="1:14" s="192" customFormat="1" ht="15">
      <c r="A5" s="1111" t="s">
        <v>247</v>
      </c>
      <c r="B5" s="1111"/>
      <c r="C5" s="1111"/>
      <c r="D5" s="1111"/>
      <c r="E5" s="1111"/>
      <c r="F5" s="1111"/>
      <c r="G5" s="1111"/>
      <c r="H5" s="1111"/>
      <c r="I5" s="1111"/>
    </row>
    <row r="6" spans="1:14" s="192" customFormat="1" ht="15">
      <c r="D6" s="521" t="s">
        <v>468</v>
      </c>
      <c r="E6" s="1111" t="str">
        <f>IF($H$6="VNĐ","1402 148 5100 7445","1402 148 5102 8153")</f>
        <v>1402 148 5100 7445</v>
      </c>
      <c r="F6" s="1111"/>
      <c r="G6" s="1111"/>
      <c r="H6" s="192" t="s">
        <v>205</v>
      </c>
      <c r="I6" s="522" t="str">
        <f>IF(H6="VNĐ","1121","1122")</f>
        <v>1121</v>
      </c>
    </row>
    <row r="7" spans="1:14" s="192" customFormat="1" ht="8.25" customHeight="1">
      <c r="A7" s="197"/>
      <c r="B7" s="198"/>
      <c r="C7" s="197"/>
      <c r="D7" s="198"/>
      <c r="E7" s="198"/>
      <c r="F7" s="198"/>
      <c r="G7" s="198"/>
      <c r="H7" s="198"/>
      <c r="I7" s="198"/>
    </row>
    <row r="8" spans="1:14" s="200" customFormat="1" ht="22.5" customHeight="1" thickBot="1">
      <c r="A8" s="1112" t="s">
        <v>248</v>
      </c>
      <c r="B8" s="1114" t="s">
        <v>1</v>
      </c>
      <c r="C8" s="1115"/>
      <c r="D8" s="1116" t="s">
        <v>0</v>
      </c>
      <c r="E8" s="1118" t="s">
        <v>19</v>
      </c>
      <c r="F8" s="1114" t="s">
        <v>249</v>
      </c>
      <c r="G8" s="1114"/>
      <c r="H8" s="1115"/>
      <c r="I8" s="1116" t="s">
        <v>232</v>
      </c>
      <c r="K8" s="190"/>
      <c r="L8" s="162"/>
      <c r="M8" s="1105" t="s">
        <v>242</v>
      </c>
      <c r="N8" s="1105"/>
    </row>
    <row r="9" spans="1:14" s="200" customFormat="1" ht="22.5" customHeight="1" thickBot="1">
      <c r="A9" s="1113"/>
      <c r="B9" s="201" t="s">
        <v>20</v>
      </c>
      <c r="C9" s="202" t="s">
        <v>250</v>
      </c>
      <c r="D9" s="1117"/>
      <c r="E9" s="1119"/>
      <c r="F9" s="504" t="s">
        <v>251</v>
      </c>
      <c r="G9" s="203" t="s">
        <v>252</v>
      </c>
      <c r="H9" s="199" t="s">
        <v>253</v>
      </c>
      <c r="I9" s="1117"/>
      <c r="K9" s="236" t="s">
        <v>976</v>
      </c>
      <c r="L9" s="162"/>
      <c r="M9" s="237">
        <f>IF(K9="Quý I",1,IF(K9="Quý II",4,IF(K9="Quý III",7,IF(K9="Quý IV",10,""))))</f>
        <v>4</v>
      </c>
      <c r="N9" s="238">
        <f>IF(K9="Quý I",3,IF(K9="Quý II",6,IF(K9="Quý III",9,IF(K9="Quý IV",12,""))))</f>
        <v>6</v>
      </c>
    </row>
    <row r="10" spans="1:14" s="206" customFormat="1" ht="12">
      <c r="A10" s="204" t="s">
        <v>2</v>
      </c>
      <c r="B10" s="205" t="s">
        <v>3</v>
      </c>
      <c r="C10" s="204" t="s">
        <v>4</v>
      </c>
      <c r="D10" s="205" t="s">
        <v>5</v>
      </c>
      <c r="E10" s="205" t="s">
        <v>6</v>
      </c>
      <c r="F10" s="205">
        <v>1</v>
      </c>
      <c r="G10" s="205">
        <v>2</v>
      </c>
      <c r="H10" s="205">
        <v>3</v>
      </c>
      <c r="I10" s="205" t="s">
        <v>235</v>
      </c>
    </row>
    <row r="11" spans="1:14" s="211" customFormat="1" ht="20.25" customHeight="1">
      <c r="A11" s="207"/>
      <c r="B11" s="208"/>
      <c r="C11" s="207"/>
      <c r="D11" s="209" t="s">
        <v>7</v>
      </c>
      <c r="E11" s="209"/>
      <c r="F11" s="210"/>
      <c r="G11" s="209"/>
      <c r="H11" s="210">
        <f>IF($I$6="1121",CDPS!$C$12+SUMIF(_N112,"x",TH)-SUMIF(_C112,"x",TH),CDPS!C13+SUMIF(_N112,"x",TH)-SUMIF(_C112,"x",TH))</f>
        <v>4034953</v>
      </c>
      <c r="I11" s="209"/>
    </row>
    <row r="12" spans="1:14" s="200" customFormat="1" ht="20.25" customHeight="1">
      <c r="A12" s="212">
        <f ca="1">IF(ROWS($1:1)&gt;COUNT(Dong2),"",OFFSET(TH!C$1,SMALL(Dong2,ROWS($1:1)),))</f>
        <v>42481</v>
      </c>
      <c r="B12" s="212" t="str">
        <f ca="1">IF(ROWS($1:1)&gt;COUNT(Dong2),"",OFFSET(TH!D$1,SMALL(Dong2,ROWS($1:1)),))</f>
        <v>GBC</v>
      </c>
      <c r="C12" s="212">
        <f ca="1">IF(ROWS($1:1)&gt;COUNT(Dong2),"",OFFSET(TH!E$1,SMALL(Dong2,ROWS($1:1)),))</f>
        <v>42481</v>
      </c>
      <c r="D12" s="450" t="str">
        <f ca="1">IF(ROWS($1:1)&gt;COUNT(Dong2),"",OFFSET(TH!F$1,SMALL(Dong2,ROWS($1:1)),))</f>
        <v>Ứng vốn</v>
      </c>
      <c r="E12" s="212" t="str">
        <f ca="1">IF(ROWS($1:1)&gt;COUNT(Dong2),"",IF(OFFSET(TH!O$1,SMALL(Dong2,ROWS($1:1)),)=$I$6,OFFSET(TH!N$1,SMALL(Dong2,ROWS($1:1)),),OFFSET(TH!O$1,SMALL(Dong2,ROWS($1:1)),)))</f>
        <v>1388</v>
      </c>
      <c r="F12" s="213">
        <f ca="1">IF(ROWS($1:1)&gt;COUNT(Dong2),"",IF(OFFSET(TH!N$1,SMALL(Dong2,ROWS($1:1)),)=$I$6,IF($I$6="1121",OFFSET(TH!M$1,SMALL(Dong2,ROWS($1:1)),),OFFSET(TH!K$1,SMALL(Dong2,ROWS($1:1)),)),0))</f>
        <v>40000000</v>
      </c>
      <c r="G12" s="213">
        <f ca="1">IF(ROWS($1:1)&gt;COUNT(Dong2),"",IF(OFFSET(TH!O$1,SMALL(Dong2,ROWS($1:1)),)=$I$6,IF($I$6="1121",OFFSET(TH!M$1,SMALL(Dong2,ROWS($1:1)),),OFFSET(TH!K$1,SMALL(Dong2,ROWS($1:1)),)),0))</f>
        <v>0</v>
      </c>
      <c r="H12" s="214">
        <f t="shared" ref="H12:H43" ca="1" si="0">IF(A12&lt;&gt;"",H11+F12-G12,0)</f>
        <v>44034953</v>
      </c>
      <c r="I12" s="214"/>
    </row>
    <row r="13" spans="1:14" s="200" customFormat="1" ht="20.25" customHeight="1">
      <c r="A13" s="212">
        <f ca="1">IF(ROWS($1:2)&gt;COUNT(Dong2),"",OFFSET(TH!C$1,SMALL(Dong2,ROWS($1:2)),))</f>
        <v>42481</v>
      </c>
      <c r="B13" s="212" t="str">
        <f ca="1">IF(ROWS($1:2)&gt;COUNT(Dong2),"",OFFSET(TH!D$1,SMALL(Dong2,ROWS($1:2)),))</f>
        <v>C19</v>
      </c>
      <c r="C13" s="212">
        <f ca="1">IF(ROWS($1:2)&gt;COUNT(Dong2),"",OFFSET(TH!E$1,SMALL(Dong2,ROWS($1:2)),))</f>
        <v>42481</v>
      </c>
      <c r="D13" s="450" t="str">
        <f ca="1">IF(ROWS($1:2)&gt;COUNT(Dong2),"",OFFSET(TH!F$1,SMALL(Dong2,ROWS($1:2)),))</f>
        <v>Q4 - Nộp tiền mặt</v>
      </c>
      <c r="E13" s="212" t="str">
        <f ca="1">IF(ROWS($1:2)&gt;COUNT(Dong2),"",IF(OFFSET(TH!O$1,SMALL(Dong2,ROWS($1:2)),)=$I$6,OFFSET(TH!N$1,SMALL(Dong2,ROWS($1:2)),),OFFSET(TH!O$1,SMALL(Dong2,ROWS($1:2)),)))</f>
        <v>1111</v>
      </c>
      <c r="F13" s="213">
        <f ca="1">IF(ROWS($1:2)&gt;COUNT(Dong2),"",IF(OFFSET(TH!N$1,SMALL(Dong2,ROWS($1:2)),)=$I$6,IF($I$6="1121",OFFSET(TH!M$1,SMALL(Dong2,ROWS($1:2)),),OFFSET(TH!K$1,SMALL(Dong2,ROWS($1:2)),)),0))</f>
        <v>130000000</v>
      </c>
      <c r="G13" s="213">
        <f ca="1">IF(ROWS($1:2)&gt;COUNT(Dong2),"",IF(OFFSET(TH!O$1,SMALL(Dong2,ROWS($1:2)),)=$I$6,IF($I$6="1121",OFFSET(TH!M$1,SMALL(Dong2,ROWS($1:2)),),OFFSET(TH!K$1,SMALL(Dong2,ROWS($1:2)),)),0))</f>
        <v>0</v>
      </c>
      <c r="H13" s="214">
        <f t="shared" ca="1" si="0"/>
        <v>174034953</v>
      </c>
      <c r="I13" s="214"/>
    </row>
    <row r="14" spans="1:14" s="200" customFormat="1" ht="20.25" customHeight="1">
      <c r="A14" s="212">
        <f ca="1">IF(ROWS($1:3)&gt;COUNT(Dong2),"",OFFSET(TH!C$1,SMALL(Dong2,ROWS($1:3)),))</f>
        <v>42481</v>
      </c>
      <c r="B14" s="212" t="str">
        <f ca="1">IF(ROWS($1:3)&gt;COUNT(Dong2),"",OFFSET(TH!D$1,SMALL(Dong2,ROWS($1:3)),))</f>
        <v>C19</v>
      </c>
      <c r="C14" s="212">
        <f ca="1">IF(ROWS($1:3)&gt;COUNT(Dong2),"",OFFSET(TH!E$1,SMALL(Dong2,ROWS($1:3)),))</f>
        <v>42481</v>
      </c>
      <c r="D14" s="450" t="str">
        <f ca="1">IF(ROWS($1:3)&gt;COUNT(Dong2),"",OFFSET(TH!F$1,SMALL(Dong2,ROWS($1:3)),))</f>
        <v>Q4 - Nộp tiền mặt</v>
      </c>
      <c r="E14" s="212" t="str">
        <f ca="1">IF(ROWS($1:3)&gt;COUNT(Dong2),"",IF(OFFSET(TH!O$1,SMALL(Dong2,ROWS($1:3)),)=$I$6,OFFSET(TH!N$1,SMALL(Dong2,ROWS($1:3)),),OFFSET(TH!O$1,SMALL(Dong2,ROWS($1:3)),)))</f>
        <v>1111</v>
      </c>
      <c r="F14" s="213">
        <f ca="1">IF(ROWS($1:3)&gt;COUNT(Dong2),"",IF(OFFSET(TH!N$1,SMALL(Dong2,ROWS($1:3)),)=$I$6,IF($I$6="1121",OFFSET(TH!M$1,SMALL(Dong2,ROWS($1:3)),),OFFSET(TH!K$1,SMALL(Dong2,ROWS($1:3)),)),0))</f>
        <v>60000000</v>
      </c>
      <c r="G14" s="213">
        <f ca="1">IF(ROWS($1:3)&gt;COUNT(Dong2),"",IF(OFFSET(TH!O$1,SMALL(Dong2,ROWS($1:3)),)=$I$6,IF($I$6="1121",OFFSET(TH!M$1,SMALL(Dong2,ROWS($1:3)),),OFFSET(TH!K$1,SMALL(Dong2,ROWS($1:3)),)),0))</f>
        <v>0</v>
      </c>
      <c r="H14" s="214">
        <f t="shared" ca="1" si="0"/>
        <v>234034953</v>
      </c>
      <c r="I14" s="214"/>
    </row>
    <row r="15" spans="1:14" s="200" customFormat="1" ht="20.25" customHeight="1">
      <c r="A15" s="212">
        <f ca="1">IF(ROWS($1:4)&gt;COUNT(Dong2),"",OFFSET(TH!C$1,SMALL(Dong2,ROWS($1:4)),))</f>
        <v>42481</v>
      </c>
      <c r="B15" s="212" t="str">
        <f ca="1">IF(ROWS($1:4)&gt;COUNT(Dong2),"",OFFSET(TH!D$1,SMALL(Dong2,ROWS($1:4)),))</f>
        <v>GBN</v>
      </c>
      <c r="C15" s="212">
        <f ca="1">IF(ROWS($1:4)&gt;COUNT(Dong2),"",OFFSET(TH!E$1,SMALL(Dong2,ROWS($1:4)),))</f>
        <v>42481</v>
      </c>
      <c r="D15" s="450" t="str">
        <f ca="1">IF(ROWS($1:4)&gt;COUNT(Dong2),"",OFFSET(TH!F$1,SMALL(Dong2,ROWS($1:4)),))</f>
        <v>Lãi vay</v>
      </c>
      <c r="E15" s="212" t="str">
        <f ca="1">IF(ROWS($1:4)&gt;COUNT(Dong2),"",IF(OFFSET(TH!O$1,SMALL(Dong2,ROWS($1:4)),)=$I$6,OFFSET(TH!N$1,SMALL(Dong2,ROWS($1:4)),),OFFSET(TH!O$1,SMALL(Dong2,ROWS($1:4)),)))</f>
        <v>635</v>
      </c>
      <c r="F15" s="213">
        <f ca="1">IF(ROWS($1:4)&gt;COUNT(Dong2),"",IF(OFFSET(TH!N$1,SMALL(Dong2,ROWS($1:4)),)=$I$6,IF($I$6="1121",OFFSET(TH!M$1,SMALL(Dong2,ROWS($1:4)),),OFFSET(TH!K$1,SMALL(Dong2,ROWS($1:4)),)),0))</f>
        <v>0</v>
      </c>
      <c r="G15" s="213">
        <f ca="1">IF(ROWS($1:4)&gt;COUNT(Dong2),"",IF(OFFSET(TH!O$1,SMALL(Dong2,ROWS($1:4)),)=$I$6,IF($I$6="1121",OFFSET(TH!M$1,SMALL(Dong2,ROWS($1:4)),),OFFSET(TH!K$1,SMALL(Dong2,ROWS($1:4)),)),0))</f>
        <v>8187032</v>
      </c>
      <c r="H15" s="214">
        <f t="shared" ca="1" si="0"/>
        <v>225847921</v>
      </c>
      <c r="I15" s="214"/>
    </row>
    <row r="16" spans="1:14" s="200" customFormat="1" ht="20.25" customHeight="1">
      <c r="A16" s="212">
        <f ca="1">IF(ROWS($1:5)&gt;COUNT(Dong2),"",OFFSET(TH!C$1,SMALL(Dong2,ROWS($1:5)),))</f>
        <v>42481</v>
      </c>
      <c r="B16" s="212" t="str">
        <f ca="1">IF(ROWS($1:5)&gt;COUNT(Dong2),"",OFFSET(TH!D$1,SMALL(Dong2,ROWS($1:5)),))</f>
        <v>GBN</v>
      </c>
      <c r="C16" s="212">
        <f ca="1">IF(ROWS($1:5)&gt;COUNT(Dong2),"",OFFSET(TH!E$1,SMALL(Dong2,ROWS($1:5)),))</f>
        <v>42481</v>
      </c>
      <c r="D16" s="450" t="str">
        <f ca="1">IF(ROWS($1:5)&gt;COUNT(Dong2),"",OFFSET(TH!F$1,SMALL(Dong2,ROWS($1:5)),))</f>
        <v>Lãi vay</v>
      </c>
      <c r="E16" s="212" t="str">
        <f ca="1">IF(ROWS($1:5)&gt;COUNT(Dong2),"",IF(OFFSET(TH!O$1,SMALL(Dong2,ROWS($1:5)),)=$I$6,OFFSET(TH!N$1,SMALL(Dong2,ROWS($1:5)),),OFFSET(TH!O$1,SMALL(Dong2,ROWS($1:5)),)))</f>
        <v>635</v>
      </c>
      <c r="F16" s="213">
        <f ca="1">IF(ROWS($1:5)&gt;COUNT(Dong2),"",IF(OFFSET(TH!N$1,SMALL(Dong2,ROWS($1:5)),)=$I$6,IF($I$6="1121",OFFSET(TH!M$1,SMALL(Dong2,ROWS($1:5)),),OFFSET(TH!K$1,SMALL(Dong2,ROWS($1:5)),)),0))</f>
        <v>0</v>
      </c>
      <c r="G16" s="213">
        <f ca="1">IF(ROWS($1:5)&gt;COUNT(Dong2),"",IF(OFFSET(TH!O$1,SMALL(Dong2,ROWS($1:5)),)=$I$6,IF($I$6="1121",OFFSET(TH!M$1,SMALL(Dong2,ROWS($1:5)),),OFFSET(TH!K$1,SMALL(Dong2,ROWS($1:5)),)),0))</f>
        <v>16374064</v>
      </c>
      <c r="H16" s="214">
        <f t="shared" ca="1" si="0"/>
        <v>209473857</v>
      </c>
      <c r="I16" s="214"/>
    </row>
    <row r="17" spans="1:9" s="200" customFormat="1" ht="20.25" customHeight="1">
      <c r="A17" s="212">
        <f ca="1">IF(ROWS($1:6)&gt;COUNT(Dong2),"",OFFSET(TH!C$1,SMALL(Dong2,ROWS($1:6)),))</f>
        <v>42481</v>
      </c>
      <c r="B17" s="212" t="str">
        <f ca="1">IF(ROWS($1:6)&gt;COUNT(Dong2),"",OFFSET(TH!D$1,SMALL(Dong2,ROWS($1:6)),))</f>
        <v>GBN</v>
      </c>
      <c r="C17" s="212">
        <f ca="1">IF(ROWS($1:6)&gt;COUNT(Dong2),"",OFFSET(TH!E$1,SMALL(Dong2,ROWS($1:6)),))</f>
        <v>42481</v>
      </c>
      <c r="D17" s="450" t="str">
        <f ca="1">IF(ROWS($1:6)&gt;COUNT(Dong2),"",OFFSET(TH!F$1,SMALL(Dong2,ROWS($1:6)),))</f>
        <v>Lãi vay</v>
      </c>
      <c r="E17" s="212" t="str">
        <f ca="1">IF(ROWS($1:6)&gt;COUNT(Dong2),"",IF(OFFSET(TH!O$1,SMALL(Dong2,ROWS($1:6)),)=$I$6,OFFSET(TH!N$1,SMALL(Dong2,ROWS($1:6)),),OFFSET(TH!O$1,SMALL(Dong2,ROWS($1:6)),)))</f>
        <v>635</v>
      </c>
      <c r="F17" s="213">
        <f ca="1">IF(ROWS($1:6)&gt;COUNT(Dong2),"",IF(OFFSET(TH!N$1,SMALL(Dong2,ROWS($1:6)),)=$I$6,IF($I$6="1121",OFFSET(TH!M$1,SMALL(Dong2,ROWS($1:6)),),OFFSET(TH!K$1,SMALL(Dong2,ROWS($1:6)),)),0))</f>
        <v>0</v>
      </c>
      <c r="G17" s="213">
        <f ca="1">IF(ROWS($1:6)&gt;COUNT(Dong2),"",IF(OFFSET(TH!O$1,SMALL(Dong2,ROWS($1:6)),)=$I$6,IF($I$6="1121",OFFSET(TH!M$1,SMALL(Dong2,ROWS($1:6)),),OFFSET(TH!K$1,SMALL(Dong2,ROWS($1:6)),)),0))</f>
        <v>13099251</v>
      </c>
      <c r="H17" s="214">
        <f t="shared" ca="1" si="0"/>
        <v>196374606</v>
      </c>
      <c r="I17" s="214"/>
    </row>
    <row r="18" spans="1:9" s="200" customFormat="1" ht="20.25" customHeight="1">
      <c r="A18" s="212">
        <f ca="1">IF(ROWS($1:7)&gt;COUNT(Dong2),"",OFFSET(TH!C$1,SMALL(Dong2,ROWS($1:7)),))</f>
        <v>42481</v>
      </c>
      <c r="B18" s="212" t="str">
        <f ca="1">IF(ROWS($1:7)&gt;COUNT(Dong2),"",OFFSET(TH!D$1,SMALL(Dong2,ROWS($1:7)),))</f>
        <v>GBN</v>
      </c>
      <c r="C18" s="212">
        <f ca="1">IF(ROWS($1:7)&gt;COUNT(Dong2),"",OFFSET(TH!E$1,SMALL(Dong2,ROWS($1:7)),))</f>
        <v>42481</v>
      </c>
      <c r="D18" s="450" t="str">
        <f ca="1">IF(ROWS($1:7)&gt;COUNT(Dong2),"",OFFSET(TH!F$1,SMALL(Dong2,ROWS($1:7)),))</f>
        <v>Lãi vay</v>
      </c>
      <c r="E18" s="212" t="str">
        <f ca="1">IF(ROWS($1:7)&gt;COUNT(Dong2),"",IF(OFFSET(TH!O$1,SMALL(Dong2,ROWS($1:7)),)=$I$6,OFFSET(TH!N$1,SMALL(Dong2,ROWS($1:7)),),OFFSET(TH!O$1,SMALL(Dong2,ROWS($1:7)),)))</f>
        <v>635</v>
      </c>
      <c r="F18" s="213">
        <f ca="1">IF(ROWS($1:7)&gt;COUNT(Dong2),"",IF(OFFSET(TH!N$1,SMALL(Dong2,ROWS($1:7)),)=$I$6,IF($I$6="1121",OFFSET(TH!M$1,SMALL(Dong2,ROWS($1:7)),),OFFSET(TH!K$1,SMALL(Dong2,ROWS($1:7)),)),0))</f>
        <v>0</v>
      </c>
      <c r="G18" s="213">
        <f ca="1">IF(ROWS($1:7)&gt;COUNT(Dong2),"",IF(OFFSET(TH!O$1,SMALL(Dong2,ROWS($1:7)),)=$I$6,IF($I$6="1121",OFFSET(TH!M$1,SMALL(Dong2,ROWS($1:7)),),OFFSET(TH!K$1,SMALL(Dong2,ROWS($1:7)),)),0))</f>
        <v>12280547</v>
      </c>
      <c r="H18" s="214">
        <f t="shared" ca="1" si="0"/>
        <v>184094059</v>
      </c>
      <c r="I18" s="214"/>
    </row>
    <row r="19" spans="1:9" s="200" customFormat="1" ht="20.25" customHeight="1">
      <c r="A19" s="212">
        <f ca="1">IF(ROWS($1:8)&gt;COUNT(Dong2),"",OFFSET(TH!C$1,SMALL(Dong2,ROWS($1:8)),))</f>
        <v>42481</v>
      </c>
      <c r="B19" s="212" t="str">
        <f ca="1">IF(ROWS($1:8)&gt;COUNT(Dong2),"",OFFSET(TH!D$1,SMALL(Dong2,ROWS($1:8)),))</f>
        <v>GBN</v>
      </c>
      <c r="C19" s="212">
        <f ca="1">IF(ROWS($1:8)&gt;COUNT(Dong2),"",OFFSET(TH!E$1,SMALL(Dong2,ROWS($1:8)),))</f>
        <v>42481</v>
      </c>
      <c r="D19" s="450" t="str">
        <f ca="1">IF(ROWS($1:8)&gt;COUNT(Dong2),"",OFFSET(TH!F$1,SMALL(Dong2,ROWS($1:8)),))</f>
        <v>Lãi vay</v>
      </c>
      <c r="E19" s="212" t="str">
        <f ca="1">IF(ROWS($1:8)&gt;COUNT(Dong2),"",IF(OFFSET(TH!O$1,SMALL(Dong2,ROWS($1:8)),)=$I$6,OFFSET(TH!N$1,SMALL(Dong2,ROWS($1:8)),),OFFSET(TH!O$1,SMALL(Dong2,ROWS($1:8)),)))</f>
        <v>635</v>
      </c>
      <c r="F19" s="213">
        <f ca="1">IF(ROWS($1:8)&gt;COUNT(Dong2),"",IF(OFFSET(TH!N$1,SMALL(Dong2,ROWS($1:8)),)=$I$6,IF($I$6="1121",OFFSET(TH!M$1,SMALL(Dong2,ROWS($1:8)),),OFFSET(TH!K$1,SMALL(Dong2,ROWS($1:8)),)),0))</f>
        <v>0</v>
      </c>
      <c r="G19" s="213">
        <f ca="1">IF(ROWS($1:8)&gt;COUNT(Dong2),"",IF(OFFSET(TH!O$1,SMALL(Dong2,ROWS($1:8)),)=$I$6,IF($I$6="1121",OFFSET(TH!M$1,SMALL(Dong2,ROWS($1:8)),),OFFSET(TH!K$1,SMALL(Dong2,ROWS($1:8)),)),0))</f>
        <v>8187032</v>
      </c>
      <c r="H19" s="214">
        <f t="shared" ca="1" si="0"/>
        <v>175907027</v>
      </c>
      <c r="I19" s="214"/>
    </row>
    <row r="20" spans="1:9" s="200" customFormat="1" ht="20.25" customHeight="1">
      <c r="A20" s="212">
        <f ca="1">IF(ROWS($1:9)&gt;COUNT(Dong2),"",OFFSET(TH!C$1,SMALL(Dong2,ROWS($1:9)),))</f>
        <v>42481</v>
      </c>
      <c r="B20" s="212" t="str">
        <f ca="1">IF(ROWS($1:9)&gt;COUNT(Dong2),"",OFFSET(TH!D$1,SMALL(Dong2,ROWS($1:9)),))</f>
        <v>GBN</v>
      </c>
      <c r="C20" s="212">
        <f ca="1">IF(ROWS($1:9)&gt;COUNT(Dong2),"",OFFSET(TH!E$1,SMALL(Dong2,ROWS($1:9)),))</f>
        <v>42481</v>
      </c>
      <c r="D20" s="450" t="str">
        <f ca="1">IF(ROWS($1:9)&gt;COUNT(Dong2),"",OFFSET(TH!F$1,SMALL(Dong2,ROWS($1:9)),))</f>
        <v>Lãi vay</v>
      </c>
      <c r="E20" s="212" t="str">
        <f ca="1">IF(ROWS($1:9)&gt;COUNT(Dong2),"",IF(OFFSET(TH!O$1,SMALL(Dong2,ROWS($1:9)),)=$I$6,OFFSET(TH!N$1,SMALL(Dong2,ROWS($1:9)),),OFFSET(TH!O$1,SMALL(Dong2,ROWS($1:9)),)))</f>
        <v>635</v>
      </c>
      <c r="F20" s="213">
        <f ca="1">IF(ROWS($1:9)&gt;COUNT(Dong2),"",IF(OFFSET(TH!N$1,SMALL(Dong2,ROWS($1:9)),)=$I$6,IF($I$6="1121",OFFSET(TH!M$1,SMALL(Dong2,ROWS($1:9)),),OFFSET(TH!K$1,SMALL(Dong2,ROWS($1:9)),)),0))</f>
        <v>0</v>
      </c>
      <c r="G20" s="213">
        <f ca="1">IF(ROWS($1:9)&gt;COUNT(Dong2),"",IF(OFFSET(TH!O$1,SMALL(Dong2,ROWS($1:9)),)=$I$6,IF($I$6="1121",OFFSET(TH!M$1,SMALL(Dong2,ROWS($1:9)),),OFFSET(TH!K$1,SMALL(Dong2,ROWS($1:9)),)),0))</f>
        <v>12280547</v>
      </c>
      <c r="H20" s="214">
        <f t="shared" ca="1" si="0"/>
        <v>163626480</v>
      </c>
      <c r="I20" s="214"/>
    </row>
    <row r="21" spans="1:9" s="200" customFormat="1" ht="20.25" customHeight="1">
      <c r="A21" s="212">
        <f ca="1">IF(ROWS($1:10)&gt;COUNT(Dong2),"",OFFSET(TH!C$1,SMALL(Dong2,ROWS($1:10)),))</f>
        <v>42481</v>
      </c>
      <c r="B21" s="212" t="str">
        <f ca="1">IF(ROWS($1:10)&gt;COUNT(Dong2),"",OFFSET(TH!D$1,SMALL(Dong2,ROWS($1:10)),))</f>
        <v>GBN</v>
      </c>
      <c r="C21" s="212">
        <f ca="1">IF(ROWS($1:10)&gt;COUNT(Dong2),"",OFFSET(TH!E$1,SMALL(Dong2,ROWS($1:10)),))</f>
        <v>42481</v>
      </c>
      <c r="D21" s="450" t="str">
        <f ca="1">IF(ROWS($1:10)&gt;COUNT(Dong2),"",OFFSET(TH!F$1,SMALL(Dong2,ROWS($1:10)),))</f>
        <v>Lãi vay</v>
      </c>
      <c r="E21" s="212" t="str">
        <f ca="1">IF(ROWS($1:10)&gt;COUNT(Dong2),"",IF(OFFSET(TH!O$1,SMALL(Dong2,ROWS($1:10)),)=$I$6,OFFSET(TH!N$1,SMALL(Dong2,ROWS($1:10)),),OFFSET(TH!O$1,SMALL(Dong2,ROWS($1:10)),)))</f>
        <v>635</v>
      </c>
      <c r="F21" s="213">
        <f ca="1">IF(ROWS($1:10)&gt;COUNT(Dong2),"",IF(OFFSET(TH!N$1,SMALL(Dong2,ROWS($1:10)),)=$I$6,IF($I$6="1121",OFFSET(TH!M$1,SMALL(Dong2,ROWS($1:10)),),OFFSET(TH!K$1,SMALL(Dong2,ROWS($1:10)),)),0))</f>
        <v>0</v>
      </c>
      <c r="G21" s="213">
        <f ca="1">IF(ROWS($1:10)&gt;COUNT(Dong2),"",IF(OFFSET(TH!O$1,SMALL(Dong2,ROWS($1:10)),)=$I$6,IF($I$6="1121",OFFSET(TH!M$1,SMALL(Dong2,ROWS($1:10)),),OFFSET(TH!K$1,SMALL(Dong2,ROWS($1:10)),)),0))</f>
        <v>16374064</v>
      </c>
      <c r="H21" s="214">
        <f t="shared" ca="1" si="0"/>
        <v>147252416</v>
      </c>
      <c r="I21" s="214"/>
    </row>
    <row r="22" spans="1:9" s="200" customFormat="1" ht="20.25" customHeight="1">
      <c r="A22" s="212">
        <f ca="1">IF(ROWS($1:11)&gt;COUNT(Dong2),"",OFFSET(TH!C$1,SMALL(Dong2,ROWS($1:11)),))</f>
        <v>42481</v>
      </c>
      <c r="B22" s="212" t="str">
        <f ca="1">IF(ROWS($1:11)&gt;COUNT(Dong2),"",OFFSET(TH!D$1,SMALL(Dong2,ROWS($1:11)),))</f>
        <v>GBN</v>
      </c>
      <c r="C22" s="212">
        <f ca="1">IF(ROWS($1:11)&gt;COUNT(Dong2),"",OFFSET(TH!E$1,SMALL(Dong2,ROWS($1:11)),))</f>
        <v>42481</v>
      </c>
      <c r="D22" s="450" t="str">
        <f ca="1">IF(ROWS($1:11)&gt;COUNT(Dong2),"",OFFSET(TH!F$1,SMALL(Dong2,ROWS($1:11)),))</f>
        <v>Lãi vay</v>
      </c>
      <c r="E22" s="212" t="str">
        <f ca="1">IF(ROWS($1:11)&gt;COUNT(Dong2),"",IF(OFFSET(TH!O$1,SMALL(Dong2,ROWS($1:11)),)=$I$6,OFFSET(TH!N$1,SMALL(Dong2,ROWS($1:11)),),OFFSET(TH!O$1,SMALL(Dong2,ROWS($1:11)),)))</f>
        <v>635</v>
      </c>
      <c r="F22" s="213">
        <f ca="1">IF(ROWS($1:11)&gt;COUNT(Dong2),"",IF(OFFSET(TH!N$1,SMALL(Dong2,ROWS($1:11)),)=$I$6,IF($I$6="1121",OFFSET(TH!M$1,SMALL(Dong2,ROWS($1:11)),),OFFSET(TH!K$1,SMALL(Dong2,ROWS($1:11)),)),0))</f>
        <v>0</v>
      </c>
      <c r="G22" s="213">
        <f ca="1">IF(ROWS($1:11)&gt;COUNT(Dong2),"",IF(OFFSET(TH!O$1,SMALL(Dong2,ROWS($1:11)),)=$I$6,IF($I$6="1121",OFFSET(TH!M$1,SMALL(Dong2,ROWS($1:11)),),OFFSET(TH!K$1,SMALL(Dong2,ROWS($1:11)),)),0))</f>
        <v>11461845</v>
      </c>
      <c r="H22" s="214">
        <f t="shared" ca="1" si="0"/>
        <v>135790571</v>
      </c>
      <c r="I22" s="214"/>
    </row>
    <row r="23" spans="1:9" s="200" customFormat="1" ht="20.25" customHeight="1">
      <c r="A23" s="212">
        <f ca="1">IF(ROWS($1:12)&gt;COUNT(Dong2),"",OFFSET(TH!C$1,SMALL(Dong2,ROWS($1:12)),))</f>
        <v>42481</v>
      </c>
      <c r="B23" s="212" t="str">
        <f ca="1">IF(ROWS($1:12)&gt;COUNT(Dong2),"",OFFSET(TH!D$1,SMALL(Dong2,ROWS($1:12)),))</f>
        <v>GBN</v>
      </c>
      <c r="C23" s="212">
        <f ca="1">IF(ROWS($1:12)&gt;COUNT(Dong2),"",OFFSET(TH!E$1,SMALL(Dong2,ROWS($1:12)),))</f>
        <v>42481</v>
      </c>
      <c r="D23" s="450" t="str">
        <f ca="1">IF(ROWS($1:12)&gt;COUNT(Dong2),"",OFFSET(TH!F$1,SMALL(Dong2,ROWS($1:12)),))</f>
        <v>Lãi vay</v>
      </c>
      <c r="E23" s="212" t="str">
        <f ca="1">IF(ROWS($1:12)&gt;COUNT(Dong2),"",IF(OFFSET(TH!O$1,SMALL(Dong2,ROWS($1:12)),)=$I$6,OFFSET(TH!N$1,SMALL(Dong2,ROWS($1:12)),),OFFSET(TH!O$1,SMALL(Dong2,ROWS($1:12)),)))</f>
        <v>635</v>
      </c>
      <c r="F23" s="213">
        <f ca="1">IF(ROWS($1:12)&gt;COUNT(Dong2),"",IF(OFFSET(TH!N$1,SMALL(Dong2,ROWS($1:12)),)=$I$6,IF($I$6="1121",OFFSET(TH!M$1,SMALL(Dong2,ROWS($1:12)),),OFFSET(TH!K$1,SMALL(Dong2,ROWS($1:12)),)),0))</f>
        <v>0</v>
      </c>
      <c r="G23" s="213">
        <f ca="1">IF(ROWS($1:12)&gt;COUNT(Dong2),"",IF(OFFSET(TH!O$1,SMALL(Dong2,ROWS($1:12)),)=$I$6,IF($I$6="1121",OFFSET(TH!M$1,SMALL(Dong2,ROWS($1:12)),),OFFSET(TH!K$1,SMALL(Dong2,ROWS($1:12)),)),0))</f>
        <v>12280547</v>
      </c>
      <c r="H23" s="214">
        <f t="shared" ca="1" si="0"/>
        <v>123510024</v>
      </c>
      <c r="I23" s="214"/>
    </row>
    <row r="24" spans="1:9" s="200" customFormat="1" ht="20.25" customHeight="1">
      <c r="A24" s="212">
        <f ca="1">IF(ROWS($1:13)&gt;COUNT(Dong2),"",OFFSET(TH!C$1,SMALL(Dong2,ROWS($1:13)),))</f>
        <v>42481</v>
      </c>
      <c r="B24" s="212" t="str">
        <f ca="1">IF(ROWS($1:13)&gt;COUNT(Dong2),"",OFFSET(TH!D$1,SMALL(Dong2,ROWS($1:13)),))</f>
        <v>GBN</v>
      </c>
      <c r="C24" s="212">
        <f ca="1">IF(ROWS($1:13)&gt;COUNT(Dong2),"",OFFSET(TH!E$1,SMALL(Dong2,ROWS($1:13)),))</f>
        <v>42481</v>
      </c>
      <c r="D24" s="450" t="str">
        <f ca="1">IF(ROWS($1:13)&gt;COUNT(Dong2),"",OFFSET(TH!F$1,SMALL(Dong2,ROWS($1:13)),))</f>
        <v>Lãi vay</v>
      </c>
      <c r="E24" s="212" t="str">
        <f ca="1">IF(ROWS($1:13)&gt;COUNT(Dong2),"",IF(OFFSET(TH!O$1,SMALL(Dong2,ROWS($1:13)),)=$I$6,OFFSET(TH!N$1,SMALL(Dong2,ROWS($1:13)),),OFFSET(TH!O$1,SMALL(Dong2,ROWS($1:13)),)))</f>
        <v>635</v>
      </c>
      <c r="F24" s="213">
        <f ca="1">IF(ROWS($1:13)&gt;COUNT(Dong2),"",IF(OFFSET(TH!N$1,SMALL(Dong2,ROWS($1:13)),)=$I$6,IF($I$6="1121",OFFSET(TH!M$1,SMALL(Dong2,ROWS($1:13)),),OFFSET(TH!K$1,SMALL(Dong2,ROWS($1:13)),)),0))</f>
        <v>0</v>
      </c>
      <c r="G24" s="213">
        <f ca="1">IF(ROWS($1:13)&gt;COUNT(Dong2),"",IF(OFFSET(TH!O$1,SMALL(Dong2,ROWS($1:13)),)=$I$6,IF($I$6="1121",OFFSET(TH!M$1,SMALL(Dong2,ROWS($1:13)),),OFFSET(TH!K$1,SMALL(Dong2,ROWS($1:13)),)),0))</f>
        <v>12280547</v>
      </c>
      <c r="H24" s="214">
        <f t="shared" ca="1" si="0"/>
        <v>111229477</v>
      </c>
      <c r="I24" s="214"/>
    </row>
    <row r="25" spans="1:9" s="200" customFormat="1" ht="20.25" customHeight="1">
      <c r="A25" s="212">
        <f ca="1">IF(ROWS($1:14)&gt;COUNT(Dong2),"",OFFSET(TH!C$1,SMALL(Dong2,ROWS($1:14)),))</f>
        <v>42481</v>
      </c>
      <c r="B25" s="212" t="str">
        <f ca="1">IF(ROWS($1:14)&gt;COUNT(Dong2),"",OFFSET(TH!D$1,SMALL(Dong2,ROWS($1:14)),))</f>
        <v>GBN</v>
      </c>
      <c r="C25" s="212">
        <f ca="1">IF(ROWS($1:14)&gt;COUNT(Dong2),"",OFFSET(TH!E$1,SMALL(Dong2,ROWS($1:14)),))</f>
        <v>42481</v>
      </c>
      <c r="D25" s="450" t="str">
        <f ca="1">IF(ROWS($1:14)&gt;COUNT(Dong2),"",OFFSET(TH!F$1,SMALL(Dong2,ROWS($1:14)),))</f>
        <v>Lãi vay</v>
      </c>
      <c r="E25" s="212" t="str">
        <f ca="1">IF(ROWS($1:14)&gt;COUNT(Dong2),"",IF(OFFSET(TH!O$1,SMALL(Dong2,ROWS($1:14)),)=$I$6,OFFSET(TH!N$1,SMALL(Dong2,ROWS($1:14)),),OFFSET(TH!O$1,SMALL(Dong2,ROWS($1:14)),)))</f>
        <v>635</v>
      </c>
      <c r="F25" s="213">
        <f ca="1">IF(ROWS($1:14)&gt;COUNT(Dong2),"",IF(OFFSET(TH!N$1,SMALL(Dong2,ROWS($1:14)),)=$I$6,IF($I$6="1121",OFFSET(TH!M$1,SMALL(Dong2,ROWS($1:14)),),OFFSET(TH!K$1,SMALL(Dong2,ROWS($1:14)),)),0))</f>
        <v>0</v>
      </c>
      <c r="G25" s="213">
        <f ca="1">IF(ROWS($1:14)&gt;COUNT(Dong2),"",IF(OFFSET(TH!O$1,SMALL(Dong2,ROWS($1:14)),)=$I$6,IF($I$6="1121",OFFSET(TH!M$1,SMALL(Dong2,ROWS($1:14)),),OFFSET(TH!K$1,SMALL(Dong2,ROWS($1:14)),)),0))</f>
        <v>12280547</v>
      </c>
      <c r="H25" s="214">
        <f t="shared" ca="1" si="0"/>
        <v>98948930</v>
      </c>
      <c r="I25" s="214"/>
    </row>
    <row r="26" spans="1:9" s="200" customFormat="1" ht="20.25" customHeight="1">
      <c r="A26" s="212">
        <f ca="1">IF(ROWS($1:15)&gt;COUNT(Dong2),"",OFFSET(TH!C$1,SMALL(Dong2,ROWS($1:15)),))</f>
        <v>42481</v>
      </c>
      <c r="B26" s="212" t="str">
        <f ca="1">IF(ROWS($1:15)&gt;COUNT(Dong2),"",OFFSET(TH!D$1,SMALL(Dong2,ROWS($1:15)),))</f>
        <v>GBN</v>
      </c>
      <c r="C26" s="212">
        <f ca="1">IF(ROWS($1:15)&gt;COUNT(Dong2),"",OFFSET(TH!E$1,SMALL(Dong2,ROWS($1:15)),))</f>
        <v>42481</v>
      </c>
      <c r="D26" s="450" t="str">
        <f ca="1">IF(ROWS($1:15)&gt;COUNT(Dong2),"",OFFSET(TH!F$1,SMALL(Dong2,ROWS($1:15)),))</f>
        <v>Lãi vay</v>
      </c>
      <c r="E26" s="212" t="str">
        <f ca="1">IF(ROWS($1:15)&gt;COUNT(Dong2),"",IF(OFFSET(TH!O$1,SMALL(Dong2,ROWS($1:15)),)=$I$6,OFFSET(TH!N$1,SMALL(Dong2,ROWS($1:15)),),OFFSET(TH!O$1,SMALL(Dong2,ROWS($1:15)),)))</f>
        <v>635</v>
      </c>
      <c r="F26" s="213">
        <f ca="1">IF(ROWS($1:15)&gt;COUNT(Dong2),"",IF(OFFSET(TH!N$1,SMALL(Dong2,ROWS($1:15)),)=$I$6,IF($I$6="1121",OFFSET(TH!M$1,SMALL(Dong2,ROWS($1:15)),),OFFSET(TH!K$1,SMALL(Dong2,ROWS($1:15)),)),0))</f>
        <v>0</v>
      </c>
      <c r="G26" s="213">
        <f ca="1">IF(ROWS($1:15)&gt;COUNT(Dong2),"",IF(OFFSET(TH!O$1,SMALL(Dong2,ROWS($1:15)),)=$I$6,IF($I$6="1121",OFFSET(TH!M$1,SMALL(Dong2,ROWS($1:15)),),OFFSET(TH!K$1,SMALL(Dong2,ROWS($1:15)),)),0))</f>
        <v>8187032</v>
      </c>
      <c r="H26" s="214">
        <f t="shared" ca="1" si="0"/>
        <v>90761898</v>
      </c>
      <c r="I26" s="214"/>
    </row>
    <row r="27" spans="1:9" s="200" customFormat="1" ht="20.25" customHeight="1">
      <c r="A27" s="212">
        <f ca="1">IF(ROWS($1:16)&gt;COUNT(Dong2),"",OFFSET(TH!C$1,SMALL(Dong2,ROWS($1:16)),))</f>
        <v>42481</v>
      </c>
      <c r="B27" s="212" t="str">
        <f ca="1">IF(ROWS($1:16)&gt;COUNT(Dong2),"",OFFSET(TH!D$1,SMALL(Dong2,ROWS($1:16)),))</f>
        <v>GBN</v>
      </c>
      <c r="C27" s="212">
        <f ca="1">IF(ROWS($1:16)&gt;COUNT(Dong2),"",OFFSET(TH!E$1,SMALL(Dong2,ROWS($1:16)),))</f>
        <v>42481</v>
      </c>
      <c r="D27" s="450" t="str">
        <f ca="1">IF(ROWS($1:16)&gt;COUNT(Dong2),"",OFFSET(TH!F$1,SMALL(Dong2,ROWS($1:16)),))</f>
        <v>Lãi vay</v>
      </c>
      <c r="E27" s="212" t="str">
        <f ca="1">IF(ROWS($1:16)&gt;COUNT(Dong2),"",IF(OFFSET(TH!O$1,SMALL(Dong2,ROWS($1:16)),)=$I$6,OFFSET(TH!N$1,SMALL(Dong2,ROWS($1:16)),),OFFSET(TH!O$1,SMALL(Dong2,ROWS($1:16)),)))</f>
        <v>635</v>
      </c>
      <c r="F27" s="213">
        <f ca="1">IF(ROWS($1:16)&gt;COUNT(Dong2),"",IF(OFFSET(TH!N$1,SMALL(Dong2,ROWS($1:16)),)=$I$6,IF($I$6="1121",OFFSET(TH!M$1,SMALL(Dong2,ROWS($1:16)),),OFFSET(TH!K$1,SMALL(Dong2,ROWS($1:16)),)),0))</f>
        <v>0</v>
      </c>
      <c r="G27" s="213">
        <f ca="1">IF(ROWS($1:16)&gt;COUNT(Dong2),"",IF(OFFSET(TH!O$1,SMALL(Dong2,ROWS($1:16)),)=$I$6,IF($I$6="1121",OFFSET(TH!M$1,SMALL(Dong2,ROWS($1:16)),),OFFSET(TH!K$1,SMALL(Dong2,ROWS($1:16)),)),0))</f>
        <v>8187032</v>
      </c>
      <c r="H27" s="214">
        <f t="shared" ca="1" si="0"/>
        <v>82574866</v>
      </c>
      <c r="I27" s="214"/>
    </row>
    <row r="28" spans="1:9" s="200" customFormat="1" ht="20.25" customHeight="1">
      <c r="A28" s="212">
        <f ca="1">IF(ROWS($1:17)&gt;COUNT(Dong2),"",OFFSET(TH!C$1,SMALL(Dong2,ROWS($1:17)),))</f>
        <v>42481</v>
      </c>
      <c r="B28" s="212" t="str">
        <f ca="1">IF(ROWS($1:17)&gt;COUNT(Dong2),"",OFFSET(TH!D$1,SMALL(Dong2,ROWS($1:17)),))</f>
        <v>GBN</v>
      </c>
      <c r="C28" s="212">
        <f ca="1">IF(ROWS($1:17)&gt;COUNT(Dong2),"",OFFSET(TH!E$1,SMALL(Dong2,ROWS($1:17)),))</f>
        <v>42481</v>
      </c>
      <c r="D28" s="450" t="str">
        <f ca="1">IF(ROWS($1:17)&gt;COUNT(Dong2),"",OFFSET(TH!F$1,SMALL(Dong2,ROWS($1:17)),))</f>
        <v>Lãi vay</v>
      </c>
      <c r="E28" s="212" t="str">
        <f ca="1">IF(ROWS($1:17)&gt;COUNT(Dong2),"",IF(OFFSET(TH!O$1,SMALL(Dong2,ROWS($1:17)),)=$I$6,OFFSET(TH!N$1,SMALL(Dong2,ROWS($1:17)),),OFFSET(TH!O$1,SMALL(Dong2,ROWS($1:17)),)))</f>
        <v>635</v>
      </c>
      <c r="F28" s="213">
        <f ca="1">IF(ROWS($1:17)&gt;COUNT(Dong2),"",IF(OFFSET(TH!N$1,SMALL(Dong2,ROWS($1:17)),)=$I$6,IF($I$6="1121",OFFSET(TH!M$1,SMALL(Dong2,ROWS($1:17)),),OFFSET(TH!K$1,SMALL(Dong2,ROWS($1:17)),)),0))</f>
        <v>0</v>
      </c>
      <c r="G28" s="213">
        <f ca="1">IF(ROWS($1:17)&gt;COUNT(Dong2),"",IF(OFFSET(TH!O$1,SMALL(Dong2,ROWS($1:17)),)=$I$6,IF($I$6="1121",OFFSET(TH!M$1,SMALL(Dong2,ROWS($1:17)),),OFFSET(TH!K$1,SMALL(Dong2,ROWS($1:17)),)),0))</f>
        <v>6772110</v>
      </c>
      <c r="H28" s="214">
        <f t="shared" ca="1" si="0"/>
        <v>75802756</v>
      </c>
      <c r="I28" s="214"/>
    </row>
    <row r="29" spans="1:9" s="200" customFormat="1" ht="20.25" customHeight="1">
      <c r="A29" s="212">
        <f ca="1">IF(ROWS($1:18)&gt;COUNT(Dong2),"",OFFSET(TH!C$1,SMALL(Dong2,ROWS($1:18)),))</f>
        <v>42481</v>
      </c>
      <c r="B29" s="212" t="str">
        <f ca="1">IF(ROWS($1:18)&gt;COUNT(Dong2),"",OFFSET(TH!D$1,SMALL(Dong2,ROWS($1:18)),))</f>
        <v>GBN</v>
      </c>
      <c r="C29" s="212">
        <f ca="1">IF(ROWS($1:18)&gt;COUNT(Dong2),"",OFFSET(TH!E$1,SMALL(Dong2,ROWS($1:18)),))</f>
        <v>42481</v>
      </c>
      <c r="D29" s="450" t="str">
        <f ca="1">IF(ROWS($1:18)&gt;COUNT(Dong2),"",OFFSET(TH!F$1,SMALL(Dong2,ROWS($1:18)),))</f>
        <v>Lãi vay</v>
      </c>
      <c r="E29" s="212" t="str">
        <f ca="1">IF(ROWS($1:18)&gt;COUNT(Dong2),"",IF(OFFSET(TH!O$1,SMALL(Dong2,ROWS($1:18)),)=$I$6,OFFSET(TH!N$1,SMALL(Dong2,ROWS($1:18)),),OFFSET(TH!O$1,SMALL(Dong2,ROWS($1:18)),)))</f>
        <v>635</v>
      </c>
      <c r="F29" s="213">
        <f ca="1">IF(ROWS($1:18)&gt;COUNT(Dong2),"",IF(OFFSET(TH!N$1,SMALL(Dong2,ROWS($1:18)),)=$I$6,IF($I$6="1121",OFFSET(TH!M$1,SMALL(Dong2,ROWS($1:18)),),OFFSET(TH!K$1,SMALL(Dong2,ROWS($1:18)),)),0))</f>
        <v>0</v>
      </c>
      <c r="G29" s="213">
        <f ca="1">IF(ROWS($1:18)&gt;COUNT(Dong2),"",IF(OFFSET(TH!O$1,SMALL(Dong2,ROWS($1:18)),)=$I$6,IF($I$6="1121",OFFSET(TH!M$1,SMALL(Dong2,ROWS($1:18)),),OFFSET(TH!K$1,SMALL(Dong2,ROWS($1:18)),)),0))</f>
        <v>12280547</v>
      </c>
      <c r="H29" s="214">
        <f t="shared" ca="1" si="0"/>
        <v>63522209</v>
      </c>
      <c r="I29" s="214"/>
    </row>
    <row r="30" spans="1:9" s="200" customFormat="1" ht="20.25" customHeight="1">
      <c r="A30" s="212">
        <f ca="1">IF(ROWS($1:19)&gt;COUNT(Dong2),"",OFFSET(TH!C$1,SMALL(Dong2,ROWS($1:19)),))</f>
        <v>42482</v>
      </c>
      <c r="B30" s="212" t="str">
        <f ca="1">IF(ROWS($1:19)&gt;COUNT(Dong2),"",OFFSET(TH!D$1,SMALL(Dong2,ROWS($1:19)),))</f>
        <v>GBN</v>
      </c>
      <c r="C30" s="212">
        <f ca="1">IF(ROWS($1:19)&gt;COUNT(Dong2),"",OFFSET(TH!E$1,SMALL(Dong2,ROWS($1:19)),))</f>
        <v>42482</v>
      </c>
      <c r="D30" s="450" t="str">
        <f ca="1">IF(ROWS($1:19)&gt;COUNT(Dong2),"",OFFSET(TH!F$1,SMALL(Dong2,ROWS($1:19)),))</f>
        <v>Thanh toán tiền công trình</v>
      </c>
      <c r="E30" s="212" t="str">
        <f ca="1">IF(ROWS($1:19)&gt;COUNT(Dong2),"",IF(OFFSET(TH!O$1,SMALL(Dong2,ROWS($1:19)),)=$I$6,OFFSET(TH!N$1,SMALL(Dong2,ROWS($1:19)),),OFFSET(TH!O$1,SMALL(Dong2,ROWS($1:19)),)))</f>
        <v>331</v>
      </c>
      <c r="F30" s="213">
        <f ca="1">IF(ROWS($1:19)&gt;COUNT(Dong2),"",IF(OFFSET(TH!N$1,SMALL(Dong2,ROWS($1:19)),)=$I$6,IF($I$6="1121",OFFSET(TH!M$1,SMALL(Dong2,ROWS($1:19)),),OFFSET(TH!K$1,SMALL(Dong2,ROWS($1:19)),)),0))</f>
        <v>0</v>
      </c>
      <c r="G30" s="213">
        <f ca="1">IF(ROWS($1:19)&gt;COUNT(Dong2),"",IF(OFFSET(TH!O$1,SMALL(Dong2,ROWS($1:19)),)=$I$6,IF($I$6="1121",OFFSET(TH!M$1,SMALL(Dong2,ROWS($1:19)),),OFFSET(TH!K$1,SMALL(Dong2,ROWS($1:19)),)),0))</f>
        <v>60000000</v>
      </c>
      <c r="H30" s="214">
        <f t="shared" ca="1" si="0"/>
        <v>3522209</v>
      </c>
      <c r="I30" s="214"/>
    </row>
    <row r="31" spans="1:9" s="200" customFormat="1" ht="20.25" customHeight="1">
      <c r="A31" s="212">
        <f ca="1">IF(ROWS($1:20)&gt;COUNT(Dong2),"",OFFSET(TH!C$1,SMALL(Dong2,ROWS($1:20)),))</f>
        <v>42482</v>
      </c>
      <c r="B31" s="212" t="str">
        <f ca="1">IF(ROWS($1:20)&gt;COUNT(Dong2),"",OFFSET(TH!D$1,SMALL(Dong2,ROWS($1:20)),))</f>
        <v>GBN</v>
      </c>
      <c r="C31" s="212">
        <f ca="1">IF(ROWS($1:20)&gt;COUNT(Dong2),"",OFFSET(TH!E$1,SMALL(Dong2,ROWS($1:20)),))</f>
        <v>42482</v>
      </c>
      <c r="D31" s="450" t="str">
        <f ca="1">IF(ROWS($1:20)&gt;COUNT(Dong2),"",OFFSET(TH!F$1,SMALL(Dong2,ROWS($1:20)),))</f>
        <v xml:space="preserve">Phí chuyển tiền </v>
      </c>
      <c r="E31" s="212" t="str">
        <f ca="1">IF(ROWS($1:20)&gt;COUNT(Dong2),"",IF(OFFSET(TH!O$1,SMALL(Dong2,ROWS($1:20)),)=$I$6,OFFSET(TH!N$1,SMALL(Dong2,ROWS($1:20)),),OFFSET(TH!O$1,SMALL(Dong2,ROWS($1:20)),)))</f>
        <v>642</v>
      </c>
      <c r="F31" s="213">
        <f ca="1">IF(ROWS($1:20)&gt;COUNT(Dong2),"",IF(OFFSET(TH!N$1,SMALL(Dong2,ROWS($1:20)),)=$I$6,IF($I$6="1121",OFFSET(TH!M$1,SMALL(Dong2,ROWS($1:20)),),OFFSET(TH!K$1,SMALL(Dong2,ROWS($1:20)),)),0))</f>
        <v>0</v>
      </c>
      <c r="G31" s="213">
        <f ca="1">IF(ROWS($1:20)&gt;COUNT(Dong2),"",IF(OFFSET(TH!O$1,SMALL(Dong2,ROWS($1:20)),)=$I$6,IF($I$6="1121",OFFSET(TH!M$1,SMALL(Dong2,ROWS($1:20)),),OFFSET(TH!K$1,SMALL(Dong2,ROWS($1:20)),)),0))</f>
        <v>50000</v>
      </c>
      <c r="H31" s="214">
        <f t="shared" ca="1" si="0"/>
        <v>3472209</v>
      </c>
      <c r="I31" s="214"/>
    </row>
    <row r="32" spans="1:9" s="200" customFormat="1" ht="20.25" customHeight="1">
      <c r="A32" s="212">
        <f ca="1">IF(ROWS($1:21)&gt;COUNT(Dong2),"",OFFSET(TH!C$1,SMALL(Dong2,ROWS($1:21)),))</f>
        <v>42482</v>
      </c>
      <c r="B32" s="212" t="str">
        <f ca="1">IF(ROWS($1:21)&gt;COUNT(Dong2),"",OFFSET(TH!D$1,SMALL(Dong2,ROWS($1:21)),))</f>
        <v>GBN</v>
      </c>
      <c r="C32" s="212">
        <f ca="1">IF(ROWS($1:21)&gt;COUNT(Dong2),"",OFFSET(TH!E$1,SMALL(Dong2,ROWS($1:21)),))</f>
        <v>42482</v>
      </c>
      <c r="D32" s="450" t="str">
        <f ca="1">IF(ROWS($1:21)&gt;COUNT(Dong2),"",OFFSET(TH!F$1,SMALL(Dong2,ROWS($1:21)),))</f>
        <v xml:space="preserve">VAT Phí chuyển tiền </v>
      </c>
      <c r="E32" s="212" t="str">
        <f ca="1">IF(ROWS($1:21)&gt;COUNT(Dong2),"",IF(OFFSET(TH!O$1,SMALL(Dong2,ROWS($1:21)),)=$I$6,OFFSET(TH!N$1,SMALL(Dong2,ROWS($1:21)),),OFFSET(TH!O$1,SMALL(Dong2,ROWS($1:21)),)))</f>
        <v>1331</v>
      </c>
      <c r="F32" s="213">
        <f ca="1">IF(ROWS($1:21)&gt;COUNT(Dong2),"",IF(OFFSET(TH!N$1,SMALL(Dong2,ROWS($1:21)),)=$I$6,IF($I$6="1121",OFFSET(TH!M$1,SMALL(Dong2,ROWS($1:21)),),OFFSET(TH!K$1,SMALL(Dong2,ROWS($1:21)),)),0))</f>
        <v>0</v>
      </c>
      <c r="G32" s="213">
        <f ca="1">IF(ROWS($1:21)&gt;COUNT(Dong2),"",IF(OFFSET(TH!O$1,SMALL(Dong2,ROWS($1:21)),)=$I$6,IF($I$6="1121",OFFSET(TH!M$1,SMALL(Dong2,ROWS($1:21)),),OFFSET(TH!K$1,SMALL(Dong2,ROWS($1:21)),)),0))</f>
        <v>5000</v>
      </c>
      <c r="H32" s="214">
        <f t="shared" ca="1" si="0"/>
        <v>3467209</v>
      </c>
      <c r="I32" s="214"/>
    </row>
    <row r="33" spans="1:9" s="200" customFormat="1" ht="20.25" customHeight="1">
      <c r="A33" s="212">
        <f ca="1">IF(ROWS($1:22)&gt;COUNT(Dong2),"",OFFSET(TH!C$1,SMALL(Dong2,ROWS($1:22)),))</f>
        <v>42487</v>
      </c>
      <c r="B33" s="212" t="str">
        <f ca="1">IF(ROWS($1:22)&gt;COUNT(Dong2),"",OFFSET(TH!D$1,SMALL(Dong2,ROWS($1:22)),))</f>
        <v>C24</v>
      </c>
      <c r="C33" s="212">
        <f ca="1">IF(ROWS($1:22)&gt;COUNT(Dong2),"",OFFSET(TH!E$1,SMALL(Dong2,ROWS($1:22)),))</f>
        <v>42487</v>
      </c>
      <c r="D33" s="450" t="str">
        <f ca="1">IF(ROWS($1:22)&gt;COUNT(Dong2),"",OFFSET(TH!F$1,SMALL(Dong2,ROWS($1:22)),))</f>
        <v>Q4 - Nộp tiền mặt</v>
      </c>
      <c r="E33" s="212" t="str">
        <f ca="1">IF(ROWS($1:22)&gt;COUNT(Dong2),"",IF(OFFSET(TH!O$1,SMALL(Dong2,ROWS($1:22)),)=$I$6,OFFSET(TH!N$1,SMALL(Dong2,ROWS($1:22)),),OFFSET(TH!O$1,SMALL(Dong2,ROWS($1:22)),)))</f>
        <v>1111</v>
      </c>
      <c r="F33" s="213">
        <f ca="1">IF(ROWS($1:22)&gt;COUNT(Dong2),"",IF(OFFSET(TH!N$1,SMALL(Dong2,ROWS($1:22)),)=$I$6,IF($I$6="1121",OFFSET(TH!M$1,SMALL(Dong2,ROWS($1:22)),),OFFSET(TH!K$1,SMALL(Dong2,ROWS($1:22)),)),0))</f>
        <v>47000000</v>
      </c>
      <c r="G33" s="213">
        <f ca="1">IF(ROWS($1:22)&gt;COUNT(Dong2),"",IF(OFFSET(TH!O$1,SMALL(Dong2,ROWS($1:22)),)=$I$6,IF($I$6="1121",OFFSET(TH!M$1,SMALL(Dong2,ROWS($1:22)),),OFFSET(TH!K$1,SMALL(Dong2,ROWS($1:22)),)),0))</f>
        <v>0</v>
      </c>
      <c r="H33" s="214">
        <f t="shared" ca="1" si="0"/>
        <v>50467209</v>
      </c>
      <c r="I33" s="214"/>
    </row>
    <row r="34" spans="1:9" s="200" customFormat="1" ht="20.25" customHeight="1">
      <c r="A34" s="212">
        <f ca="1">IF(ROWS($1:23)&gt;COUNT(Dong2),"",OFFSET(TH!C$1,SMALL(Dong2,ROWS($1:23)),))</f>
        <v>42487</v>
      </c>
      <c r="B34" s="212" t="str">
        <f ca="1">IF(ROWS($1:23)&gt;COUNT(Dong2),"",OFFSET(TH!D$1,SMALL(Dong2,ROWS($1:23)),))</f>
        <v>GBN</v>
      </c>
      <c r="C34" s="212">
        <f ca="1">IF(ROWS($1:23)&gt;COUNT(Dong2),"",OFFSET(TH!E$1,SMALL(Dong2,ROWS($1:23)),))</f>
        <v>42487</v>
      </c>
      <c r="D34" s="450" t="str">
        <f ca="1">IF(ROWS($1:23)&gt;COUNT(Dong2),"",OFFSET(TH!F$1,SMALL(Dong2,ROWS($1:23)),))</f>
        <v>Thanh toán tiền điện kỳ 2 tháng 3</v>
      </c>
      <c r="E34" s="212" t="str">
        <f ca="1">IF(ROWS($1:23)&gt;COUNT(Dong2),"",IF(OFFSET(TH!O$1,SMALL(Dong2,ROWS($1:23)),)=$I$6,OFFSET(TH!N$1,SMALL(Dong2,ROWS($1:23)),),OFFSET(TH!O$1,SMALL(Dong2,ROWS($1:23)),)))</f>
        <v>331</v>
      </c>
      <c r="F34" s="213">
        <f ca="1">IF(ROWS($1:23)&gt;COUNT(Dong2),"",IF(OFFSET(TH!N$1,SMALL(Dong2,ROWS($1:23)),)=$I$6,IF($I$6="1121",OFFSET(TH!M$1,SMALL(Dong2,ROWS($1:23)),),OFFSET(TH!K$1,SMALL(Dong2,ROWS($1:23)),)),0))</f>
        <v>0</v>
      </c>
      <c r="G34" s="213">
        <f ca="1">IF(ROWS($1:23)&gt;COUNT(Dong2),"",IF(OFFSET(TH!O$1,SMALL(Dong2,ROWS($1:23)),)=$I$6,IF($I$6="1121",OFFSET(TH!M$1,SMALL(Dong2,ROWS($1:23)),),OFFSET(TH!K$1,SMALL(Dong2,ROWS($1:23)),)),0))</f>
        <v>46697530</v>
      </c>
      <c r="H34" s="214">
        <f t="shared" ca="1" si="0"/>
        <v>3769679</v>
      </c>
      <c r="I34" s="214"/>
    </row>
    <row r="35" spans="1:9" s="200" customFormat="1" ht="20.25" customHeight="1">
      <c r="A35" s="212">
        <f ca="1">IF(ROWS($1:24)&gt;COUNT(Dong2),"",OFFSET(TH!C$1,SMALL(Dong2,ROWS($1:24)),))</f>
        <v>42487</v>
      </c>
      <c r="B35" s="212" t="str">
        <f ca="1">IF(ROWS($1:24)&gt;COUNT(Dong2),"",OFFSET(TH!D$1,SMALL(Dong2,ROWS($1:24)),))</f>
        <v>GBN</v>
      </c>
      <c r="C35" s="212">
        <f ca="1">IF(ROWS($1:24)&gt;COUNT(Dong2),"",OFFSET(TH!E$1,SMALL(Dong2,ROWS($1:24)),))</f>
        <v>42487</v>
      </c>
      <c r="D35" s="450" t="str">
        <f ca="1">IF(ROWS($1:24)&gt;COUNT(Dong2),"",OFFSET(TH!F$1,SMALL(Dong2,ROWS($1:24)),))</f>
        <v xml:space="preserve">Phí chuyển tiền </v>
      </c>
      <c r="E35" s="212" t="str">
        <f ca="1">IF(ROWS($1:24)&gt;COUNT(Dong2),"",IF(OFFSET(TH!O$1,SMALL(Dong2,ROWS($1:24)),)=$I$6,OFFSET(TH!N$1,SMALL(Dong2,ROWS($1:24)),),OFFSET(TH!O$1,SMALL(Dong2,ROWS($1:24)),)))</f>
        <v>642</v>
      </c>
      <c r="F35" s="213">
        <f ca="1">IF(ROWS($1:24)&gt;COUNT(Dong2),"",IF(OFFSET(TH!N$1,SMALL(Dong2,ROWS($1:24)),)=$I$6,IF($I$6="1121",OFFSET(TH!M$1,SMALL(Dong2,ROWS($1:24)),),OFFSET(TH!K$1,SMALL(Dong2,ROWS($1:24)),)),0))</f>
        <v>0</v>
      </c>
      <c r="G35" s="213">
        <f ca="1">IF(ROWS($1:24)&gt;COUNT(Dong2),"",IF(OFFSET(TH!O$1,SMALL(Dong2,ROWS($1:24)),)=$I$6,IF($I$6="1121",OFFSET(TH!M$1,SMALL(Dong2,ROWS($1:24)),),OFFSET(TH!K$1,SMALL(Dong2,ROWS($1:24)),)),0))</f>
        <v>45000</v>
      </c>
      <c r="H35" s="214">
        <f t="shared" ca="1" si="0"/>
        <v>3724679</v>
      </c>
      <c r="I35" s="214"/>
    </row>
    <row r="36" spans="1:9" s="200" customFormat="1" ht="20.25" customHeight="1">
      <c r="A36" s="212">
        <f ca="1">IF(ROWS($1:25)&gt;COUNT(Dong2),"",OFFSET(TH!C$1,SMALL(Dong2,ROWS($1:25)),))</f>
        <v>42487</v>
      </c>
      <c r="B36" s="212" t="str">
        <f ca="1">IF(ROWS($1:25)&gt;COUNT(Dong2),"",OFFSET(TH!D$1,SMALL(Dong2,ROWS($1:25)),))</f>
        <v>GBN</v>
      </c>
      <c r="C36" s="212">
        <f ca="1">IF(ROWS($1:25)&gt;COUNT(Dong2),"",OFFSET(TH!E$1,SMALL(Dong2,ROWS($1:25)),))</f>
        <v>42487</v>
      </c>
      <c r="D36" s="450" t="str">
        <f ca="1">IF(ROWS($1:25)&gt;COUNT(Dong2),"",OFFSET(TH!F$1,SMALL(Dong2,ROWS($1:25)),))</f>
        <v xml:space="preserve">VAT Phí chuyển tiền </v>
      </c>
      <c r="E36" s="212" t="str">
        <f ca="1">IF(ROWS($1:25)&gt;COUNT(Dong2),"",IF(OFFSET(TH!O$1,SMALL(Dong2,ROWS($1:25)),)=$I$6,OFFSET(TH!N$1,SMALL(Dong2,ROWS($1:25)),),OFFSET(TH!O$1,SMALL(Dong2,ROWS($1:25)),)))</f>
        <v>1331</v>
      </c>
      <c r="F36" s="213">
        <f ca="1">IF(ROWS($1:25)&gt;COUNT(Dong2),"",IF(OFFSET(TH!N$1,SMALL(Dong2,ROWS($1:25)),)=$I$6,IF($I$6="1121",OFFSET(TH!M$1,SMALL(Dong2,ROWS($1:25)),),OFFSET(TH!K$1,SMALL(Dong2,ROWS($1:25)),)),0))</f>
        <v>0</v>
      </c>
      <c r="G36" s="213">
        <f ca="1">IF(ROWS($1:25)&gt;COUNT(Dong2),"",IF(OFFSET(TH!O$1,SMALL(Dong2,ROWS($1:25)),)=$I$6,IF($I$6="1121",OFFSET(TH!M$1,SMALL(Dong2,ROWS($1:25)),),OFFSET(TH!K$1,SMALL(Dong2,ROWS($1:25)),)),0))</f>
        <v>4500</v>
      </c>
      <c r="H36" s="214">
        <f t="shared" ca="1" si="0"/>
        <v>3720179</v>
      </c>
      <c r="I36" s="214"/>
    </row>
    <row r="37" spans="1:9" s="200" customFormat="1" ht="20.25" customHeight="1">
      <c r="A37" s="212">
        <f ca="1">IF(ROWS($1:26)&gt;COUNT(Dong2),"",OFFSET(TH!C$1,SMALL(Dong2,ROWS($1:26)),))</f>
        <v>42494</v>
      </c>
      <c r="B37" s="212" t="str">
        <f ca="1">IF(ROWS($1:26)&gt;COUNT(Dong2),"",OFFSET(TH!D$1,SMALL(Dong2,ROWS($1:26)),))</f>
        <v>GBC</v>
      </c>
      <c r="C37" s="212">
        <f ca="1">IF(ROWS($1:26)&gt;COUNT(Dong2),"",OFFSET(TH!E$1,SMALL(Dong2,ROWS($1:26)),))</f>
        <v>42494</v>
      </c>
      <c r="D37" s="450" t="str">
        <f ca="1">IF(ROWS($1:26)&gt;COUNT(Dong2),"",OFFSET(TH!F$1,SMALL(Dong2,ROWS($1:26)),))</f>
        <v>Ứng vốn</v>
      </c>
      <c r="E37" s="212" t="str">
        <f ca="1">IF(ROWS($1:26)&gt;COUNT(Dong2),"",IF(OFFSET(TH!O$1,SMALL(Dong2,ROWS($1:26)),)=$I$6,OFFSET(TH!N$1,SMALL(Dong2,ROWS($1:26)),),OFFSET(TH!O$1,SMALL(Dong2,ROWS($1:26)),)))</f>
        <v>1388</v>
      </c>
      <c r="F37" s="213">
        <f ca="1">IF(ROWS($1:26)&gt;COUNT(Dong2),"",IF(OFFSET(TH!N$1,SMALL(Dong2,ROWS($1:26)),)=$I$6,IF($I$6="1121",OFFSET(TH!M$1,SMALL(Dong2,ROWS($1:26)),),OFFSET(TH!K$1,SMALL(Dong2,ROWS($1:26)),)),0))</f>
        <v>95000000</v>
      </c>
      <c r="G37" s="213">
        <f ca="1">IF(ROWS($1:26)&gt;COUNT(Dong2),"",IF(OFFSET(TH!O$1,SMALL(Dong2,ROWS($1:26)),)=$I$6,IF($I$6="1121",OFFSET(TH!M$1,SMALL(Dong2,ROWS($1:26)),),OFFSET(TH!K$1,SMALL(Dong2,ROWS($1:26)),)),0))</f>
        <v>0</v>
      </c>
      <c r="H37" s="214">
        <f t="shared" ca="1" si="0"/>
        <v>98720179</v>
      </c>
      <c r="I37" s="214"/>
    </row>
    <row r="38" spans="1:9" s="200" customFormat="1" ht="20.25" customHeight="1">
      <c r="A38" s="212">
        <f ca="1">IF(ROWS($1:27)&gt;COUNT(Dong2),"",OFFSET(TH!C$1,SMALL(Dong2,ROWS($1:27)),))</f>
        <v>42494</v>
      </c>
      <c r="B38" s="212" t="str">
        <f ca="1">IF(ROWS($1:27)&gt;COUNT(Dong2),"",OFFSET(TH!D$1,SMALL(Dong2,ROWS($1:27)),))</f>
        <v>GBN</v>
      </c>
      <c r="C38" s="212">
        <f ca="1">IF(ROWS($1:27)&gt;COUNT(Dong2),"",OFFSET(TH!E$1,SMALL(Dong2,ROWS($1:27)),))</f>
        <v>42494</v>
      </c>
      <c r="D38" s="450" t="str">
        <f ca="1">IF(ROWS($1:27)&gt;COUNT(Dong2),"",OFFSET(TH!F$1,SMALL(Dong2,ROWS($1:27)),))</f>
        <v>Thanh toán tiền điện kỳ 1&amp;2 tháng 4</v>
      </c>
      <c r="E38" s="212" t="str">
        <f ca="1">IF(ROWS($1:27)&gt;COUNT(Dong2),"",IF(OFFSET(TH!O$1,SMALL(Dong2,ROWS($1:27)),)=$I$6,OFFSET(TH!N$1,SMALL(Dong2,ROWS($1:27)),),OFFSET(TH!O$1,SMALL(Dong2,ROWS($1:27)),)))</f>
        <v>331</v>
      </c>
      <c r="F38" s="213">
        <f ca="1">IF(ROWS($1:27)&gt;COUNT(Dong2),"",IF(OFFSET(TH!N$1,SMALL(Dong2,ROWS($1:27)),)=$I$6,IF($I$6="1121",OFFSET(TH!M$1,SMALL(Dong2,ROWS($1:27)),),OFFSET(TH!K$1,SMALL(Dong2,ROWS($1:27)),)),0))</f>
        <v>0</v>
      </c>
      <c r="G38" s="213">
        <f ca="1">IF(ROWS($1:27)&gt;COUNT(Dong2),"",IF(OFFSET(TH!O$1,SMALL(Dong2,ROWS($1:27)),)=$I$6,IF($I$6="1121",OFFSET(TH!M$1,SMALL(Dong2,ROWS($1:27)),),OFFSET(TH!K$1,SMALL(Dong2,ROWS($1:27)),)),0))</f>
        <v>92467100</v>
      </c>
      <c r="H38" s="214">
        <f t="shared" ca="1" si="0"/>
        <v>6253079</v>
      </c>
      <c r="I38" s="214"/>
    </row>
    <row r="39" spans="1:9" s="200" customFormat="1" ht="20.25" customHeight="1">
      <c r="A39" s="212">
        <f ca="1">IF(ROWS($1:28)&gt;COUNT(Dong2),"",OFFSET(TH!C$1,SMALL(Dong2,ROWS($1:28)),))</f>
        <v>42494</v>
      </c>
      <c r="B39" s="212" t="str">
        <f ca="1">IF(ROWS($1:28)&gt;COUNT(Dong2),"",OFFSET(TH!D$1,SMALL(Dong2,ROWS($1:28)),))</f>
        <v>GBN</v>
      </c>
      <c r="C39" s="212">
        <f ca="1">IF(ROWS($1:28)&gt;COUNT(Dong2),"",OFFSET(TH!E$1,SMALL(Dong2,ROWS($1:28)),))</f>
        <v>42494</v>
      </c>
      <c r="D39" s="450" t="str">
        <f ca="1">IF(ROWS($1:28)&gt;COUNT(Dong2),"",OFFSET(TH!F$1,SMALL(Dong2,ROWS($1:28)),))</f>
        <v xml:space="preserve">Phí chuyển tiền </v>
      </c>
      <c r="E39" s="212" t="str">
        <f ca="1">IF(ROWS($1:28)&gt;COUNT(Dong2),"",IF(OFFSET(TH!O$1,SMALL(Dong2,ROWS($1:28)),)=$I$6,OFFSET(TH!N$1,SMALL(Dong2,ROWS($1:28)),),OFFSET(TH!O$1,SMALL(Dong2,ROWS($1:28)),)))</f>
        <v>642</v>
      </c>
      <c r="F39" s="213">
        <f ca="1">IF(ROWS($1:28)&gt;COUNT(Dong2),"",IF(OFFSET(TH!N$1,SMALL(Dong2,ROWS($1:28)),)=$I$6,IF($I$6="1121",OFFSET(TH!M$1,SMALL(Dong2,ROWS($1:28)),),OFFSET(TH!K$1,SMALL(Dong2,ROWS($1:28)),)),0))</f>
        <v>0</v>
      </c>
      <c r="G39" s="213">
        <f ca="1">IF(ROWS($1:28)&gt;COUNT(Dong2),"",IF(OFFSET(TH!O$1,SMALL(Dong2,ROWS($1:28)),)=$I$6,IF($I$6="1121",OFFSET(TH!M$1,SMALL(Dong2,ROWS($1:28)),),OFFSET(TH!K$1,SMALL(Dong2,ROWS($1:28)),)),0))</f>
        <v>46234</v>
      </c>
      <c r="H39" s="214">
        <f t="shared" ca="1" si="0"/>
        <v>6206845</v>
      </c>
      <c r="I39" s="214"/>
    </row>
    <row r="40" spans="1:9" s="200" customFormat="1" ht="20.25" customHeight="1">
      <c r="A40" s="212">
        <f ca="1">IF(ROWS($1:29)&gt;COUNT(Dong2),"",OFFSET(TH!C$1,SMALL(Dong2,ROWS($1:29)),))</f>
        <v>42494</v>
      </c>
      <c r="B40" s="212" t="str">
        <f ca="1">IF(ROWS($1:29)&gt;COUNT(Dong2),"",OFFSET(TH!D$1,SMALL(Dong2,ROWS($1:29)),))</f>
        <v>GBN</v>
      </c>
      <c r="C40" s="212">
        <f ca="1">IF(ROWS($1:29)&gt;COUNT(Dong2),"",OFFSET(TH!E$1,SMALL(Dong2,ROWS($1:29)),))</f>
        <v>42494</v>
      </c>
      <c r="D40" s="450" t="str">
        <f ca="1">IF(ROWS($1:29)&gt;COUNT(Dong2),"",OFFSET(TH!F$1,SMALL(Dong2,ROWS($1:29)),))</f>
        <v xml:space="preserve">VAT Phí chuyển tiền </v>
      </c>
      <c r="E40" s="212" t="str">
        <f ca="1">IF(ROWS($1:29)&gt;COUNT(Dong2),"",IF(OFFSET(TH!O$1,SMALL(Dong2,ROWS($1:29)),)=$I$6,OFFSET(TH!N$1,SMALL(Dong2,ROWS($1:29)),),OFFSET(TH!O$1,SMALL(Dong2,ROWS($1:29)),)))</f>
        <v>1331</v>
      </c>
      <c r="F40" s="213">
        <f ca="1">IF(ROWS($1:29)&gt;COUNT(Dong2),"",IF(OFFSET(TH!N$1,SMALL(Dong2,ROWS($1:29)),)=$I$6,IF($I$6="1121",OFFSET(TH!M$1,SMALL(Dong2,ROWS($1:29)),),OFFSET(TH!K$1,SMALL(Dong2,ROWS($1:29)),)),0))</f>
        <v>0</v>
      </c>
      <c r="G40" s="213">
        <f ca="1">IF(ROWS($1:29)&gt;COUNT(Dong2),"",IF(OFFSET(TH!O$1,SMALL(Dong2,ROWS($1:29)),)=$I$6,IF($I$6="1121",OFFSET(TH!M$1,SMALL(Dong2,ROWS($1:29)),),OFFSET(TH!K$1,SMALL(Dong2,ROWS($1:29)),)),0))</f>
        <v>4623</v>
      </c>
      <c r="H40" s="214">
        <f t="shared" ca="1" si="0"/>
        <v>6202222</v>
      </c>
      <c r="I40" s="214"/>
    </row>
    <row r="41" spans="1:9" s="200" customFormat="1" ht="20.25" customHeight="1">
      <c r="A41" s="212">
        <f ca="1">IF(ROWS($1:30)&gt;COUNT(Dong2),"",OFFSET(TH!C$1,SMALL(Dong2,ROWS($1:30)),))</f>
        <v>42509</v>
      </c>
      <c r="B41" s="212" t="str">
        <f ca="1">IF(ROWS($1:30)&gt;COUNT(Dong2),"",OFFSET(TH!D$1,SMALL(Dong2,ROWS($1:30)),))</f>
        <v>GBC</v>
      </c>
      <c r="C41" s="212">
        <f ca="1">IF(ROWS($1:30)&gt;COUNT(Dong2),"",OFFSET(TH!E$1,SMALL(Dong2,ROWS($1:30)),))</f>
        <v>42509</v>
      </c>
      <c r="D41" s="450" t="str">
        <f ca="1">IF(ROWS($1:30)&gt;COUNT(Dong2),"",OFFSET(TH!F$1,SMALL(Dong2,ROWS($1:30)),))</f>
        <v>Ứng vốn</v>
      </c>
      <c r="E41" s="212" t="str">
        <f ca="1">IF(ROWS($1:30)&gt;COUNT(Dong2),"",IF(OFFSET(TH!O$1,SMALL(Dong2,ROWS($1:30)),)=$I$6,OFFSET(TH!N$1,SMALL(Dong2,ROWS($1:30)),),OFFSET(TH!O$1,SMALL(Dong2,ROWS($1:30)),)))</f>
        <v>1388</v>
      </c>
      <c r="F41" s="213">
        <f ca="1">IF(ROWS($1:30)&gt;COUNT(Dong2),"",IF(OFFSET(TH!N$1,SMALL(Dong2,ROWS($1:30)),)=$I$6,IF($I$6="1121",OFFSET(TH!M$1,SMALL(Dong2,ROWS($1:30)),),OFFSET(TH!K$1,SMALL(Dong2,ROWS($1:30)),)),0))</f>
        <v>14000000</v>
      </c>
      <c r="G41" s="213">
        <f ca="1">IF(ROWS($1:30)&gt;COUNT(Dong2),"",IF(OFFSET(TH!O$1,SMALL(Dong2,ROWS($1:30)),)=$I$6,IF($I$6="1121",OFFSET(TH!M$1,SMALL(Dong2,ROWS($1:30)),),OFFSET(TH!K$1,SMALL(Dong2,ROWS($1:30)),)),0))</f>
        <v>0</v>
      </c>
      <c r="H41" s="214">
        <f t="shared" ca="1" si="0"/>
        <v>20202222</v>
      </c>
      <c r="I41" s="214"/>
    </row>
    <row r="42" spans="1:9" s="200" customFormat="1" ht="20.25" customHeight="1">
      <c r="A42" s="212">
        <f ca="1">IF(ROWS($1:31)&gt;COUNT(Dong2),"",OFFSET(TH!C$1,SMALL(Dong2,ROWS($1:31)),))</f>
        <v>42509</v>
      </c>
      <c r="B42" s="212" t="str">
        <f ca="1">IF(ROWS($1:31)&gt;COUNT(Dong2),"",OFFSET(TH!D$1,SMALL(Dong2,ROWS($1:31)),))</f>
        <v>GBN</v>
      </c>
      <c r="C42" s="212">
        <f ca="1">IF(ROWS($1:31)&gt;COUNT(Dong2),"",OFFSET(TH!E$1,SMALL(Dong2,ROWS($1:31)),))</f>
        <v>42509</v>
      </c>
      <c r="D42" s="450" t="str">
        <f ca="1">IF(ROWS($1:31)&gt;COUNT(Dong2),"",OFFSET(TH!F$1,SMALL(Dong2,ROWS($1:31)),))</f>
        <v>Lãi vay</v>
      </c>
      <c r="E42" s="212" t="str">
        <f ca="1">IF(ROWS($1:31)&gt;COUNT(Dong2),"",IF(OFFSET(TH!O$1,SMALL(Dong2,ROWS($1:31)),)=$I$6,OFFSET(TH!N$1,SMALL(Dong2,ROWS($1:31)),),OFFSET(TH!O$1,SMALL(Dong2,ROWS($1:31)),)))</f>
        <v>635</v>
      </c>
      <c r="F42" s="213">
        <f ca="1">IF(ROWS($1:31)&gt;COUNT(Dong2),"",IF(OFFSET(TH!N$1,SMALL(Dong2,ROWS($1:31)),)=$I$6,IF($I$6="1121",OFFSET(TH!M$1,SMALL(Dong2,ROWS($1:31)),),OFFSET(TH!K$1,SMALL(Dong2,ROWS($1:31)),)),0))</f>
        <v>0</v>
      </c>
      <c r="G42" s="213">
        <f ca="1">IF(ROWS($1:31)&gt;COUNT(Dong2),"",IF(OFFSET(TH!O$1,SMALL(Dong2,ROWS($1:31)),)=$I$6,IF($I$6="1121",OFFSET(TH!M$1,SMALL(Dong2,ROWS($1:31)),),OFFSET(TH!K$1,SMALL(Dong2,ROWS($1:31)),)),0))</f>
        <v>6557460</v>
      </c>
      <c r="H42" s="214">
        <f t="shared" ca="1" si="0"/>
        <v>13644762</v>
      </c>
      <c r="I42" s="214"/>
    </row>
    <row r="43" spans="1:9" s="200" customFormat="1" ht="20.25" customHeight="1">
      <c r="A43" s="212">
        <f ca="1">IF(ROWS($1:32)&gt;COUNT(Dong2),"",OFFSET(TH!C$1,SMALL(Dong2,ROWS($1:32)),))</f>
        <v>42515</v>
      </c>
      <c r="B43" s="212" t="str">
        <f ca="1">IF(ROWS($1:32)&gt;COUNT(Dong2),"",OFFSET(TH!D$1,SMALL(Dong2,ROWS($1:32)),))</f>
        <v>GBC</v>
      </c>
      <c r="C43" s="212">
        <f ca="1">IF(ROWS($1:32)&gt;COUNT(Dong2),"",OFFSET(TH!E$1,SMALL(Dong2,ROWS($1:32)),))</f>
        <v>42515</v>
      </c>
      <c r="D43" s="450" t="str">
        <f ca="1">IF(ROWS($1:32)&gt;COUNT(Dong2),"",OFFSET(TH!F$1,SMALL(Dong2,ROWS($1:32)),))</f>
        <v>Ứng vốn</v>
      </c>
      <c r="E43" s="212" t="str">
        <f ca="1">IF(ROWS($1:32)&gt;COUNT(Dong2),"",IF(OFFSET(TH!O$1,SMALL(Dong2,ROWS($1:32)),)=$I$6,OFFSET(TH!N$1,SMALL(Dong2,ROWS($1:32)),),OFFSET(TH!O$1,SMALL(Dong2,ROWS($1:32)),)))</f>
        <v>1388</v>
      </c>
      <c r="F43" s="213">
        <f ca="1">IF(ROWS($1:32)&gt;COUNT(Dong2),"",IF(OFFSET(TH!N$1,SMALL(Dong2,ROWS($1:32)),)=$I$6,IF($I$6="1121",OFFSET(TH!M$1,SMALL(Dong2,ROWS($1:32)),),OFFSET(TH!K$1,SMALL(Dong2,ROWS($1:32)),)),0))</f>
        <v>85000000</v>
      </c>
      <c r="G43" s="213">
        <f ca="1">IF(ROWS($1:32)&gt;COUNT(Dong2),"",IF(OFFSET(TH!O$1,SMALL(Dong2,ROWS($1:32)),)=$I$6,IF($I$6="1121",OFFSET(TH!M$1,SMALL(Dong2,ROWS($1:32)),),OFFSET(TH!K$1,SMALL(Dong2,ROWS($1:32)),)),0))</f>
        <v>0</v>
      </c>
      <c r="H43" s="214">
        <f t="shared" ca="1" si="0"/>
        <v>98644762</v>
      </c>
      <c r="I43" s="214"/>
    </row>
    <row r="44" spans="1:9" s="200" customFormat="1" ht="20.25" customHeight="1">
      <c r="A44" s="212">
        <f ca="1">IF(ROWS($1:33)&gt;COUNT(Dong2),"",OFFSET(TH!C$1,SMALL(Dong2,ROWS($1:33)),))</f>
        <v>42515</v>
      </c>
      <c r="B44" s="212" t="str">
        <f ca="1">IF(ROWS($1:33)&gt;COUNT(Dong2),"",OFFSET(TH!D$1,SMALL(Dong2,ROWS($1:33)),))</f>
        <v>C35</v>
      </c>
      <c r="C44" s="212">
        <f ca="1">IF(ROWS($1:33)&gt;COUNT(Dong2),"",OFFSET(TH!E$1,SMALL(Dong2,ROWS($1:33)),))</f>
        <v>42515</v>
      </c>
      <c r="D44" s="450" t="str">
        <f ca="1">IF(ROWS($1:33)&gt;COUNT(Dong2),"",OFFSET(TH!F$1,SMALL(Dong2,ROWS($1:33)),))</f>
        <v>Q4 - Nộp tiền mặt</v>
      </c>
      <c r="E44" s="212" t="str">
        <f ca="1">IF(ROWS($1:33)&gt;COUNT(Dong2),"",IF(OFFSET(TH!O$1,SMALL(Dong2,ROWS($1:33)),)=$I$6,OFFSET(TH!N$1,SMALL(Dong2,ROWS($1:33)),),OFFSET(TH!O$1,SMALL(Dong2,ROWS($1:33)),)))</f>
        <v>1111</v>
      </c>
      <c r="F44" s="213">
        <f ca="1">IF(ROWS($1:33)&gt;COUNT(Dong2),"",IF(OFFSET(TH!N$1,SMALL(Dong2,ROWS($1:33)),)=$I$6,IF($I$6="1121",OFFSET(TH!M$1,SMALL(Dong2,ROWS($1:33)),),OFFSET(TH!K$1,SMALL(Dong2,ROWS($1:33)),)),0))</f>
        <v>40000000</v>
      </c>
      <c r="G44" s="213">
        <f ca="1">IF(ROWS($1:33)&gt;COUNT(Dong2),"",IF(OFFSET(TH!O$1,SMALL(Dong2,ROWS($1:33)),)=$I$6,IF($I$6="1121",OFFSET(TH!M$1,SMALL(Dong2,ROWS($1:33)),),OFFSET(TH!K$1,SMALL(Dong2,ROWS($1:33)),)),0))</f>
        <v>0</v>
      </c>
      <c r="H44" s="214">
        <f t="shared" ref="H44:H75" ca="1" si="1">IF(A44&lt;&gt;"",H43+F44-G44,0)</f>
        <v>138644762</v>
      </c>
      <c r="I44" s="214"/>
    </row>
    <row r="45" spans="1:9" s="200" customFormat="1" ht="20.25" customHeight="1">
      <c r="A45" s="212">
        <f ca="1">IF(ROWS($1:34)&gt;COUNT(Dong2),"",OFFSET(TH!C$1,SMALL(Dong2,ROWS($1:34)),))</f>
        <v>42515</v>
      </c>
      <c r="B45" s="212" t="str">
        <f ca="1">IF(ROWS($1:34)&gt;COUNT(Dong2),"",OFFSET(TH!D$1,SMALL(Dong2,ROWS($1:34)),))</f>
        <v>GBN</v>
      </c>
      <c r="C45" s="212">
        <f ca="1">IF(ROWS($1:34)&gt;COUNT(Dong2),"",OFFSET(TH!E$1,SMALL(Dong2,ROWS($1:34)),))</f>
        <v>42515</v>
      </c>
      <c r="D45" s="450" t="str">
        <f ca="1">IF(ROWS($1:34)&gt;COUNT(Dong2),"",OFFSET(TH!F$1,SMALL(Dong2,ROWS($1:34)),))</f>
        <v>Lãi vay</v>
      </c>
      <c r="E45" s="212" t="str">
        <f ca="1">IF(ROWS($1:34)&gt;COUNT(Dong2),"",IF(OFFSET(TH!O$1,SMALL(Dong2,ROWS($1:34)),)=$I$6,OFFSET(TH!N$1,SMALL(Dong2,ROWS($1:34)),),OFFSET(TH!O$1,SMALL(Dong2,ROWS($1:34)),)))</f>
        <v>635</v>
      </c>
      <c r="F45" s="213">
        <f ca="1">IF(ROWS($1:34)&gt;COUNT(Dong2),"",IF(OFFSET(TH!N$1,SMALL(Dong2,ROWS($1:34)),)=$I$6,IF($I$6="1121",OFFSET(TH!M$1,SMALL(Dong2,ROWS($1:34)),),OFFSET(TH!K$1,SMALL(Dong2,ROWS($1:34)),)),0))</f>
        <v>0</v>
      </c>
      <c r="G45" s="213">
        <f ca="1">IF(ROWS($1:34)&gt;COUNT(Dong2),"",IF(OFFSET(TH!O$1,SMALL(Dong2,ROWS($1:34)),)=$I$6,IF($I$6="1121",OFFSET(TH!M$1,SMALL(Dong2,ROWS($1:34)),),OFFSET(TH!K$1,SMALL(Dong2,ROWS($1:34)),)),0))</f>
        <v>7935469</v>
      </c>
      <c r="H45" s="214">
        <f t="shared" ca="1" si="1"/>
        <v>130709293</v>
      </c>
      <c r="I45" s="214"/>
    </row>
    <row r="46" spans="1:9" s="200" customFormat="1" ht="20.25" customHeight="1">
      <c r="A46" s="212">
        <f ca="1">IF(ROWS($1:35)&gt;COUNT(Dong2),"",OFFSET(TH!C$1,SMALL(Dong2,ROWS($1:35)),))</f>
        <v>42515</v>
      </c>
      <c r="B46" s="212" t="str">
        <f ca="1">IF(ROWS($1:35)&gt;COUNT(Dong2),"",OFFSET(TH!D$1,SMALL(Dong2,ROWS($1:35)),))</f>
        <v>GBN</v>
      </c>
      <c r="C46" s="212">
        <f ca="1">IF(ROWS($1:35)&gt;COUNT(Dong2),"",OFFSET(TH!E$1,SMALL(Dong2,ROWS($1:35)),))</f>
        <v>42515</v>
      </c>
      <c r="D46" s="450" t="str">
        <f ca="1">IF(ROWS($1:35)&gt;COUNT(Dong2),"",OFFSET(TH!F$1,SMALL(Dong2,ROWS($1:35)),))</f>
        <v>Lãi vay</v>
      </c>
      <c r="E46" s="212" t="str">
        <f ca="1">IF(ROWS($1:35)&gt;COUNT(Dong2),"",IF(OFFSET(TH!O$1,SMALL(Dong2,ROWS($1:35)),)=$I$6,OFFSET(TH!N$1,SMALL(Dong2,ROWS($1:35)),),OFFSET(TH!O$1,SMALL(Dong2,ROWS($1:35)),)))</f>
        <v>635</v>
      </c>
      <c r="F46" s="213">
        <f ca="1">IF(ROWS($1:35)&gt;COUNT(Dong2),"",IF(OFFSET(TH!N$1,SMALL(Dong2,ROWS($1:35)),)=$I$6,IF($I$6="1121",OFFSET(TH!M$1,SMALL(Dong2,ROWS($1:35)),),OFFSET(TH!K$1,SMALL(Dong2,ROWS($1:35)),)),0))</f>
        <v>0</v>
      </c>
      <c r="G46" s="213">
        <f ca="1">IF(ROWS($1:35)&gt;COUNT(Dong2),"",IF(OFFSET(TH!O$1,SMALL(Dong2,ROWS($1:35)),)=$I$6,IF($I$6="1121",OFFSET(TH!M$1,SMALL(Dong2,ROWS($1:35)),),OFFSET(TH!K$1,SMALL(Dong2,ROWS($1:35)),)),0))</f>
        <v>15870937</v>
      </c>
      <c r="H46" s="214">
        <f t="shared" ca="1" si="1"/>
        <v>114838356</v>
      </c>
      <c r="I46" s="214"/>
    </row>
    <row r="47" spans="1:9" s="200" customFormat="1" ht="20.25" customHeight="1">
      <c r="A47" s="212">
        <f ca="1">IF(ROWS($1:36)&gt;COUNT(Dong2),"",OFFSET(TH!C$1,SMALL(Dong2,ROWS($1:36)),))</f>
        <v>42515</v>
      </c>
      <c r="B47" s="212" t="str">
        <f ca="1">IF(ROWS($1:36)&gt;COUNT(Dong2),"",OFFSET(TH!D$1,SMALL(Dong2,ROWS($1:36)),))</f>
        <v>GBN</v>
      </c>
      <c r="C47" s="212">
        <f ca="1">IF(ROWS($1:36)&gt;COUNT(Dong2),"",OFFSET(TH!E$1,SMALL(Dong2,ROWS($1:36)),))</f>
        <v>42515</v>
      </c>
      <c r="D47" s="450" t="str">
        <f ca="1">IF(ROWS($1:36)&gt;COUNT(Dong2),"",OFFSET(TH!F$1,SMALL(Dong2,ROWS($1:36)),))</f>
        <v>Lãi vay</v>
      </c>
      <c r="E47" s="212" t="str">
        <f ca="1">IF(ROWS($1:36)&gt;COUNT(Dong2),"",IF(OFFSET(TH!O$1,SMALL(Dong2,ROWS($1:36)),)=$I$6,OFFSET(TH!N$1,SMALL(Dong2,ROWS($1:36)),),OFFSET(TH!O$1,SMALL(Dong2,ROWS($1:36)),)))</f>
        <v>635</v>
      </c>
      <c r="F47" s="213">
        <f ca="1">IF(ROWS($1:36)&gt;COUNT(Dong2),"",IF(OFFSET(TH!N$1,SMALL(Dong2,ROWS($1:36)),)=$I$6,IF($I$6="1121",OFFSET(TH!M$1,SMALL(Dong2,ROWS($1:36)),),OFFSET(TH!K$1,SMALL(Dong2,ROWS($1:36)),)),0))</f>
        <v>0</v>
      </c>
      <c r="G47" s="213">
        <f ca="1">IF(ROWS($1:36)&gt;COUNT(Dong2),"",IF(OFFSET(TH!O$1,SMALL(Dong2,ROWS($1:36)),)=$I$6,IF($I$6="1121",OFFSET(TH!M$1,SMALL(Dong2,ROWS($1:36)),),OFFSET(TH!K$1,SMALL(Dong2,ROWS($1:36)),)),0))</f>
        <v>12696750</v>
      </c>
      <c r="H47" s="214">
        <f t="shared" ca="1" si="1"/>
        <v>102141606</v>
      </c>
      <c r="I47" s="214"/>
    </row>
    <row r="48" spans="1:9" s="200" customFormat="1" ht="20.25" customHeight="1">
      <c r="A48" s="212">
        <f ca="1">IF(ROWS($1:37)&gt;COUNT(Dong2),"",OFFSET(TH!C$1,SMALL(Dong2,ROWS($1:37)),))</f>
        <v>42515</v>
      </c>
      <c r="B48" s="212" t="str">
        <f ca="1">IF(ROWS($1:37)&gt;COUNT(Dong2),"",OFFSET(TH!D$1,SMALL(Dong2,ROWS($1:37)),))</f>
        <v>GBN</v>
      </c>
      <c r="C48" s="212">
        <f ca="1">IF(ROWS($1:37)&gt;COUNT(Dong2),"",OFFSET(TH!E$1,SMALL(Dong2,ROWS($1:37)),))</f>
        <v>42515</v>
      </c>
      <c r="D48" s="450" t="str">
        <f ca="1">IF(ROWS($1:37)&gt;COUNT(Dong2),"",OFFSET(TH!F$1,SMALL(Dong2,ROWS($1:37)),))</f>
        <v>Lãi vay</v>
      </c>
      <c r="E48" s="212" t="str">
        <f ca="1">IF(ROWS($1:37)&gt;COUNT(Dong2),"",IF(OFFSET(TH!O$1,SMALL(Dong2,ROWS($1:37)),)=$I$6,OFFSET(TH!N$1,SMALL(Dong2,ROWS($1:37)),),OFFSET(TH!O$1,SMALL(Dong2,ROWS($1:37)),)))</f>
        <v>635</v>
      </c>
      <c r="F48" s="213">
        <f ca="1">IF(ROWS($1:37)&gt;COUNT(Dong2),"",IF(OFFSET(TH!N$1,SMALL(Dong2,ROWS($1:37)),)=$I$6,IF($I$6="1121",OFFSET(TH!M$1,SMALL(Dong2,ROWS($1:37)),),OFFSET(TH!K$1,SMALL(Dong2,ROWS($1:37)),)),0))</f>
        <v>0</v>
      </c>
      <c r="G48" s="213">
        <f ca="1">IF(ROWS($1:37)&gt;COUNT(Dong2),"",IF(OFFSET(TH!O$1,SMALL(Dong2,ROWS($1:37)),)=$I$6,IF($I$6="1121",OFFSET(TH!M$1,SMALL(Dong2,ROWS($1:37)),),OFFSET(TH!K$1,SMALL(Dong2,ROWS($1:37)),)),0))</f>
        <v>11903203</v>
      </c>
      <c r="H48" s="214">
        <f t="shared" ca="1" si="1"/>
        <v>90238403</v>
      </c>
      <c r="I48" s="214"/>
    </row>
    <row r="49" spans="1:9" s="200" customFormat="1" ht="20.25" customHeight="1">
      <c r="A49" s="212">
        <f ca="1">IF(ROWS($1:38)&gt;COUNT(Dong2),"",OFFSET(TH!C$1,SMALL(Dong2,ROWS($1:38)),))</f>
        <v>42515</v>
      </c>
      <c r="B49" s="212" t="str">
        <f ca="1">IF(ROWS($1:38)&gt;COUNT(Dong2),"",OFFSET(TH!D$1,SMALL(Dong2,ROWS($1:38)),))</f>
        <v>GBN</v>
      </c>
      <c r="C49" s="212">
        <f ca="1">IF(ROWS($1:38)&gt;COUNT(Dong2),"",OFFSET(TH!E$1,SMALL(Dong2,ROWS($1:38)),))</f>
        <v>42515</v>
      </c>
      <c r="D49" s="450" t="str">
        <f ca="1">IF(ROWS($1:38)&gt;COUNT(Dong2),"",OFFSET(TH!F$1,SMALL(Dong2,ROWS($1:38)),))</f>
        <v>Lãi vay</v>
      </c>
      <c r="E49" s="212" t="str">
        <f ca="1">IF(ROWS($1:38)&gt;COUNT(Dong2),"",IF(OFFSET(TH!O$1,SMALL(Dong2,ROWS($1:38)),)=$I$6,OFFSET(TH!N$1,SMALL(Dong2,ROWS($1:38)),),OFFSET(TH!O$1,SMALL(Dong2,ROWS($1:38)),)))</f>
        <v>635</v>
      </c>
      <c r="F49" s="213">
        <f ca="1">IF(ROWS($1:38)&gt;COUNT(Dong2),"",IF(OFFSET(TH!N$1,SMALL(Dong2,ROWS($1:38)),)=$I$6,IF($I$6="1121",OFFSET(TH!M$1,SMALL(Dong2,ROWS($1:38)),),OFFSET(TH!K$1,SMALL(Dong2,ROWS($1:38)),)),0))</f>
        <v>0</v>
      </c>
      <c r="G49" s="213">
        <f ca="1">IF(ROWS($1:38)&gt;COUNT(Dong2),"",IF(OFFSET(TH!O$1,SMALL(Dong2,ROWS($1:38)),)=$I$6,IF($I$6="1121",OFFSET(TH!M$1,SMALL(Dong2,ROWS($1:38)),),OFFSET(TH!K$1,SMALL(Dong2,ROWS($1:38)),)),0))</f>
        <v>7935469</v>
      </c>
      <c r="H49" s="214">
        <f t="shared" ca="1" si="1"/>
        <v>82302934</v>
      </c>
      <c r="I49" s="214"/>
    </row>
    <row r="50" spans="1:9" s="200" customFormat="1" ht="20.25" customHeight="1">
      <c r="A50" s="212">
        <f ca="1">IF(ROWS($1:39)&gt;COUNT(Dong2),"",OFFSET(TH!C$1,SMALL(Dong2,ROWS($1:39)),))</f>
        <v>42515</v>
      </c>
      <c r="B50" s="212" t="str">
        <f ca="1">IF(ROWS($1:39)&gt;COUNT(Dong2),"",OFFSET(TH!D$1,SMALL(Dong2,ROWS($1:39)),))</f>
        <v>GBN</v>
      </c>
      <c r="C50" s="212">
        <f ca="1">IF(ROWS($1:39)&gt;COUNT(Dong2),"",OFFSET(TH!E$1,SMALL(Dong2,ROWS($1:39)),))</f>
        <v>42515</v>
      </c>
      <c r="D50" s="450" t="str">
        <f ca="1">IF(ROWS($1:39)&gt;COUNT(Dong2),"",OFFSET(TH!F$1,SMALL(Dong2,ROWS($1:39)),))</f>
        <v>Lãi vay</v>
      </c>
      <c r="E50" s="212" t="str">
        <f ca="1">IF(ROWS($1:39)&gt;COUNT(Dong2),"",IF(OFFSET(TH!O$1,SMALL(Dong2,ROWS($1:39)),)=$I$6,OFFSET(TH!N$1,SMALL(Dong2,ROWS($1:39)),),OFFSET(TH!O$1,SMALL(Dong2,ROWS($1:39)),)))</f>
        <v>635</v>
      </c>
      <c r="F50" s="213">
        <f ca="1">IF(ROWS($1:39)&gt;COUNT(Dong2),"",IF(OFFSET(TH!N$1,SMALL(Dong2,ROWS($1:39)),)=$I$6,IF($I$6="1121",OFFSET(TH!M$1,SMALL(Dong2,ROWS($1:39)),),OFFSET(TH!K$1,SMALL(Dong2,ROWS($1:39)),)),0))</f>
        <v>0</v>
      </c>
      <c r="G50" s="213">
        <f ca="1">IF(ROWS($1:39)&gt;COUNT(Dong2),"",IF(OFFSET(TH!O$1,SMALL(Dong2,ROWS($1:39)),)=$I$6,IF($I$6="1121",OFFSET(TH!M$1,SMALL(Dong2,ROWS($1:39)),),OFFSET(TH!K$1,SMALL(Dong2,ROWS($1:39)),)),0))</f>
        <v>11903203</v>
      </c>
      <c r="H50" s="214">
        <f t="shared" ca="1" si="1"/>
        <v>70399731</v>
      </c>
      <c r="I50" s="214"/>
    </row>
    <row r="51" spans="1:9" s="200" customFormat="1" ht="20.25" customHeight="1">
      <c r="A51" s="212">
        <f ca="1">IF(ROWS($1:40)&gt;COUNT(Dong2),"",OFFSET(TH!C$1,SMALL(Dong2,ROWS($1:40)),))</f>
        <v>42515</v>
      </c>
      <c r="B51" s="212" t="str">
        <f ca="1">IF(ROWS($1:40)&gt;COUNT(Dong2),"",OFFSET(TH!D$1,SMALL(Dong2,ROWS($1:40)),))</f>
        <v>GBN</v>
      </c>
      <c r="C51" s="212">
        <f ca="1">IF(ROWS($1:40)&gt;COUNT(Dong2),"",OFFSET(TH!E$1,SMALL(Dong2,ROWS($1:40)),))</f>
        <v>42515</v>
      </c>
      <c r="D51" s="450" t="str">
        <f ca="1">IF(ROWS($1:40)&gt;COUNT(Dong2),"",OFFSET(TH!F$1,SMALL(Dong2,ROWS($1:40)),))</f>
        <v>Lãi vay</v>
      </c>
      <c r="E51" s="212" t="str">
        <f ca="1">IF(ROWS($1:40)&gt;COUNT(Dong2),"",IF(OFFSET(TH!O$1,SMALL(Dong2,ROWS($1:40)),)=$I$6,OFFSET(TH!N$1,SMALL(Dong2,ROWS($1:40)),),OFFSET(TH!O$1,SMALL(Dong2,ROWS($1:40)),)))</f>
        <v>635</v>
      </c>
      <c r="F51" s="213">
        <f ca="1">IF(ROWS($1:40)&gt;COUNT(Dong2),"",IF(OFFSET(TH!N$1,SMALL(Dong2,ROWS($1:40)),)=$I$6,IF($I$6="1121",OFFSET(TH!M$1,SMALL(Dong2,ROWS($1:40)),),OFFSET(TH!K$1,SMALL(Dong2,ROWS($1:40)),)),0))</f>
        <v>0</v>
      </c>
      <c r="G51" s="213">
        <f ca="1">IF(ROWS($1:40)&gt;COUNT(Dong2),"",IF(OFFSET(TH!O$1,SMALL(Dong2,ROWS($1:40)),)=$I$6,IF($I$6="1121",OFFSET(TH!M$1,SMALL(Dong2,ROWS($1:40)),),OFFSET(TH!K$1,SMALL(Dong2,ROWS($1:40)),)),0))</f>
        <v>15870937</v>
      </c>
      <c r="H51" s="214">
        <f t="shared" ca="1" si="1"/>
        <v>54528794</v>
      </c>
      <c r="I51" s="214"/>
    </row>
    <row r="52" spans="1:9" s="200" customFormat="1" ht="20.25" customHeight="1">
      <c r="A52" s="212">
        <f ca="1">IF(ROWS($1:41)&gt;COUNT(Dong2),"",OFFSET(TH!C$1,SMALL(Dong2,ROWS($1:41)),))</f>
        <v>42515</v>
      </c>
      <c r="B52" s="212" t="str">
        <f ca="1">IF(ROWS($1:41)&gt;COUNT(Dong2),"",OFFSET(TH!D$1,SMALL(Dong2,ROWS($1:41)),))</f>
        <v>GBN</v>
      </c>
      <c r="C52" s="212">
        <f ca="1">IF(ROWS($1:41)&gt;COUNT(Dong2),"",OFFSET(TH!E$1,SMALL(Dong2,ROWS($1:41)),))</f>
        <v>42515</v>
      </c>
      <c r="D52" s="450" t="str">
        <f ca="1">IF(ROWS($1:41)&gt;COUNT(Dong2),"",OFFSET(TH!F$1,SMALL(Dong2,ROWS($1:41)),))</f>
        <v>Lãi vay</v>
      </c>
      <c r="E52" s="212" t="str">
        <f ca="1">IF(ROWS($1:41)&gt;COUNT(Dong2),"",IF(OFFSET(TH!O$1,SMALL(Dong2,ROWS($1:41)),)=$I$6,OFFSET(TH!N$1,SMALL(Dong2,ROWS($1:41)),),OFFSET(TH!O$1,SMALL(Dong2,ROWS($1:41)),)))</f>
        <v>635</v>
      </c>
      <c r="F52" s="213">
        <f ca="1">IF(ROWS($1:41)&gt;COUNT(Dong2),"",IF(OFFSET(TH!N$1,SMALL(Dong2,ROWS($1:41)),)=$I$6,IF($I$6="1121",OFFSET(TH!M$1,SMALL(Dong2,ROWS($1:41)),),OFFSET(TH!K$1,SMALL(Dong2,ROWS($1:41)),)),0))</f>
        <v>0</v>
      </c>
      <c r="G52" s="213">
        <f ca="1">IF(ROWS($1:41)&gt;COUNT(Dong2),"",IF(OFFSET(TH!O$1,SMALL(Dong2,ROWS($1:41)),)=$I$6,IF($I$6="1121",OFFSET(TH!M$1,SMALL(Dong2,ROWS($1:41)),),OFFSET(TH!K$1,SMALL(Dong2,ROWS($1:41)),)),0))</f>
        <v>7935469</v>
      </c>
      <c r="H52" s="214">
        <f t="shared" ca="1" si="1"/>
        <v>46593325</v>
      </c>
      <c r="I52" s="214"/>
    </row>
    <row r="53" spans="1:9" s="200" customFormat="1" ht="20.25" customHeight="1">
      <c r="A53" s="212">
        <f ca="1">IF(ROWS($1:42)&gt;COUNT(Dong2),"",OFFSET(TH!C$1,SMALL(Dong2,ROWS($1:42)),))</f>
        <v>42515</v>
      </c>
      <c r="B53" s="212" t="str">
        <f ca="1">IF(ROWS($1:42)&gt;COUNT(Dong2),"",OFFSET(TH!D$1,SMALL(Dong2,ROWS($1:42)),))</f>
        <v>GBN</v>
      </c>
      <c r="C53" s="212">
        <f ca="1">IF(ROWS($1:42)&gt;COUNT(Dong2),"",OFFSET(TH!E$1,SMALL(Dong2,ROWS($1:42)),))</f>
        <v>42515</v>
      </c>
      <c r="D53" s="450" t="str">
        <f ca="1">IF(ROWS($1:42)&gt;COUNT(Dong2),"",OFFSET(TH!F$1,SMALL(Dong2,ROWS($1:42)),))</f>
        <v>Lãi vay</v>
      </c>
      <c r="E53" s="212" t="str">
        <f ca="1">IF(ROWS($1:42)&gt;COUNT(Dong2),"",IF(OFFSET(TH!O$1,SMALL(Dong2,ROWS($1:42)),)=$I$6,OFFSET(TH!N$1,SMALL(Dong2,ROWS($1:42)),),OFFSET(TH!O$1,SMALL(Dong2,ROWS($1:42)),)))</f>
        <v>635</v>
      </c>
      <c r="F53" s="213">
        <f ca="1">IF(ROWS($1:42)&gt;COUNT(Dong2),"",IF(OFFSET(TH!N$1,SMALL(Dong2,ROWS($1:42)),)=$I$6,IF($I$6="1121",OFFSET(TH!M$1,SMALL(Dong2,ROWS($1:42)),),OFFSET(TH!K$1,SMALL(Dong2,ROWS($1:42)),)),0))</f>
        <v>0</v>
      </c>
      <c r="G53" s="213">
        <f ca="1">IF(ROWS($1:42)&gt;COUNT(Dong2),"",IF(OFFSET(TH!O$1,SMALL(Dong2,ROWS($1:42)),)=$I$6,IF($I$6="1121",OFFSET(TH!M$1,SMALL(Dong2,ROWS($1:42)),),OFFSET(TH!K$1,SMALL(Dong2,ROWS($1:42)),)),0))</f>
        <v>7935470</v>
      </c>
      <c r="H53" s="214">
        <f t="shared" ca="1" si="1"/>
        <v>38657855</v>
      </c>
      <c r="I53" s="214"/>
    </row>
    <row r="54" spans="1:9" s="200" customFormat="1" ht="20.25" customHeight="1">
      <c r="A54" s="212">
        <f ca="1">IF(ROWS($1:43)&gt;COUNT(Dong2),"",OFFSET(TH!C$1,SMALL(Dong2,ROWS($1:43)),))</f>
        <v>42515</v>
      </c>
      <c r="B54" s="212" t="str">
        <f ca="1">IF(ROWS($1:43)&gt;COUNT(Dong2),"",OFFSET(TH!D$1,SMALL(Dong2,ROWS($1:43)),))</f>
        <v>GBN</v>
      </c>
      <c r="C54" s="212">
        <f ca="1">IF(ROWS($1:43)&gt;COUNT(Dong2),"",OFFSET(TH!E$1,SMALL(Dong2,ROWS($1:43)),))</f>
        <v>42515</v>
      </c>
      <c r="D54" s="450" t="str">
        <f ca="1">IF(ROWS($1:43)&gt;COUNT(Dong2),"",OFFSET(TH!F$1,SMALL(Dong2,ROWS($1:43)),))</f>
        <v>Lãi vay</v>
      </c>
      <c r="E54" s="212" t="str">
        <f ca="1">IF(ROWS($1:43)&gt;COUNT(Dong2),"",IF(OFFSET(TH!O$1,SMALL(Dong2,ROWS($1:43)),)=$I$6,OFFSET(TH!N$1,SMALL(Dong2,ROWS($1:43)),),OFFSET(TH!O$1,SMALL(Dong2,ROWS($1:43)),)))</f>
        <v>635</v>
      </c>
      <c r="F54" s="213">
        <f ca="1">IF(ROWS($1:43)&gt;COUNT(Dong2),"",IF(OFFSET(TH!N$1,SMALL(Dong2,ROWS($1:43)),)=$I$6,IF($I$6="1121",OFFSET(TH!M$1,SMALL(Dong2,ROWS($1:43)),),OFFSET(TH!K$1,SMALL(Dong2,ROWS($1:43)),)),0))</f>
        <v>0</v>
      </c>
      <c r="G54" s="213">
        <f ca="1">IF(ROWS($1:43)&gt;COUNT(Dong2),"",IF(OFFSET(TH!O$1,SMALL(Dong2,ROWS($1:43)),)=$I$6,IF($I$6="1121",OFFSET(TH!M$1,SMALL(Dong2,ROWS($1:43)),),OFFSET(TH!K$1,SMALL(Dong2,ROWS($1:43)),)),0))</f>
        <v>11109656</v>
      </c>
      <c r="H54" s="214">
        <f t="shared" ca="1" si="1"/>
        <v>27548199</v>
      </c>
      <c r="I54" s="214"/>
    </row>
    <row r="55" spans="1:9" s="200" customFormat="1" ht="20.25" customHeight="1">
      <c r="A55" s="212">
        <f ca="1">IF(ROWS($1:44)&gt;COUNT(Dong2),"",OFFSET(TH!C$1,SMALL(Dong2,ROWS($1:44)),))</f>
        <v>42515</v>
      </c>
      <c r="B55" s="212" t="str">
        <f ca="1">IF(ROWS($1:44)&gt;COUNT(Dong2),"",OFFSET(TH!D$1,SMALL(Dong2,ROWS($1:44)),))</f>
        <v>GBN</v>
      </c>
      <c r="C55" s="212">
        <f ca="1">IF(ROWS($1:44)&gt;COUNT(Dong2),"",OFFSET(TH!E$1,SMALL(Dong2,ROWS($1:44)),))</f>
        <v>42515</v>
      </c>
      <c r="D55" s="450" t="str">
        <f ca="1">IF(ROWS($1:44)&gt;COUNT(Dong2),"",OFFSET(TH!F$1,SMALL(Dong2,ROWS($1:44)),))</f>
        <v>Lãi vay</v>
      </c>
      <c r="E55" s="212" t="str">
        <f ca="1">IF(ROWS($1:44)&gt;COUNT(Dong2),"",IF(OFFSET(TH!O$1,SMALL(Dong2,ROWS($1:44)),)=$I$6,OFFSET(TH!N$1,SMALL(Dong2,ROWS($1:44)),),OFFSET(TH!O$1,SMALL(Dong2,ROWS($1:44)),)))</f>
        <v>635</v>
      </c>
      <c r="F55" s="213">
        <f ca="1">IF(ROWS($1:44)&gt;COUNT(Dong2),"",IF(OFFSET(TH!N$1,SMALL(Dong2,ROWS($1:44)),)=$I$6,IF($I$6="1121",OFFSET(TH!M$1,SMALL(Dong2,ROWS($1:44)),),OFFSET(TH!K$1,SMALL(Dong2,ROWS($1:44)),)),0))</f>
        <v>0</v>
      </c>
      <c r="G55" s="213">
        <f ca="1">IF(ROWS($1:44)&gt;COUNT(Dong2),"",IF(OFFSET(TH!O$1,SMALL(Dong2,ROWS($1:44)),)=$I$6,IF($I$6="1121",OFFSET(TH!M$1,SMALL(Dong2,ROWS($1:44)),),OFFSET(TH!K$1,SMALL(Dong2,ROWS($1:44)),)),0))</f>
        <v>11903203</v>
      </c>
      <c r="H55" s="214">
        <f t="shared" ca="1" si="1"/>
        <v>15644996</v>
      </c>
      <c r="I55" s="214"/>
    </row>
    <row r="56" spans="1:9" s="200" customFormat="1" ht="20.25" customHeight="1">
      <c r="A56" s="212">
        <f ca="1">IF(ROWS($1:45)&gt;COUNT(Dong2),"",OFFSET(TH!C$1,SMALL(Dong2,ROWS($1:45)),))</f>
        <v>42515</v>
      </c>
      <c r="B56" s="212" t="str">
        <f ca="1">IF(ROWS($1:45)&gt;COUNT(Dong2),"",OFFSET(TH!D$1,SMALL(Dong2,ROWS($1:45)),))</f>
        <v>GBN</v>
      </c>
      <c r="C56" s="212">
        <f ca="1">IF(ROWS($1:45)&gt;COUNT(Dong2),"",OFFSET(TH!E$1,SMALL(Dong2,ROWS($1:45)),))</f>
        <v>42515</v>
      </c>
      <c r="D56" s="450" t="str">
        <f ca="1">IF(ROWS($1:45)&gt;COUNT(Dong2),"",OFFSET(TH!F$1,SMALL(Dong2,ROWS($1:45)),))</f>
        <v>Lãi vay</v>
      </c>
      <c r="E56" s="212" t="str">
        <f ca="1">IF(ROWS($1:45)&gt;COUNT(Dong2),"",IF(OFFSET(TH!O$1,SMALL(Dong2,ROWS($1:45)),)=$I$6,OFFSET(TH!N$1,SMALL(Dong2,ROWS($1:45)),),OFFSET(TH!O$1,SMALL(Dong2,ROWS($1:45)),)))</f>
        <v>635</v>
      </c>
      <c r="F56" s="213">
        <f ca="1">IF(ROWS($1:45)&gt;COUNT(Dong2),"",IF(OFFSET(TH!N$1,SMALL(Dong2,ROWS($1:45)),)=$I$6,IF($I$6="1121",OFFSET(TH!M$1,SMALL(Dong2,ROWS($1:45)),),OFFSET(TH!K$1,SMALL(Dong2,ROWS($1:45)),)),0))</f>
        <v>0</v>
      </c>
      <c r="G56" s="213">
        <f ca="1">IF(ROWS($1:45)&gt;COUNT(Dong2),"",IF(OFFSET(TH!O$1,SMALL(Dong2,ROWS($1:45)),)=$I$6,IF($I$6="1121",OFFSET(TH!M$1,SMALL(Dong2,ROWS($1:45)),),OFFSET(TH!K$1,SMALL(Dong2,ROWS($1:45)),)),0))</f>
        <v>11903203</v>
      </c>
      <c r="H56" s="214">
        <f t="shared" ca="1" si="1"/>
        <v>3741793</v>
      </c>
      <c r="I56" s="214"/>
    </row>
    <row r="57" spans="1:9" s="200" customFormat="1" ht="20.25" customHeight="1">
      <c r="A57" s="212">
        <f ca="1">IF(ROWS($1:46)&gt;COUNT(Dong2),"",OFFSET(TH!C$1,SMALL(Dong2,ROWS($1:46)),))</f>
        <v>42517</v>
      </c>
      <c r="B57" s="212" t="str">
        <f ca="1">IF(ROWS($1:46)&gt;COUNT(Dong2),"",OFFSET(TH!D$1,SMALL(Dong2,ROWS($1:46)),))</f>
        <v>C39</v>
      </c>
      <c r="C57" s="212">
        <f ca="1">IF(ROWS($1:46)&gt;COUNT(Dong2),"",OFFSET(TH!E$1,SMALL(Dong2,ROWS($1:46)),))</f>
        <v>42517</v>
      </c>
      <c r="D57" s="450" t="str">
        <f ca="1">IF(ROWS($1:46)&gt;COUNT(Dong2),"",OFFSET(TH!F$1,SMALL(Dong2,ROWS($1:46)),))</f>
        <v>Q4 - Nộp tiền mặt</v>
      </c>
      <c r="E57" s="212" t="str">
        <f ca="1">IF(ROWS($1:46)&gt;COUNT(Dong2),"",IF(OFFSET(TH!O$1,SMALL(Dong2,ROWS($1:46)),)=$I$6,OFFSET(TH!N$1,SMALL(Dong2,ROWS($1:46)),),OFFSET(TH!O$1,SMALL(Dong2,ROWS($1:46)),)))</f>
        <v>1111</v>
      </c>
      <c r="F57" s="213">
        <f ca="1">IF(ROWS($1:46)&gt;COUNT(Dong2),"",IF(OFFSET(TH!N$1,SMALL(Dong2,ROWS($1:46)),)=$I$6,IF($I$6="1121",OFFSET(TH!M$1,SMALL(Dong2,ROWS($1:46)),),OFFSET(TH!K$1,SMALL(Dong2,ROWS($1:46)),)),0))</f>
        <v>24000000</v>
      </c>
      <c r="G57" s="213">
        <f ca="1">IF(ROWS($1:46)&gt;COUNT(Dong2),"",IF(OFFSET(TH!O$1,SMALL(Dong2,ROWS($1:46)),)=$I$6,IF($I$6="1121",OFFSET(TH!M$1,SMALL(Dong2,ROWS($1:46)),),OFFSET(TH!K$1,SMALL(Dong2,ROWS($1:46)),)),0))</f>
        <v>0</v>
      </c>
      <c r="H57" s="214">
        <f t="shared" ca="1" si="1"/>
        <v>27741793</v>
      </c>
      <c r="I57" s="214"/>
    </row>
    <row r="58" spans="1:9" s="200" customFormat="1" ht="20.25" customHeight="1">
      <c r="A58" s="212">
        <f ca="1">IF(ROWS($1:47)&gt;COUNT(Dong2),"",OFFSET(TH!C$1,SMALL(Dong2,ROWS($1:47)),))</f>
        <v>42517</v>
      </c>
      <c r="B58" s="212" t="str">
        <f ca="1">IF(ROWS($1:47)&gt;COUNT(Dong2),"",OFFSET(TH!D$1,SMALL(Dong2,ROWS($1:47)),))</f>
        <v>GBN</v>
      </c>
      <c r="C58" s="212">
        <f ca="1">IF(ROWS($1:47)&gt;COUNT(Dong2),"",OFFSET(TH!E$1,SMALL(Dong2,ROWS($1:47)),))</f>
        <v>42517</v>
      </c>
      <c r="D58" s="450" t="str">
        <f ca="1">IF(ROWS($1:47)&gt;COUNT(Dong2),"",OFFSET(TH!F$1,SMALL(Dong2,ROWS($1:47)),))</f>
        <v>Lãi vay</v>
      </c>
      <c r="E58" s="212" t="str">
        <f ca="1">IF(ROWS($1:47)&gt;COUNT(Dong2),"",IF(OFFSET(TH!O$1,SMALL(Dong2,ROWS($1:47)),)=$I$6,OFFSET(TH!N$1,SMALL(Dong2,ROWS($1:47)),),OFFSET(TH!O$1,SMALL(Dong2,ROWS($1:47)),)))</f>
        <v>635</v>
      </c>
      <c r="F58" s="213">
        <f ca="1">IF(ROWS($1:47)&gt;COUNT(Dong2),"",IF(OFFSET(TH!N$1,SMALL(Dong2,ROWS($1:47)),)=$I$6,IF($I$6="1121",OFFSET(TH!M$1,SMALL(Dong2,ROWS($1:47)),),OFFSET(TH!K$1,SMALL(Dong2,ROWS($1:47)),)),0))</f>
        <v>0</v>
      </c>
      <c r="G58" s="213">
        <f ca="1">IF(ROWS($1:47)&gt;COUNT(Dong2),"",IF(OFFSET(TH!O$1,SMALL(Dong2,ROWS($1:47)),)=$I$6,IF($I$6="1121",OFFSET(TH!M$1,SMALL(Dong2,ROWS($1:47)),),OFFSET(TH!K$1,SMALL(Dong2,ROWS($1:47)),)),0))</f>
        <v>11912604</v>
      </c>
      <c r="H58" s="214">
        <f t="shared" ca="1" si="1"/>
        <v>15829189</v>
      </c>
      <c r="I58" s="214"/>
    </row>
    <row r="59" spans="1:9" s="200" customFormat="1" ht="20.25" customHeight="1">
      <c r="A59" s="212">
        <f ca="1">IF(ROWS($1:48)&gt;COUNT(Dong2),"",OFFSET(TH!C$1,SMALL(Dong2,ROWS($1:48)),))</f>
        <v>42517</v>
      </c>
      <c r="B59" s="212" t="str">
        <f ca="1">IF(ROWS($1:48)&gt;COUNT(Dong2),"",OFFSET(TH!D$1,SMALL(Dong2,ROWS($1:48)),))</f>
        <v>GBN</v>
      </c>
      <c r="C59" s="212">
        <f ca="1">IF(ROWS($1:48)&gt;COUNT(Dong2),"",OFFSET(TH!E$1,SMALL(Dong2,ROWS($1:48)),))</f>
        <v>42517</v>
      </c>
      <c r="D59" s="450" t="str">
        <f ca="1">IF(ROWS($1:48)&gt;COUNT(Dong2),"",OFFSET(TH!F$1,SMALL(Dong2,ROWS($1:48)),))</f>
        <v>Lãi vay</v>
      </c>
      <c r="E59" s="212" t="str">
        <f ca="1">IF(ROWS($1:48)&gt;COUNT(Dong2),"",IF(OFFSET(TH!O$1,SMALL(Dong2,ROWS($1:48)),)=$I$6,OFFSET(TH!N$1,SMALL(Dong2,ROWS($1:48)),),OFFSET(TH!O$1,SMALL(Dong2,ROWS($1:48)),)))</f>
        <v>635</v>
      </c>
      <c r="F59" s="213">
        <f ca="1">IF(ROWS($1:48)&gt;COUNT(Dong2),"",IF(OFFSET(TH!N$1,SMALL(Dong2,ROWS($1:48)),)=$I$6,IF($I$6="1121",OFFSET(TH!M$1,SMALL(Dong2,ROWS($1:48)),),OFFSET(TH!K$1,SMALL(Dong2,ROWS($1:48)),)),0))</f>
        <v>0</v>
      </c>
      <c r="G59" s="213">
        <f ca="1">IF(ROWS($1:48)&gt;COUNT(Dong2),"",IF(OFFSET(TH!O$1,SMALL(Dong2,ROWS($1:48)),)=$I$6,IF($I$6="1121",OFFSET(TH!M$1,SMALL(Dong2,ROWS($1:48)),),OFFSET(TH!K$1,SMALL(Dong2,ROWS($1:48)),)),0))</f>
        <v>11912604</v>
      </c>
      <c r="H59" s="214">
        <f t="shared" ca="1" si="1"/>
        <v>3916585</v>
      </c>
      <c r="I59" s="214"/>
    </row>
    <row r="60" spans="1:9" s="200" customFormat="1" ht="20.25" customHeight="1">
      <c r="A60" s="212">
        <f ca="1">IF(ROWS($1:49)&gt;COUNT(Dong2),"",OFFSET(TH!C$1,SMALL(Dong2,ROWS($1:49)),))</f>
        <v>42521</v>
      </c>
      <c r="B60" s="212" t="str">
        <f ca="1">IF(ROWS($1:49)&gt;COUNT(Dong2),"",OFFSET(TH!D$1,SMALL(Dong2,ROWS($1:49)),))</f>
        <v>C42</v>
      </c>
      <c r="C60" s="212">
        <f ca="1">IF(ROWS($1:49)&gt;COUNT(Dong2),"",OFFSET(TH!E$1,SMALL(Dong2,ROWS($1:49)),))</f>
        <v>42521</v>
      </c>
      <c r="D60" s="450" t="str">
        <f ca="1">IF(ROWS($1:49)&gt;COUNT(Dong2),"",OFFSET(TH!F$1,SMALL(Dong2,ROWS($1:49)),))</f>
        <v>Q4 - Nộp tiền mặt</v>
      </c>
      <c r="E60" s="212" t="str">
        <f ca="1">IF(ROWS($1:49)&gt;COUNT(Dong2),"",IF(OFFSET(TH!O$1,SMALL(Dong2,ROWS($1:49)),)=$I$6,OFFSET(TH!N$1,SMALL(Dong2,ROWS($1:49)),),OFFSET(TH!O$1,SMALL(Dong2,ROWS($1:49)),)))</f>
        <v>1111</v>
      </c>
      <c r="F60" s="213">
        <f ca="1">IF(ROWS($1:49)&gt;COUNT(Dong2),"",IF(OFFSET(TH!N$1,SMALL(Dong2,ROWS($1:49)),)=$I$6,IF($I$6="1121",OFFSET(TH!M$1,SMALL(Dong2,ROWS($1:49)),),OFFSET(TH!K$1,SMALL(Dong2,ROWS($1:49)),)),0))</f>
        <v>62000000</v>
      </c>
      <c r="G60" s="213">
        <f ca="1">IF(ROWS($1:49)&gt;COUNT(Dong2),"",IF(OFFSET(TH!O$1,SMALL(Dong2,ROWS($1:49)),)=$I$6,IF($I$6="1121",OFFSET(TH!M$1,SMALL(Dong2,ROWS($1:49)),),OFFSET(TH!K$1,SMALL(Dong2,ROWS($1:49)),)),0))</f>
        <v>0</v>
      </c>
      <c r="H60" s="214">
        <f t="shared" ca="1" si="1"/>
        <v>65916585</v>
      </c>
      <c r="I60" s="214"/>
    </row>
    <row r="61" spans="1:9" s="200" customFormat="1" ht="20.25" customHeight="1">
      <c r="A61" s="212">
        <f ca="1">IF(ROWS($1:50)&gt;COUNT(Dong2),"",OFFSET(TH!C$1,SMALL(Dong2,ROWS($1:50)),))</f>
        <v>42521</v>
      </c>
      <c r="B61" s="212" t="str">
        <f ca="1">IF(ROWS($1:50)&gt;COUNT(Dong2),"",OFFSET(TH!D$1,SMALL(Dong2,ROWS($1:50)),))</f>
        <v>GBN</v>
      </c>
      <c r="C61" s="212">
        <f ca="1">IF(ROWS($1:50)&gt;COUNT(Dong2),"",OFFSET(TH!E$1,SMALL(Dong2,ROWS($1:50)),))</f>
        <v>42521</v>
      </c>
      <c r="D61" s="450" t="str">
        <f ca="1">IF(ROWS($1:50)&gt;COUNT(Dong2),"",OFFSET(TH!F$1,SMALL(Dong2,ROWS($1:50)),))</f>
        <v>Thanh toán tiền điện kỳ 1&amp;2 tháng 5</v>
      </c>
      <c r="E61" s="212" t="str">
        <f ca="1">IF(ROWS($1:50)&gt;COUNT(Dong2),"",IF(OFFSET(TH!O$1,SMALL(Dong2,ROWS($1:50)),)=$I$6,OFFSET(TH!N$1,SMALL(Dong2,ROWS($1:50)),),OFFSET(TH!O$1,SMALL(Dong2,ROWS($1:50)),)))</f>
        <v>331</v>
      </c>
      <c r="F61" s="213">
        <f ca="1">IF(ROWS($1:50)&gt;COUNT(Dong2),"",IF(OFFSET(TH!N$1,SMALL(Dong2,ROWS($1:50)),)=$I$6,IF($I$6="1121",OFFSET(TH!M$1,SMALL(Dong2,ROWS($1:50)),),OFFSET(TH!K$1,SMALL(Dong2,ROWS($1:50)),)),0))</f>
        <v>0</v>
      </c>
      <c r="G61" s="213">
        <f ca="1">IF(ROWS($1:50)&gt;COUNT(Dong2),"",IF(OFFSET(TH!O$1,SMALL(Dong2,ROWS($1:50)),)=$I$6,IF($I$6="1121",OFFSET(TH!M$1,SMALL(Dong2,ROWS($1:50)),),OFFSET(TH!K$1,SMALL(Dong2,ROWS($1:50)),)),0))</f>
        <v>61262630</v>
      </c>
      <c r="H61" s="214">
        <f t="shared" ca="1" si="1"/>
        <v>4653955</v>
      </c>
      <c r="I61" s="214"/>
    </row>
    <row r="62" spans="1:9" s="200" customFormat="1" ht="20.25" customHeight="1">
      <c r="A62" s="212">
        <f ca="1">IF(ROWS($1:51)&gt;COUNT(Dong2),"",OFFSET(TH!C$1,SMALL(Dong2,ROWS($1:51)),))</f>
        <v>42521</v>
      </c>
      <c r="B62" s="212" t="str">
        <f ca="1">IF(ROWS($1:51)&gt;COUNT(Dong2),"",OFFSET(TH!D$1,SMALL(Dong2,ROWS($1:51)),))</f>
        <v>GBN</v>
      </c>
      <c r="C62" s="212">
        <f ca="1">IF(ROWS($1:51)&gt;COUNT(Dong2),"",OFFSET(TH!E$1,SMALL(Dong2,ROWS($1:51)),))</f>
        <v>42521</v>
      </c>
      <c r="D62" s="450" t="str">
        <f ca="1">IF(ROWS($1:51)&gt;COUNT(Dong2),"",OFFSET(TH!F$1,SMALL(Dong2,ROWS($1:51)),))</f>
        <v xml:space="preserve">Phí chuyển tiền </v>
      </c>
      <c r="E62" s="212" t="str">
        <f ca="1">IF(ROWS($1:51)&gt;COUNT(Dong2),"",IF(OFFSET(TH!O$1,SMALL(Dong2,ROWS($1:51)),)=$I$6,OFFSET(TH!N$1,SMALL(Dong2,ROWS($1:51)),),OFFSET(TH!O$1,SMALL(Dong2,ROWS($1:51)),)))</f>
        <v>642</v>
      </c>
      <c r="F62" s="213">
        <f ca="1">IF(ROWS($1:51)&gt;COUNT(Dong2),"",IF(OFFSET(TH!N$1,SMALL(Dong2,ROWS($1:51)),)=$I$6,IF($I$6="1121",OFFSET(TH!M$1,SMALL(Dong2,ROWS($1:51)),),OFFSET(TH!K$1,SMALL(Dong2,ROWS($1:51)),)),0))</f>
        <v>0</v>
      </c>
      <c r="G62" s="213">
        <f ca="1">IF(ROWS($1:51)&gt;COUNT(Dong2),"",IF(OFFSET(TH!O$1,SMALL(Dong2,ROWS($1:51)),)=$I$6,IF($I$6="1121",OFFSET(TH!M$1,SMALL(Dong2,ROWS($1:51)),),OFFSET(TH!K$1,SMALL(Dong2,ROWS($1:51)),)),0))</f>
        <v>50631</v>
      </c>
      <c r="H62" s="214">
        <f t="shared" ca="1" si="1"/>
        <v>4603324</v>
      </c>
      <c r="I62" s="214"/>
    </row>
    <row r="63" spans="1:9" s="200" customFormat="1" ht="20.25" customHeight="1">
      <c r="A63" s="212">
        <f ca="1">IF(ROWS($1:52)&gt;COUNT(Dong2),"",OFFSET(TH!C$1,SMALL(Dong2,ROWS($1:52)),))</f>
        <v>42521</v>
      </c>
      <c r="B63" s="212" t="str">
        <f ca="1">IF(ROWS($1:52)&gt;COUNT(Dong2),"",OFFSET(TH!D$1,SMALL(Dong2,ROWS($1:52)),))</f>
        <v>GBN</v>
      </c>
      <c r="C63" s="212">
        <f ca="1">IF(ROWS($1:52)&gt;COUNT(Dong2),"",OFFSET(TH!E$1,SMALL(Dong2,ROWS($1:52)),))</f>
        <v>42521</v>
      </c>
      <c r="D63" s="450" t="str">
        <f ca="1">IF(ROWS($1:52)&gt;COUNT(Dong2),"",OFFSET(TH!F$1,SMALL(Dong2,ROWS($1:52)),))</f>
        <v xml:space="preserve">VAT Phí chuyển tiền </v>
      </c>
      <c r="E63" s="212" t="str">
        <f ca="1">IF(ROWS($1:52)&gt;COUNT(Dong2),"",IF(OFFSET(TH!O$1,SMALL(Dong2,ROWS($1:52)),)=$I$6,OFFSET(TH!N$1,SMALL(Dong2,ROWS($1:52)),),OFFSET(TH!O$1,SMALL(Dong2,ROWS($1:52)),)))</f>
        <v>1331</v>
      </c>
      <c r="F63" s="213">
        <f ca="1">IF(ROWS($1:52)&gt;COUNT(Dong2),"",IF(OFFSET(TH!N$1,SMALL(Dong2,ROWS($1:52)),)=$I$6,IF($I$6="1121",OFFSET(TH!M$1,SMALL(Dong2,ROWS($1:52)),),OFFSET(TH!K$1,SMALL(Dong2,ROWS($1:52)),)),0))</f>
        <v>0</v>
      </c>
      <c r="G63" s="213">
        <f ca="1">IF(ROWS($1:52)&gt;COUNT(Dong2),"",IF(OFFSET(TH!O$1,SMALL(Dong2,ROWS($1:52)),)=$I$6,IF($I$6="1121",OFFSET(TH!M$1,SMALL(Dong2,ROWS($1:52)),),OFFSET(TH!K$1,SMALL(Dong2,ROWS($1:52)),)),0))</f>
        <v>5063</v>
      </c>
      <c r="H63" s="214">
        <f t="shared" ca="1" si="1"/>
        <v>4598261</v>
      </c>
      <c r="I63" s="214"/>
    </row>
    <row r="64" spans="1:9" s="200" customFormat="1" ht="20.25" customHeight="1">
      <c r="A64" s="212">
        <f ca="1">IF(ROWS($1:53)&gt;COUNT(Dong2),"",OFFSET(TH!C$1,SMALL(Dong2,ROWS($1:53)),))</f>
        <v>42538</v>
      </c>
      <c r="B64" s="212" t="str">
        <f ca="1">IF(ROWS($1:53)&gt;COUNT(Dong2),"",OFFSET(TH!D$1,SMALL(Dong2,ROWS($1:53)),))</f>
        <v>GBC</v>
      </c>
      <c r="C64" s="212">
        <f ca="1">IF(ROWS($1:53)&gt;COUNT(Dong2),"",OFFSET(TH!E$1,SMALL(Dong2,ROWS($1:53)),))</f>
        <v>42538</v>
      </c>
      <c r="D64" s="450" t="str">
        <f ca="1">IF(ROWS($1:53)&gt;COUNT(Dong2),"",OFFSET(TH!F$1,SMALL(Dong2,ROWS($1:53)),))</f>
        <v>Mua ngoại tệ trả nợ vay</v>
      </c>
      <c r="E64" s="212" t="str">
        <f ca="1">IF(ROWS($1:53)&gt;COUNT(Dong2),"",IF(OFFSET(TH!O$1,SMALL(Dong2,ROWS($1:53)),)=$I$6,OFFSET(TH!N$1,SMALL(Dong2,ROWS($1:53)),),OFFSET(TH!O$1,SMALL(Dong2,ROWS($1:53)),)))</f>
        <v>1122</v>
      </c>
      <c r="F64" s="213">
        <f ca="1">IF(ROWS($1:53)&gt;COUNT(Dong2),"",IF(OFFSET(TH!N$1,SMALL(Dong2,ROWS($1:53)),)=$I$6,IF($I$6="1121",OFFSET(TH!M$1,SMALL(Dong2,ROWS($1:53)),),OFFSET(TH!K$1,SMALL(Dong2,ROWS($1:53)),)),0))</f>
        <v>0</v>
      </c>
      <c r="G64" s="213">
        <f ca="1">IF(ROWS($1:53)&gt;COUNT(Dong2),"",IF(OFFSET(TH!O$1,SMALL(Dong2,ROWS($1:53)),)=$I$6,IF($I$6="1121",OFFSET(TH!M$1,SMALL(Dong2,ROWS($1:53)),),OFFSET(TH!K$1,SMALL(Dong2,ROWS($1:53)),)),0))</f>
        <v>1962840000</v>
      </c>
      <c r="H64" s="214">
        <f t="shared" ca="1" si="1"/>
        <v>-1958241739</v>
      </c>
      <c r="I64" s="214"/>
    </row>
    <row r="65" spans="1:9" s="200" customFormat="1" ht="20.25" customHeight="1">
      <c r="A65" s="212">
        <f ca="1">IF(ROWS($1:54)&gt;COUNT(Dong2),"",OFFSET(TH!C$1,SMALL(Dong2,ROWS($1:54)),))</f>
        <v>42538</v>
      </c>
      <c r="B65" s="212" t="str">
        <f ca="1">IF(ROWS($1:54)&gt;COUNT(Dong2),"",OFFSET(TH!D$1,SMALL(Dong2,ROWS($1:54)),))</f>
        <v>GBC</v>
      </c>
      <c r="C65" s="212">
        <f ca="1">IF(ROWS($1:54)&gt;COUNT(Dong2),"",OFFSET(TH!E$1,SMALL(Dong2,ROWS($1:54)),))</f>
        <v>42538</v>
      </c>
      <c r="D65" s="450" t="str">
        <f ca="1">IF(ROWS($1:54)&gt;COUNT(Dong2),"",OFFSET(TH!F$1,SMALL(Dong2,ROWS($1:54)),))</f>
        <v>Ứng vốn</v>
      </c>
      <c r="E65" s="212" t="str">
        <f ca="1">IF(ROWS($1:54)&gt;COUNT(Dong2),"",IF(OFFSET(TH!O$1,SMALL(Dong2,ROWS($1:54)),)=$I$6,OFFSET(TH!N$1,SMALL(Dong2,ROWS($1:54)),),OFFSET(TH!O$1,SMALL(Dong2,ROWS($1:54)),)))</f>
        <v>1388</v>
      </c>
      <c r="F65" s="213">
        <f ca="1">IF(ROWS($1:54)&gt;COUNT(Dong2),"",IF(OFFSET(TH!N$1,SMALL(Dong2,ROWS($1:54)),)=$I$6,IF($I$6="1121",OFFSET(TH!M$1,SMALL(Dong2,ROWS($1:54)),),OFFSET(TH!K$1,SMALL(Dong2,ROWS($1:54)),)),0))</f>
        <v>1975000000</v>
      </c>
      <c r="G65" s="213">
        <f ca="1">IF(ROWS($1:54)&gt;COUNT(Dong2),"",IF(OFFSET(TH!O$1,SMALL(Dong2,ROWS($1:54)),)=$I$6,IF($I$6="1121",OFFSET(TH!M$1,SMALL(Dong2,ROWS($1:54)),),OFFSET(TH!K$1,SMALL(Dong2,ROWS($1:54)),)),0))</f>
        <v>0</v>
      </c>
      <c r="H65" s="214">
        <f t="shared" ca="1" si="1"/>
        <v>16758261</v>
      </c>
      <c r="I65" s="214"/>
    </row>
    <row r="66" spans="1:9" s="200" customFormat="1" ht="20.25" customHeight="1">
      <c r="A66" s="212">
        <f ca="1">IF(ROWS($1:55)&gt;COUNT(Dong2),"",OFFSET(TH!C$1,SMALL(Dong2,ROWS($1:55)),))</f>
        <v>42538</v>
      </c>
      <c r="B66" s="212" t="str">
        <f ca="1">IF(ROWS($1:55)&gt;COUNT(Dong2),"",OFFSET(TH!D$1,SMALL(Dong2,ROWS($1:55)),))</f>
        <v>GBN</v>
      </c>
      <c r="C66" s="212">
        <f ca="1">IF(ROWS($1:55)&gt;COUNT(Dong2),"",OFFSET(TH!E$1,SMALL(Dong2,ROWS($1:55)),))</f>
        <v>42538</v>
      </c>
      <c r="D66" s="450" t="str">
        <f ca="1">IF(ROWS($1:55)&gt;COUNT(Dong2),"",OFFSET(TH!F$1,SMALL(Dong2,ROWS($1:55)),))</f>
        <v>Lãi vay tất toán</v>
      </c>
      <c r="E66" s="212" t="str">
        <f ca="1">IF(ROWS($1:55)&gt;COUNT(Dong2),"",IF(OFFSET(TH!O$1,SMALL(Dong2,ROWS($1:55)),)=$I$6,OFFSET(TH!N$1,SMALL(Dong2,ROWS($1:55)),),OFFSET(TH!O$1,SMALL(Dong2,ROWS($1:55)),)))</f>
        <v>635</v>
      </c>
      <c r="F66" s="213">
        <f ca="1">IF(ROWS($1:55)&gt;COUNT(Dong2),"",IF(OFFSET(TH!N$1,SMALL(Dong2,ROWS($1:55)),)=$I$6,IF($I$6="1121",OFFSET(TH!M$1,SMALL(Dong2,ROWS($1:55)),),OFFSET(TH!K$1,SMALL(Dong2,ROWS($1:55)),)),0))</f>
        <v>0</v>
      </c>
      <c r="G66" s="213">
        <f ca="1">IF(ROWS($1:55)&gt;COUNT(Dong2),"",IF(OFFSET(TH!O$1,SMALL(Dong2,ROWS($1:55)),)=$I$6,IF($I$6="1121",OFFSET(TH!M$1,SMALL(Dong2,ROWS($1:55)),),OFFSET(TH!K$1,SMALL(Dong2,ROWS($1:55)),)),0))</f>
        <v>7210682</v>
      </c>
      <c r="H66" s="214">
        <f t="shared" ca="1" si="1"/>
        <v>9547579</v>
      </c>
      <c r="I66" s="214"/>
    </row>
    <row r="67" spans="1:9" s="200" customFormat="1" ht="20.25" customHeight="1">
      <c r="A67" s="212">
        <f ca="1">IF(ROWS($1:56)&gt;COUNT(Dong2),"",OFFSET(TH!C$1,SMALL(Dong2,ROWS($1:56)),))</f>
        <v>42542</v>
      </c>
      <c r="B67" s="212" t="str">
        <f ca="1">IF(ROWS($1:56)&gt;COUNT(Dong2),"",OFFSET(TH!D$1,SMALL(Dong2,ROWS($1:56)),))</f>
        <v>C46</v>
      </c>
      <c r="C67" s="212">
        <f ca="1">IF(ROWS($1:56)&gt;COUNT(Dong2),"",OFFSET(TH!E$1,SMALL(Dong2,ROWS($1:56)),))</f>
        <v>42542</v>
      </c>
      <c r="D67" s="450" t="str">
        <f ca="1">IF(ROWS($1:56)&gt;COUNT(Dong2),"",OFFSET(TH!F$1,SMALL(Dong2,ROWS($1:56)),))</f>
        <v>Q4 - Nộp tiền mặt</v>
      </c>
      <c r="E67" s="212" t="str">
        <f ca="1">IF(ROWS($1:56)&gt;COUNT(Dong2),"",IF(OFFSET(TH!O$1,SMALL(Dong2,ROWS($1:56)),)=$I$6,OFFSET(TH!N$1,SMALL(Dong2,ROWS($1:56)),),OFFSET(TH!O$1,SMALL(Dong2,ROWS($1:56)),)))</f>
        <v>1111</v>
      </c>
      <c r="F67" s="213">
        <f ca="1">IF(ROWS($1:56)&gt;COUNT(Dong2),"",IF(OFFSET(TH!N$1,SMALL(Dong2,ROWS($1:56)),)=$I$6,IF($I$6="1121",OFFSET(TH!M$1,SMALL(Dong2,ROWS($1:56)),),OFFSET(TH!K$1,SMALL(Dong2,ROWS($1:56)),)),0))</f>
        <v>100000000</v>
      </c>
      <c r="G67" s="213">
        <f ca="1">IF(ROWS($1:56)&gt;COUNT(Dong2),"",IF(OFFSET(TH!O$1,SMALL(Dong2,ROWS($1:56)),)=$I$6,IF($I$6="1121",OFFSET(TH!M$1,SMALL(Dong2,ROWS($1:56)),),OFFSET(TH!K$1,SMALL(Dong2,ROWS($1:56)),)),0))</f>
        <v>0</v>
      </c>
      <c r="H67" s="214">
        <f t="shared" ca="1" si="1"/>
        <v>109547579</v>
      </c>
      <c r="I67" s="214"/>
    </row>
    <row r="68" spans="1:9" s="200" customFormat="1" ht="20.25" customHeight="1">
      <c r="A68" s="212">
        <f ca="1">IF(ROWS($1:57)&gt;COUNT(Dong2),"",OFFSET(TH!C$1,SMALL(Dong2,ROWS($1:57)),))</f>
        <v>42542</v>
      </c>
      <c r="B68" s="212" t="str">
        <f ca="1">IF(ROWS($1:57)&gt;COUNT(Dong2),"",OFFSET(TH!D$1,SMALL(Dong2,ROWS($1:57)),))</f>
        <v>C46</v>
      </c>
      <c r="C68" s="212">
        <f ca="1">IF(ROWS($1:57)&gt;COUNT(Dong2),"",OFFSET(TH!E$1,SMALL(Dong2,ROWS($1:57)),))</f>
        <v>42542</v>
      </c>
      <c r="D68" s="450" t="str">
        <f ca="1">IF(ROWS($1:57)&gt;COUNT(Dong2),"",OFFSET(TH!F$1,SMALL(Dong2,ROWS($1:57)),))</f>
        <v>Q4 - Nộp tiền mặt</v>
      </c>
      <c r="E68" s="212" t="str">
        <f ca="1">IF(ROWS($1:57)&gt;COUNT(Dong2),"",IF(OFFSET(TH!O$1,SMALL(Dong2,ROWS($1:57)),)=$I$6,OFFSET(TH!N$1,SMALL(Dong2,ROWS($1:57)),),OFFSET(TH!O$1,SMALL(Dong2,ROWS($1:57)),)))</f>
        <v>1111</v>
      </c>
      <c r="F68" s="213">
        <f ca="1">IF(ROWS($1:57)&gt;COUNT(Dong2),"",IF(OFFSET(TH!N$1,SMALL(Dong2,ROWS($1:57)),)=$I$6,IF($I$6="1121",OFFSET(TH!M$1,SMALL(Dong2,ROWS($1:57)),),OFFSET(TH!K$1,SMALL(Dong2,ROWS($1:57)),)),0))</f>
        <v>70000000</v>
      </c>
      <c r="G68" s="213">
        <f ca="1">IF(ROWS($1:57)&gt;COUNT(Dong2),"",IF(OFFSET(TH!O$1,SMALL(Dong2,ROWS($1:57)),)=$I$6,IF($I$6="1121",OFFSET(TH!M$1,SMALL(Dong2,ROWS($1:57)),),OFFSET(TH!K$1,SMALL(Dong2,ROWS($1:57)),)),0))</f>
        <v>0</v>
      </c>
      <c r="H68" s="214">
        <f t="shared" ca="1" si="1"/>
        <v>179547579</v>
      </c>
      <c r="I68" s="214"/>
    </row>
    <row r="69" spans="1:9" s="200" customFormat="1" ht="20.25" customHeight="1">
      <c r="A69" s="212">
        <f ca="1">IF(ROWS($1:58)&gt;COUNT(Dong2),"",OFFSET(TH!C$1,SMALL(Dong2,ROWS($1:58)),))</f>
        <v>42542</v>
      </c>
      <c r="B69" s="212" t="str">
        <f ca="1">IF(ROWS($1:58)&gt;COUNT(Dong2),"",OFFSET(TH!D$1,SMALL(Dong2,ROWS($1:58)),))</f>
        <v>GBN</v>
      </c>
      <c r="C69" s="212">
        <f ca="1">IF(ROWS($1:58)&gt;COUNT(Dong2),"",OFFSET(TH!E$1,SMALL(Dong2,ROWS($1:58)),))</f>
        <v>42542</v>
      </c>
      <c r="D69" s="450" t="str">
        <f ca="1">IF(ROWS($1:58)&gt;COUNT(Dong2),"",OFFSET(TH!F$1,SMALL(Dong2,ROWS($1:58)),))</f>
        <v>Lãi vay</v>
      </c>
      <c r="E69" s="212" t="str">
        <f ca="1">IF(ROWS($1:58)&gt;COUNT(Dong2),"",IF(OFFSET(TH!O$1,SMALL(Dong2,ROWS($1:58)),)=$I$6,OFFSET(TH!N$1,SMALL(Dong2,ROWS($1:58)),),OFFSET(TH!O$1,SMALL(Dong2,ROWS($1:58)),)))</f>
        <v>635</v>
      </c>
      <c r="F69" s="213">
        <f ca="1">IF(ROWS($1:58)&gt;COUNT(Dong2),"",IF(OFFSET(TH!N$1,SMALL(Dong2,ROWS($1:58)),)=$I$6,IF($I$6="1121",OFFSET(TH!M$1,SMALL(Dong2,ROWS($1:58)),),OFFSET(TH!K$1,SMALL(Dong2,ROWS($1:58)),)),0))</f>
        <v>0</v>
      </c>
      <c r="G69" s="213">
        <f ca="1">IF(ROWS($1:58)&gt;COUNT(Dong2),"",IF(OFFSET(TH!O$1,SMALL(Dong2,ROWS($1:58)),)=$I$6,IF($I$6="1121",OFFSET(TH!M$1,SMALL(Dong2,ROWS($1:58)),),OFFSET(TH!K$1,SMALL(Dong2,ROWS($1:58)),)),0))</f>
        <v>8187032</v>
      </c>
      <c r="H69" s="214">
        <f t="shared" ca="1" si="1"/>
        <v>171360547</v>
      </c>
      <c r="I69" s="214"/>
    </row>
    <row r="70" spans="1:9" s="200" customFormat="1" ht="20.25" customHeight="1">
      <c r="A70" s="212">
        <f ca="1">IF(ROWS($1:59)&gt;COUNT(Dong2),"",OFFSET(TH!C$1,SMALL(Dong2,ROWS($1:59)),))</f>
        <v>42542</v>
      </c>
      <c r="B70" s="212" t="str">
        <f ca="1">IF(ROWS($1:59)&gt;COUNT(Dong2),"",OFFSET(TH!D$1,SMALL(Dong2,ROWS($1:59)),))</f>
        <v>GBN</v>
      </c>
      <c r="C70" s="212">
        <f ca="1">IF(ROWS($1:59)&gt;COUNT(Dong2),"",OFFSET(TH!E$1,SMALL(Dong2,ROWS($1:59)),))</f>
        <v>42542</v>
      </c>
      <c r="D70" s="450" t="str">
        <f ca="1">IF(ROWS($1:59)&gt;COUNT(Dong2),"",OFFSET(TH!F$1,SMALL(Dong2,ROWS($1:59)),))</f>
        <v>Lãi vay</v>
      </c>
      <c r="E70" s="212" t="str">
        <f ca="1">IF(ROWS($1:59)&gt;COUNT(Dong2),"",IF(OFFSET(TH!O$1,SMALL(Dong2,ROWS($1:59)),)=$I$6,OFFSET(TH!N$1,SMALL(Dong2,ROWS($1:59)),),OFFSET(TH!O$1,SMALL(Dong2,ROWS($1:59)),)))</f>
        <v>635</v>
      </c>
      <c r="F70" s="213">
        <f ca="1">IF(ROWS($1:59)&gt;COUNT(Dong2),"",IF(OFFSET(TH!N$1,SMALL(Dong2,ROWS($1:59)),)=$I$6,IF($I$6="1121",OFFSET(TH!M$1,SMALL(Dong2,ROWS($1:59)),),OFFSET(TH!K$1,SMALL(Dong2,ROWS($1:59)),)),0))</f>
        <v>0</v>
      </c>
      <c r="G70" s="213">
        <f ca="1">IF(ROWS($1:59)&gt;COUNT(Dong2),"",IF(OFFSET(TH!O$1,SMALL(Dong2,ROWS($1:59)),)=$I$6,IF($I$6="1121",OFFSET(TH!M$1,SMALL(Dong2,ROWS($1:59)),),OFFSET(TH!K$1,SMALL(Dong2,ROWS($1:59)),)),0))</f>
        <v>16374064</v>
      </c>
      <c r="H70" s="214">
        <f t="shared" ca="1" si="1"/>
        <v>154986483</v>
      </c>
      <c r="I70" s="214"/>
    </row>
    <row r="71" spans="1:9" s="200" customFormat="1" ht="20.25" customHeight="1">
      <c r="A71" s="212">
        <f ca="1">IF(ROWS($1:60)&gt;COUNT(Dong2),"",OFFSET(TH!C$1,SMALL(Dong2,ROWS($1:60)),))</f>
        <v>42542</v>
      </c>
      <c r="B71" s="212" t="str">
        <f ca="1">IF(ROWS($1:60)&gt;COUNT(Dong2),"",OFFSET(TH!D$1,SMALL(Dong2,ROWS($1:60)),))</f>
        <v>GBN</v>
      </c>
      <c r="C71" s="212">
        <f ca="1">IF(ROWS($1:60)&gt;COUNT(Dong2),"",OFFSET(TH!E$1,SMALL(Dong2,ROWS($1:60)),))</f>
        <v>42542</v>
      </c>
      <c r="D71" s="450" t="str">
        <f ca="1">IF(ROWS($1:60)&gt;COUNT(Dong2),"",OFFSET(TH!F$1,SMALL(Dong2,ROWS($1:60)),))</f>
        <v>Lãi vay</v>
      </c>
      <c r="E71" s="212" t="str">
        <f ca="1">IF(ROWS($1:60)&gt;COUNT(Dong2),"",IF(OFFSET(TH!O$1,SMALL(Dong2,ROWS($1:60)),)=$I$6,OFFSET(TH!N$1,SMALL(Dong2,ROWS($1:60)),),OFFSET(TH!O$1,SMALL(Dong2,ROWS($1:60)),)))</f>
        <v>635</v>
      </c>
      <c r="F71" s="213">
        <f ca="1">IF(ROWS($1:60)&gt;COUNT(Dong2),"",IF(OFFSET(TH!N$1,SMALL(Dong2,ROWS($1:60)),)=$I$6,IF($I$6="1121",OFFSET(TH!M$1,SMALL(Dong2,ROWS($1:60)),),OFFSET(TH!K$1,SMALL(Dong2,ROWS($1:60)),)),0))</f>
        <v>0</v>
      </c>
      <c r="G71" s="213">
        <f ca="1">IF(ROWS($1:60)&gt;COUNT(Dong2),"",IF(OFFSET(TH!O$1,SMALL(Dong2,ROWS($1:60)),)=$I$6,IF($I$6="1121",OFFSET(TH!M$1,SMALL(Dong2,ROWS($1:60)),),OFFSET(TH!K$1,SMALL(Dong2,ROWS($1:60)),)),0))</f>
        <v>13099251</v>
      </c>
      <c r="H71" s="214">
        <f t="shared" ca="1" si="1"/>
        <v>141887232</v>
      </c>
      <c r="I71" s="214"/>
    </row>
    <row r="72" spans="1:9" s="200" customFormat="1" ht="20.25" customHeight="1">
      <c r="A72" s="212">
        <f ca="1">IF(ROWS($1:61)&gt;COUNT(Dong2),"",OFFSET(TH!C$1,SMALL(Dong2,ROWS($1:61)),))</f>
        <v>42542</v>
      </c>
      <c r="B72" s="212" t="str">
        <f ca="1">IF(ROWS($1:61)&gt;COUNT(Dong2),"",OFFSET(TH!D$1,SMALL(Dong2,ROWS($1:61)),))</f>
        <v>GBN</v>
      </c>
      <c r="C72" s="212">
        <f ca="1">IF(ROWS($1:61)&gt;COUNT(Dong2),"",OFFSET(TH!E$1,SMALL(Dong2,ROWS($1:61)),))</f>
        <v>42542</v>
      </c>
      <c r="D72" s="450" t="str">
        <f ca="1">IF(ROWS($1:61)&gt;COUNT(Dong2),"",OFFSET(TH!F$1,SMALL(Dong2,ROWS($1:61)),))</f>
        <v>Lãi vay</v>
      </c>
      <c r="E72" s="212" t="str">
        <f ca="1">IF(ROWS($1:61)&gt;COUNT(Dong2),"",IF(OFFSET(TH!O$1,SMALL(Dong2,ROWS($1:61)),)=$I$6,OFFSET(TH!N$1,SMALL(Dong2,ROWS($1:61)),),OFFSET(TH!O$1,SMALL(Dong2,ROWS($1:61)),)))</f>
        <v>635</v>
      </c>
      <c r="F72" s="213">
        <f ca="1">IF(ROWS($1:61)&gt;COUNT(Dong2),"",IF(OFFSET(TH!N$1,SMALL(Dong2,ROWS($1:61)),)=$I$6,IF($I$6="1121",OFFSET(TH!M$1,SMALL(Dong2,ROWS($1:61)),),OFFSET(TH!K$1,SMALL(Dong2,ROWS($1:61)),)),0))</f>
        <v>0</v>
      </c>
      <c r="G72" s="213">
        <f ca="1">IF(ROWS($1:61)&gt;COUNT(Dong2),"",IF(OFFSET(TH!O$1,SMALL(Dong2,ROWS($1:61)),)=$I$6,IF($I$6="1121",OFFSET(TH!M$1,SMALL(Dong2,ROWS($1:61)),),OFFSET(TH!K$1,SMALL(Dong2,ROWS($1:61)),)),0))</f>
        <v>12280547</v>
      </c>
      <c r="H72" s="214">
        <f t="shared" ca="1" si="1"/>
        <v>129606685</v>
      </c>
      <c r="I72" s="214"/>
    </row>
    <row r="73" spans="1:9" s="200" customFormat="1" ht="20.25" customHeight="1">
      <c r="A73" s="212">
        <f ca="1">IF(ROWS($1:62)&gt;COUNT(Dong2),"",OFFSET(TH!C$1,SMALL(Dong2,ROWS($1:62)),))</f>
        <v>42542</v>
      </c>
      <c r="B73" s="212" t="str">
        <f ca="1">IF(ROWS($1:62)&gt;COUNT(Dong2),"",OFFSET(TH!D$1,SMALL(Dong2,ROWS($1:62)),))</f>
        <v>GBN</v>
      </c>
      <c r="C73" s="212">
        <f ca="1">IF(ROWS($1:62)&gt;COUNT(Dong2),"",OFFSET(TH!E$1,SMALL(Dong2,ROWS($1:62)),))</f>
        <v>42542</v>
      </c>
      <c r="D73" s="450" t="str">
        <f ca="1">IF(ROWS($1:62)&gt;COUNT(Dong2),"",OFFSET(TH!F$1,SMALL(Dong2,ROWS($1:62)),))</f>
        <v>Lãi vay</v>
      </c>
      <c r="E73" s="212" t="str">
        <f ca="1">IF(ROWS($1:62)&gt;COUNT(Dong2),"",IF(OFFSET(TH!O$1,SMALL(Dong2,ROWS($1:62)),)=$I$6,OFFSET(TH!N$1,SMALL(Dong2,ROWS($1:62)),),OFFSET(TH!O$1,SMALL(Dong2,ROWS($1:62)),)))</f>
        <v>635</v>
      </c>
      <c r="F73" s="213">
        <f ca="1">IF(ROWS($1:62)&gt;COUNT(Dong2),"",IF(OFFSET(TH!N$1,SMALL(Dong2,ROWS($1:62)),)=$I$6,IF($I$6="1121",OFFSET(TH!M$1,SMALL(Dong2,ROWS($1:62)),),OFFSET(TH!K$1,SMALL(Dong2,ROWS($1:62)),)),0))</f>
        <v>0</v>
      </c>
      <c r="G73" s="213">
        <f ca="1">IF(ROWS($1:62)&gt;COUNT(Dong2),"",IF(OFFSET(TH!O$1,SMALL(Dong2,ROWS($1:62)),)=$I$6,IF($I$6="1121",OFFSET(TH!M$1,SMALL(Dong2,ROWS($1:62)),),OFFSET(TH!K$1,SMALL(Dong2,ROWS($1:62)),)),0))</f>
        <v>8187032</v>
      </c>
      <c r="H73" s="214">
        <f t="shared" ca="1" si="1"/>
        <v>121419653</v>
      </c>
      <c r="I73" s="214"/>
    </row>
    <row r="74" spans="1:9" s="200" customFormat="1" ht="20.25" customHeight="1">
      <c r="A74" s="212">
        <f ca="1">IF(ROWS($1:63)&gt;COUNT(Dong2),"",OFFSET(TH!C$1,SMALL(Dong2,ROWS($1:63)),))</f>
        <v>42542</v>
      </c>
      <c r="B74" s="212" t="str">
        <f ca="1">IF(ROWS($1:63)&gt;COUNT(Dong2),"",OFFSET(TH!D$1,SMALL(Dong2,ROWS($1:63)),))</f>
        <v>GBN</v>
      </c>
      <c r="C74" s="212">
        <f ca="1">IF(ROWS($1:63)&gt;COUNT(Dong2),"",OFFSET(TH!E$1,SMALL(Dong2,ROWS($1:63)),))</f>
        <v>42542</v>
      </c>
      <c r="D74" s="450" t="str">
        <f ca="1">IF(ROWS($1:63)&gt;COUNT(Dong2),"",OFFSET(TH!F$1,SMALL(Dong2,ROWS($1:63)),))</f>
        <v>Lãi vay</v>
      </c>
      <c r="E74" s="212" t="str">
        <f ca="1">IF(ROWS($1:63)&gt;COUNT(Dong2),"",IF(OFFSET(TH!O$1,SMALL(Dong2,ROWS($1:63)),)=$I$6,OFFSET(TH!N$1,SMALL(Dong2,ROWS($1:63)),),OFFSET(TH!O$1,SMALL(Dong2,ROWS($1:63)),)))</f>
        <v>635</v>
      </c>
      <c r="F74" s="213">
        <f ca="1">IF(ROWS($1:63)&gt;COUNT(Dong2),"",IF(OFFSET(TH!N$1,SMALL(Dong2,ROWS($1:63)),)=$I$6,IF($I$6="1121",OFFSET(TH!M$1,SMALL(Dong2,ROWS($1:63)),),OFFSET(TH!K$1,SMALL(Dong2,ROWS($1:63)),)),0))</f>
        <v>0</v>
      </c>
      <c r="G74" s="213">
        <f ca="1">IF(ROWS($1:63)&gt;COUNT(Dong2),"",IF(OFFSET(TH!O$1,SMALL(Dong2,ROWS($1:63)),)=$I$6,IF($I$6="1121",OFFSET(TH!M$1,SMALL(Dong2,ROWS($1:63)),),OFFSET(TH!K$1,SMALL(Dong2,ROWS($1:63)),)),0))</f>
        <v>12280547</v>
      </c>
      <c r="H74" s="214">
        <f t="shared" ca="1" si="1"/>
        <v>109139106</v>
      </c>
      <c r="I74" s="214"/>
    </row>
    <row r="75" spans="1:9" s="200" customFormat="1" ht="20.25" customHeight="1">
      <c r="A75" s="212">
        <f ca="1">IF(ROWS($1:64)&gt;COUNT(Dong2),"",OFFSET(TH!C$1,SMALL(Dong2,ROWS($1:64)),))</f>
        <v>42542</v>
      </c>
      <c r="B75" s="212" t="str">
        <f ca="1">IF(ROWS($1:64)&gt;COUNT(Dong2),"",OFFSET(TH!D$1,SMALL(Dong2,ROWS($1:64)),))</f>
        <v>GBN</v>
      </c>
      <c r="C75" s="212">
        <f ca="1">IF(ROWS($1:64)&gt;COUNT(Dong2),"",OFFSET(TH!E$1,SMALL(Dong2,ROWS($1:64)),))</f>
        <v>42542</v>
      </c>
      <c r="D75" s="450" t="str">
        <f ca="1">IF(ROWS($1:64)&gt;COUNT(Dong2),"",OFFSET(TH!F$1,SMALL(Dong2,ROWS($1:64)),))</f>
        <v>Lãi vay</v>
      </c>
      <c r="E75" s="212" t="str">
        <f ca="1">IF(ROWS($1:64)&gt;COUNT(Dong2),"",IF(OFFSET(TH!O$1,SMALL(Dong2,ROWS($1:64)),)=$I$6,OFFSET(TH!N$1,SMALL(Dong2,ROWS($1:64)),),OFFSET(TH!O$1,SMALL(Dong2,ROWS($1:64)),)))</f>
        <v>635</v>
      </c>
      <c r="F75" s="213">
        <f ca="1">IF(ROWS($1:64)&gt;COUNT(Dong2),"",IF(OFFSET(TH!N$1,SMALL(Dong2,ROWS($1:64)),)=$I$6,IF($I$6="1121",OFFSET(TH!M$1,SMALL(Dong2,ROWS($1:64)),),OFFSET(TH!K$1,SMALL(Dong2,ROWS($1:64)),)),0))</f>
        <v>0</v>
      </c>
      <c r="G75" s="213">
        <f ca="1">IF(ROWS($1:64)&gt;COUNT(Dong2),"",IF(OFFSET(TH!O$1,SMALL(Dong2,ROWS($1:64)),)=$I$6,IF($I$6="1121",OFFSET(TH!M$1,SMALL(Dong2,ROWS($1:64)),),OFFSET(TH!K$1,SMALL(Dong2,ROWS($1:64)),)),0))</f>
        <v>16374064</v>
      </c>
      <c r="H75" s="214">
        <f t="shared" ca="1" si="1"/>
        <v>92765042</v>
      </c>
      <c r="I75" s="214"/>
    </row>
    <row r="76" spans="1:9" s="200" customFormat="1" ht="20.25" customHeight="1">
      <c r="A76" s="212">
        <f ca="1">IF(ROWS($1:65)&gt;COUNT(Dong2),"",OFFSET(TH!C$1,SMALL(Dong2,ROWS($1:65)),))</f>
        <v>42542</v>
      </c>
      <c r="B76" s="212" t="str">
        <f ca="1">IF(ROWS($1:65)&gt;COUNT(Dong2),"",OFFSET(TH!D$1,SMALL(Dong2,ROWS($1:65)),))</f>
        <v>GBN</v>
      </c>
      <c r="C76" s="212">
        <f ca="1">IF(ROWS($1:65)&gt;COUNT(Dong2),"",OFFSET(TH!E$1,SMALL(Dong2,ROWS($1:65)),))</f>
        <v>42542</v>
      </c>
      <c r="D76" s="450" t="str">
        <f ca="1">IF(ROWS($1:65)&gt;COUNT(Dong2),"",OFFSET(TH!F$1,SMALL(Dong2,ROWS($1:65)),))</f>
        <v>Lãi vay</v>
      </c>
      <c r="E76" s="212" t="str">
        <f ca="1">IF(ROWS($1:65)&gt;COUNT(Dong2),"",IF(OFFSET(TH!O$1,SMALL(Dong2,ROWS($1:65)),)=$I$6,OFFSET(TH!N$1,SMALL(Dong2,ROWS($1:65)),),OFFSET(TH!O$1,SMALL(Dong2,ROWS($1:65)),)))</f>
        <v>635</v>
      </c>
      <c r="F76" s="213">
        <f ca="1">IF(ROWS($1:65)&gt;COUNT(Dong2),"",IF(OFFSET(TH!N$1,SMALL(Dong2,ROWS($1:65)),)=$I$6,IF($I$6="1121",OFFSET(TH!M$1,SMALL(Dong2,ROWS($1:65)),),OFFSET(TH!K$1,SMALL(Dong2,ROWS($1:65)),)),0))</f>
        <v>0</v>
      </c>
      <c r="G76" s="213">
        <f ca="1">IF(ROWS($1:65)&gt;COUNT(Dong2),"",IF(OFFSET(TH!O$1,SMALL(Dong2,ROWS($1:65)),)=$I$6,IF($I$6="1121",OFFSET(TH!M$1,SMALL(Dong2,ROWS($1:65)),),OFFSET(TH!K$1,SMALL(Dong2,ROWS($1:65)),)),0))</f>
        <v>11461845</v>
      </c>
      <c r="H76" s="214">
        <f t="shared" ref="H76:H107" ca="1" si="2">IF(A76&lt;&gt;"",H75+F76-G76,0)</f>
        <v>81303197</v>
      </c>
      <c r="I76" s="214"/>
    </row>
    <row r="77" spans="1:9" s="200" customFormat="1" ht="20.25" customHeight="1">
      <c r="A77" s="212">
        <f ca="1">IF(ROWS($1:66)&gt;COUNT(Dong2),"",OFFSET(TH!C$1,SMALL(Dong2,ROWS($1:66)),))</f>
        <v>42542</v>
      </c>
      <c r="B77" s="212" t="str">
        <f ca="1">IF(ROWS($1:66)&gt;COUNT(Dong2),"",OFFSET(TH!D$1,SMALL(Dong2,ROWS($1:66)),))</f>
        <v>GBN</v>
      </c>
      <c r="C77" s="212">
        <f ca="1">IF(ROWS($1:66)&gt;COUNT(Dong2),"",OFFSET(TH!E$1,SMALL(Dong2,ROWS($1:66)),))</f>
        <v>42542</v>
      </c>
      <c r="D77" s="450" t="str">
        <f ca="1">IF(ROWS($1:66)&gt;COUNT(Dong2),"",OFFSET(TH!F$1,SMALL(Dong2,ROWS($1:66)),))</f>
        <v>Lãi vay</v>
      </c>
      <c r="E77" s="212" t="str">
        <f ca="1">IF(ROWS($1:66)&gt;COUNT(Dong2),"",IF(OFFSET(TH!O$1,SMALL(Dong2,ROWS($1:66)),)=$I$6,OFFSET(TH!N$1,SMALL(Dong2,ROWS($1:66)),),OFFSET(TH!O$1,SMALL(Dong2,ROWS($1:66)),)))</f>
        <v>635</v>
      </c>
      <c r="F77" s="213">
        <f ca="1">IF(ROWS($1:66)&gt;COUNT(Dong2),"",IF(OFFSET(TH!N$1,SMALL(Dong2,ROWS($1:66)),)=$I$6,IF($I$6="1121",OFFSET(TH!M$1,SMALL(Dong2,ROWS($1:66)),),OFFSET(TH!K$1,SMALL(Dong2,ROWS($1:66)),)),0))</f>
        <v>0</v>
      </c>
      <c r="G77" s="213">
        <f ca="1">IF(ROWS($1:66)&gt;COUNT(Dong2),"",IF(OFFSET(TH!O$1,SMALL(Dong2,ROWS($1:66)),)=$I$6,IF($I$6="1121",OFFSET(TH!M$1,SMALL(Dong2,ROWS($1:66)),),OFFSET(TH!K$1,SMALL(Dong2,ROWS($1:66)),)),0))</f>
        <v>12280547</v>
      </c>
      <c r="H77" s="214">
        <f t="shared" ca="1" si="2"/>
        <v>69022650</v>
      </c>
      <c r="I77" s="214"/>
    </row>
    <row r="78" spans="1:9" s="200" customFormat="1" ht="20.25" customHeight="1">
      <c r="A78" s="212">
        <f ca="1">IF(ROWS($1:67)&gt;COUNT(Dong2),"",OFFSET(TH!C$1,SMALL(Dong2,ROWS($1:67)),))</f>
        <v>42542</v>
      </c>
      <c r="B78" s="212" t="str">
        <f ca="1">IF(ROWS($1:67)&gt;COUNT(Dong2),"",OFFSET(TH!D$1,SMALL(Dong2,ROWS($1:67)),))</f>
        <v>GBN</v>
      </c>
      <c r="C78" s="212">
        <f ca="1">IF(ROWS($1:67)&gt;COUNT(Dong2),"",OFFSET(TH!E$1,SMALL(Dong2,ROWS($1:67)),))</f>
        <v>42542</v>
      </c>
      <c r="D78" s="450" t="str">
        <f ca="1">IF(ROWS($1:67)&gt;COUNT(Dong2),"",OFFSET(TH!F$1,SMALL(Dong2,ROWS($1:67)),))</f>
        <v>Lãi vay</v>
      </c>
      <c r="E78" s="212" t="str">
        <f ca="1">IF(ROWS($1:67)&gt;COUNT(Dong2),"",IF(OFFSET(TH!O$1,SMALL(Dong2,ROWS($1:67)),)=$I$6,OFFSET(TH!N$1,SMALL(Dong2,ROWS($1:67)),),OFFSET(TH!O$1,SMALL(Dong2,ROWS($1:67)),)))</f>
        <v>635</v>
      </c>
      <c r="F78" s="213">
        <f ca="1">IF(ROWS($1:67)&gt;COUNT(Dong2),"",IF(OFFSET(TH!N$1,SMALL(Dong2,ROWS($1:67)),)=$I$6,IF($I$6="1121",OFFSET(TH!M$1,SMALL(Dong2,ROWS($1:67)),),OFFSET(TH!K$1,SMALL(Dong2,ROWS($1:67)),)),0))</f>
        <v>0</v>
      </c>
      <c r="G78" s="213">
        <f ca="1">IF(ROWS($1:67)&gt;COUNT(Dong2),"",IF(OFFSET(TH!O$1,SMALL(Dong2,ROWS($1:67)),)=$I$6,IF($I$6="1121",OFFSET(TH!M$1,SMALL(Dong2,ROWS($1:67)),),OFFSET(TH!K$1,SMALL(Dong2,ROWS($1:67)),)),0))</f>
        <v>12280547</v>
      </c>
      <c r="H78" s="214">
        <f t="shared" ca="1" si="2"/>
        <v>56742103</v>
      </c>
      <c r="I78" s="214"/>
    </row>
    <row r="79" spans="1:9" s="200" customFormat="1" ht="20.25" customHeight="1">
      <c r="A79" s="212">
        <f ca="1">IF(ROWS($1:68)&gt;COUNT(Dong2),"",OFFSET(TH!C$1,SMALL(Dong2,ROWS($1:68)),))</f>
        <v>42542</v>
      </c>
      <c r="B79" s="212" t="str">
        <f ca="1">IF(ROWS($1:68)&gt;COUNT(Dong2),"",OFFSET(TH!D$1,SMALL(Dong2,ROWS($1:68)),))</f>
        <v>GBN</v>
      </c>
      <c r="C79" s="212">
        <f ca="1">IF(ROWS($1:68)&gt;COUNT(Dong2),"",OFFSET(TH!E$1,SMALL(Dong2,ROWS($1:68)),))</f>
        <v>42542</v>
      </c>
      <c r="D79" s="450" t="str">
        <f ca="1">IF(ROWS($1:68)&gt;COUNT(Dong2),"",OFFSET(TH!F$1,SMALL(Dong2,ROWS($1:68)),))</f>
        <v>Lãi vay</v>
      </c>
      <c r="E79" s="212" t="str">
        <f ca="1">IF(ROWS($1:68)&gt;COUNT(Dong2),"",IF(OFFSET(TH!O$1,SMALL(Dong2,ROWS($1:68)),)=$I$6,OFFSET(TH!N$1,SMALL(Dong2,ROWS($1:68)),),OFFSET(TH!O$1,SMALL(Dong2,ROWS($1:68)),)))</f>
        <v>635</v>
      </c>
      <c r="F79" s="213">
        <f ca="1">IF(ROWS($1:68)&gt;COUNT(Dong2),"",IF(OFFSET(TH!N$1,SMALL(Dong2,ROWS($1:68)),)=$I$6,IF($I$6="1121",OFFSET(TH!M$1,SMALL(Dong2,ROWS($1:68)),),OFFSET(TH!K$1,SMALL(Dong2,ROWS($1:68)),)),0))</f>
        <v>0</v>
      </c>
      <c r="G79" s="213">
        <f ca="1">IF(ROWS($1:68)&gt;COUNT(Dong2),"",IF(OFFSET(TH!O$1,SMALL(Dong2,ROWS($1:68)),)=$I$6,IF($I$6="1121",OFFSET(TH!M$1,SMALL(Dong2,ROWS($1:68)),),OFFSET(TH!K$1,SMALL(Dong2,ROWS($1:68)),)),0))</f>
        <v>12280547</v>
      </c>
      <c r="H79" s="214">
        <f t="shared" ca="1" si="2"/>
        <v>44461556</v>
      </c>
      <c r="I79" s="214"/>
    </row>
    <row r="80" spans="1:9" s="200" customFormat="1" ht="20.25" customHeight="1">
      <c r="A80" s="212">
        <f ca="1">IF(ROWS($1:69)&gt;COUNT(Dong2),"",OFFSET(TH!C$1,SMALL(Dong2,ROWS($1:69)),))</f>
        <v>42542</v>
      </c>
      <c r="B80" s="212" t="str">
        <f ca="1">IF(ROWS($1:69)&gt;COUNT(Dong2),"",OFFSET(TH!D$1,SMALL(Dong2,ROWS($1:69)),))</f>
        <v>GBN</v>
      </c>
      <c r="C80" s="212">
        <f ca="1">IF(ROWS($1:69)&gt;COUNT(Dong2),"",OFFSET(TH!E$1,SMALL(Dong2,ROWS($1:69)),))</f>
        <v>42542</v>
      </c>
      <c r="D80" s="450" t="str">
        <f ca="1">IF(ROWS($1:69)&gt;COUNT(Dong2),"",OFFSET(TH!F$1,SMALL(Dong2,ROWS($1:69)),))</f>
        <v>Lãi vay</v>
      </c>
      <c r="E80" s="212" t="str">
        <f ca="1">IF(ROWS($1:69)&gt;COUNT(Dong2),"",IF(OFFSET(TH!O$1,SMALL(Dong2,ROWS($1:69)),)=$I$6,OFFSET(TH!N$1,SMALL(Dong2,ROWS($1:69)),),OFFSET(TH!O$1,SMALL(Dong2,ROWS($1:69)),)))</f>
        <v>635</v>
      </c>
      <c r="F80" s="213">
        <f ca="1">IF(ROWS($1:69)&gt;COUNT(Dong2),"",IF(OFFSET(TH!N$1,SMALL(Dong2,ROWS($1:69)),)=$I$6,IF($I$6="1121",OFFSET(TH!M$1,SMALL(Dong2,ROWS($1:69)),),OFFSET(TH!K$1,SMALL(Dong2,ROWS($1:69)),)),0))</f>
        <v>0</v>
      </c>
      <c r="G80" s="213">
        <f ca="1">IF(ROWS($1:69)&gt;COUNT(Dong2),"",IF(OFFSET(TH!O$1,SMALL(Dong2,ROWS($1:69)),)=$I$6,IF($I$6="1121",OFFSET(TH!M$1,SMALL(Dong2,ROWS($1:69)),),OFFSET(TH!K$1,SMALL(Dong2,ROWS($1:69)),)),0))</f>
        <v>8187032</v>
      </c>
      <c r="H80" s="214">
        <f t="shared" ca="1" si="2"/>
        <v>36274524</v>
      </c>
      <c r="I80" s="214"/>
    </row>
    <row r="81" spans="1:9" s="200" customFormat="1" ht="20.25" customHeight="1">
      <c r="A81" s="212">
        <f ca="1">IF(ROWS($1:70)&gt;COUNT(Dong2),"",OFFSET(TH!C$1,SMALL(Dong2,ROWS($1:70)),))</f>
        <v>42542</v>
      </c>
      <c r="B81" s="212" t="str">
        <f ca="1">IF(ROWS($1:70)&gt;COUNT(Dong2),"",OFFSET(TH!D$1,SMALL(Dong2,ROWS($1:70)),))</f>
        <v>GBN</v>
      </c>
      <c r="C81" s="212">
        <f ca="1">IF(ROWS($1:70)&gt;COUNT(Dong2),"",OFFSET(TH!E$1,SMALL(Dong2,ROWS($1:70)),))</f>
        <v>42542</v>
      </c>
      <c r="D81" s="450" t="str">
        <f ca="1">IF(ROWS($1:70)&gt;COUNT(Dong2),"",OFFSET(TH!F$1,SMALL(Dong2,ROWS($1:70)),))</f>
        <v>Lãi vay</v>
      </c>
      <c r="E81" s="212" t="str">
        <f ca="1">IF(ROWS($1:70)&gt;COUNT(Dong2),"",IF(OFFSET(TH!O$1,SMALL(Dong2,ROWS($1:70)),)=$I$6,OFFSET(TH!N$1,SMALL(Dong2,ROWS($1:70)),),OFFSET(TH!O$1,SMALL(Dong2,ROWS($1:70)),)))</f>
        <v>635</v>
      </c>
      <c r="F81" s="213">
        <f ca="1">IF(ROWS($1:70)&gt;COUNT(Dong2),"",IF(OFFSET(TH!N$1,SMALL(Dong2,ROWS($1:70)),)=$I$6,IF($I$6="1121",OFFSET(TH!M$1,SMALL(Dong2,ROWS($1:70)),),OFFSET(TH!K$1,SMALL(Dong2,ROWS($1:70)),)),0))</f>
        <v>0</v>
      </c>
      <c r="G81" s="213">
        <f ca="1">IF(ROWS($1:70)&gt;COUNT(Dong2),"",IF(OFFSET(TH!O$1,SMALL(Dong2,ROWS($1:70)),)=$I$6,IF($I$6="1121",OFFSET(TH!M$1,SMALL(Dong2,ROWS($1:70)),),OFFSET(TH!K$1,SMALL(Dong2,ROWS($1:70)),)),0))</f>
        <v>8187032</v>
      </c>
      <c r="H81" s="214">
        <f t="shared" ca="1" si="2"/>
        <v>28087492</v>
      </c>
      <c r="I81" s="214"/>
    </row>
    <row r="82" spans="1:9" s="200" customFormat="1" ht="20.25" customHeight="1">
      <c r="A82" s="212">
        <f ca="1">IF(ROWS($1:71)&gt;COUNT(Dong2),"",OFFSET(TH!C$1,SMALL(Dong2,ROWS($1:71)),))</f>
        <v>42543</v>
      </c>
      <c r="B82" s="212" t="str">
        <f ca="1">IF(ROWS($1:71)&gt;COUNT(Dong2),"",OFFSET(TH!D$1,SMALL(Dong2,ROWS($1:71)),))</f>
        <v>GBC</v>
      </c>
      <c r="C82" s="212">
        <f ca="1">IF(ROWS($1:71)&gt;COUNT(Dong2),"",OFFSET(TH!E$1,SMALL(Dong2,ROWS($1:71)),))</f>
        <v>42543</v>
      </c>
      <c r="D82" s="450" t="str">
        <f ca="1">IF(ROWS($1:71)&gt;COUNT(Dong2),"",OFFSET(TH!F$1,SMALL(Dong2,ROWS($1:71)),))</f>
        <v>Vay vốn NH</v>
      </c>
      <c r="E82" s="212" t="str">
        <f ca="1">IF(ROWS($1:71)&gt;COUNT(Dong2),"",IF(OFFSET(TH!O$1,SMALL(Dong2,ROWS($1:71)),)=$I$6,OFFSET(TH!N$1,SMALL(Dong2,ROWS($1:71)),),OFFSET(TH!O$1,SMALL(Dong2,ROWS($1:71)),)))</f>
        <v>3411</v>
      </c>
      <c r="F82" s="213">
        <f ca="1">IF(ROWS($1:71)&gt;COUNT(Dong2),"",IF(OFFSET(TH!N$1,SMALL(Dong2,ROWS($1:71)),)=$I$6,IF($I$6="1121",OFFSET(TH!M$1,SMALL(Dong2,ROWS($1:71)),),OFFSET(TH!K$1,SMALL(Dong2,ROWS($1:71)),)),0))</f>
        <v>1961520000</v>
      </c>
      <c r="G82" s="213">
        <f ca="1">IF(ROWS($1:71)&gt;COUNT(Dong2),"",IF(OFFSET(TH!O$1,SMALL(Dong2,ROWS($1:71)),)=$I$6,IF($I$6="1121",OFFSET(TH!M$1,SMALL(Dong2,ROWS($1:71)),),OFFSET(TH!K$1,SMALL(Dong2,ROWS($1:71)),)),0))</f>
        <v>0</v>
      </c>
      <c r="H82" s="214">
        <f t="shared" ca="1" si="2"/>
        <v>1989607492</v>
      </c>
      <c r="I82" s="214"/>
    </row>
    <row r="83" spans="1:9" s="200" customFormat="1" ht="20.25" customHeight="1">
      <c r="A83" s="212">
        <f ca="1">IF(ROWS($1:72)&gt;COUNT(Dong2),"",OFFSET(TH!C$1,SMALL(Dong2,ROWS($1:72)),))</f>
        <v>42543</v>
      </c>
      <c r="B83" s="212" t="str">
        <f ca="1">IF(ROWS($1:72)&gt;COUNT(Dong2),"",OFFSET(TH!D$1,SMALL(Dong2,ROWS($1:72)),))</f>
        <v>GBN</v>
      </c>
      <c r="C83" s="212">
        <f ca="1">IF(ROWS($1:72)&gt;COUNT(Dong2),"",OFFSET(TH!E$1,SMALL(Dong2,ROWS($1:72)),))</f>
        <v>42543</v>
      </c>
      <c r="D83" s="450" t="str">
        <f ca="1">IF(ROWS($1:72)&gt;COUNT(Dong2),"",OFFSET(TH!F$1,SMALL(Dong2,ROWS($1:72)),))</f>
        <v>Lãi vay</v>
      </c>
      <c r="E83" s="212" t="str">
        <f ca="1">IF(ROWS($1:72)&gt;COUNT(Dong2),"",IF(OFFSET(TH!O$1,SMALL(Dong2,ROWS($1:72)),)=$I$6,OFFSET(TH!N$1,SMALL(Dong2,ROWS($1:72)),),OFFSET(TH!O$1,SMALL(Dong2,ROWS($1:72)),)))</f>
        <v>635</v>
      </c>
      <c r="F83" s="213">
        <f ca="1">IF(ROWS($1:72)&gt;COUNT(Dong2),"",IF(OFFSET(TH!N$1,SMALL(Dong2,ROWS($1:72)),)=$I$6,IF($I$6="1121",OFFSET(TH!M$1,SMALL(Dong2,ROWS($1:72)),),OFFSET(TH!K$1,SMALL(Dong2,ROWS($1:72)),)),0))</f>
        <v>0</v>
      </c>
      <c r="G83" s="213">
        <f ca="1">IF(ROWS($1:72)&gt;COUNT(Dong2),"",IF(OFFSET(TH!O$1,SMALL(Dong2,ROWS($1:72)),)=$I$6,IF($I$6="1121",OFFSET(TH!M$1,SMALL(Dong2,ROWS($1:72)),),OFFSET(TH!K$1,SMALL(Dong2,ROWS($1:72)),)),0))</f>
        <v>12280547</v>
      </c>
      <c r="H83" s="214">
        <f t="shared" ca="1" si="2"/>
        <v>1977326945</v>
      </c>
      <c r="I83" s="214"/>
    </row>
    <row r="84" spans="1:9" s="200" customFormat="1" ht="20.25" customHeight="1">
      <c r="A84" s="212">
        <f ca="1">IF(ROWS($1:73)&gt;COUNT(Dong2),"",OFFSET(TH!C$1,SMALL(Dong2,ROWS($1:73)),))</f>
        <v>42543</v>
      </c>
      <c r="B84" s="212" t="str">
        <f ca="1">IF(ROWS($1:73)&gt;COUNT(Dong2),"",OFFSET(TH!D$1,SMALL(Dong2,ROWS($1:73)),))</f>
        <v>GBN</v>
      </c>
      <c r="C84" s="212">
        <f ca="1">IF(ROWS($1:73)&gt;COUNT(Dong2),"",OFFSET(TH!E$1,SMALL(Dong2,ROWS($1:73)),))</f>
        <v>42543</v>
      </c>
      <c r="D84" s="450" t="str">
        <f ca="1">IF(ROWS($1:73)&gt;COUNT(Dong2),"",OFFSET(TH!F$1,SMALL(Dong2,ROWS($1:73)),))</f>
        <v>Hoàn vốn AL - Q4</v>
      </c>
      <c r="E84" s="212" t="str">
        <f ca="1">IF(ROWS($1:73)&gt;COUNT(Dong2),"",IF(OFFSET(TH!O$1,SMALL(Dong2,ROWS($1:73)),)=$I$6,OFFSET(TH!N$1,SMALL(Dong2,ROWS($1:73)),),OFFSET(TH!O$1,SMALL(Dong2,ROWS($1:73)),)))</f>
        <v>1388</v>
      </c>
      <c r="F84" s="213">
        <f ca="1">IF(ROWS($1:73)&gt;COUNT(Dong2),"",IF(OFFSET(TH!N$1,SMALL(Dong2,ROWS($1:73)),)=$I$6,IF($I$6="1121",OFFSET(TH!M$1,SMALL(Dong2,ROWS($1:73)),),OFFSET(TH!K$1,SMALL(Dong2,ROWS($1:73)),)),0))</f>
        <v>0</v>
      </c>
      <c r="G84" s="213">
        <f ca="1">IF(ROWS($1:73)&gt;COUNT(Dong2),"",IF(OFFSET(TH!O$1,SMALL(Dong2,ROWS($1:73)),)=$I$6,IF($I$6="1121",OFFSET(TH!M$1,SMALL(Dong2,ROWS($1:73)),),OFFSET(TH!K$1,SMALL(Dong2,ROWS($1:73)),)),0))</f>
        <v>8000000</v>
      </c>
      <c r="H84" s="214">
        <f t="shared" ca="1" si="2"/>
        <v>1969326945</v>
      </c>
      <c r="I84" s="214"/>
    </row>
    <row r="85" spans="1:9" s="200" customFormat="1" ht="20.25" customHeight="1">
      <c r="A85" s="212">
        <f ca="1">IF(ROWS($1:74)&gt;COUNT(Dong2),"",OFFSET(TH!C$1,SMALL(Dong2,ROWS($1:74)),))</f>
        <v>42543</v>
      </c>
      <c r="B85" s="212" t="str">
        <f ca="1">IF(ROWS($1:74)&gt;COUNT(Dong2),"",OFFSET(TH!D$1,SMALL(Dong2,ROWS($1:74)),))</f>
        <v>GBN</v>
      </c>
      <c r="C85" s="212">
        <f ca="1">IF(ROWS($1:74)&gt;COUNT(Dong2),"",OFFSET(TH!E$1,SMALL(Dong2,ROWS($1:74)),))</f>
        <v>42543</v>
      </c>
      <c r="D85" s="450" t="str">
        <f ca="1">IF(ROWS($1:74)&gt;COUNT(Dong2),"",OFFSET(TH!F$1,SMALL(Dong2,ROWS($1:74)),))</f>
        <v>Hoàn vốn AL - Q11</v>
      </c>
      <c r="E85" s="212" t="str">
        <f ca="1">IF(ROWS($1:74)&gt;COUNT(Dong2),"",IF(OFFSET(TH!O$1,SMALL(Dong2,ROWS($1:74)),)=$I$6,OFFSET(TH!N$1,SMALL(Dong2,ROWS($1:74)),),OFFSET(TH!O$1,SMALL(Dong2,ROWS($1:74)),)))</f>
        <v>1388</v>
      </c>
      <c r="F85" s="213">
        <f ca="1">IF(ROWS($1:74)&gt;COUNT(Dong2),"",IF(OFFSET(TH!N$1,SMALL(Dong2,ROWS($1:74)),)=$I$6,IF($I$6="1121",OFFSET(TH!M$1,SMALL(Dong2,ROWS($1:74)),),OFFSET(TH!K$1,SMALL(Dong2,ROWS($1:74)),)),0))</f>
        <v>0</v>
      </c>
      <c r="G85" s="213">
        <f ca="1">IF(ROWS($1:74)&gt;COUNT(Dong2),"",IF(OFFSET(TH!O$1,SMALL(Dong2,ROWS($1:74)),)=$I$6,IF($I$6="1121",OFFSET(TH!M$1,SMALL(Dong2,ROWS($1:74)),),OFFSET(TH!K$1,SMALL(Dong2,ROWS($1:74)),)),0))</f>
        <v>7000000</v>
      </c>
      <c r="H85" s="214">
        <f t="shared" ca="1" si="2"/>
        <v>1962326945</v>
      </c>
      <c r="I85" s="214"/>
    </row>
    <row r="86" spans="1:9" s="200" customFormat="1" ht="20.25" customHeight="1">
      <c r="A86" s="212">
        <f ca="1">IF(ROWS($1:75)&gt;COUNT(Dong2),"",OFFSET(TH!C$1,SMALL(Dong2,ROWS($1:75)),))</f>
        <v>42543</v>
      </c>
      <c r="B86" s="212" t="str">
        <f ca="1">IF(ROWS($1:75)&gt;COUNT(Dong2),"",OFFSET(TH!D$1,SMALL(Dong2,ROWS($1:75)),))</f>
        <v>GBN</v>
      </c>
      <c r="C86" s="212">
        <f ca="1">IF(ROWS($1:75)&gt;COUNT(Dong2),"",OFFSET(TH!E$1,SMALL(Dong2,ROWS($1:75)),))</f>
        <v>42543</v>
      </c>
      <c r="D86" s="450" t="str">
        <f ca="1">IF(ROWS($1:75)&gt;COUNT(Dong2),"",OFFSET(TH!F$1,SMALL(Dong2,ROWS($1:75)),))</f>
        <v>Phí kiểm đếm</v>
      </c>
      <c r="E86" s="212" t="str">
        <f ca="1">IF(ROWS($1:75)&gt;COUNT(Dong2),"",IF(OFFSET(TH!O$1,SMALL(Dong2,ROWS($1:75)),)=$I$6,OFFSET(TH!N$1,SMALL(Dong2,ROWS($1:75)),),OFFSET(TH!O$1,SMALL(Dong2,ROWS($1:75)),)))</f>
        <v>642</v>
      </c>
      <c r="F86" s="213">
        <f ca="1">IF(ROWS($1:75)&gt;COUNT(Dong2),"",IF(OFFSET(TH!N$1,SMALL(Dong2,ROWS($1:75)),)=$I$6,IF($I$6="1121",OFFSET(TH!M$1,SMALL(Dong2,ROWS($1:75)),),OFFSET(TH!K$1,SMALL(Dong2,ROWS($1:75)),)),0))</f>
        <v>0</v>
      </c>
      <c r="G86" s="213">
        <f ca="1">IF(ROWS($1:75)&gt;COUNT(Dong2),"",IF(OFFSET(TH!O$1,SMALL(Dong2,ROWS($1:75)),)=$I$6,IF($I$6="1121",OFFSET(TH!M$1,SMALL(Dong2,ROWS($1:75)),),OFFSET(TH!K$1,SMALL(Dong2,ROWS($1:75)),)),0))</f>
        <v>20000</v>
      </c>
      <c r="H86" s="214">
        <f t="shared" ca="1" si="2"/>
        <v>1962306945</v>
      </c>
      <c r="I86" s="214"/>
    </row>
    <row r="87" spans="1:9" s="200" customFormat="1" ht="20.25" customHeight="1">
      <c r="A87" s="212">
        <f ca="1">IF(ROWS($1:76)&gt;COUNT(Dong2),"",OFFSET(TH!C$1,SMALL(Dong2,ROWS($1:76)),))</f>
        <v>42543</v>
      </c>
      <c r="B87" s="212" t="str">
        <f ca="1">IF(ROWS($1:76)&gt;COUNT(Dong2),"",OFFSET(TH!D$1,SMALL(Dong2,ROWS($1:76)),))</f>
        <v>GBN</v>
      </c>
      <c r="C87" s="212">
        <f ca="1">IF(ROWS($1:76)&gt;COUNT(Dong2),"",OFFSET(TH!E$1,SMALL(Dong2,ROWS($1:76)),))</f>
        <v>42543</v>
      </c>
      <c r="D87" s="450" t="str">
        <f ca="1">IF(ROWS($1:76)&gt;COUNT(Dong2),"",OFFSET(TH!F$1,SMALL(Dong2,ROWS($1:76)),))</f>
        <v>VAT Phí kiểm đếm</v>
      </c>
      <c r="E87" s="212" t="str">
        <f ca="1">IF(ROWS($1:76)&gt;COUNT(Dong2),"",IF(OFFSET(TH!O$1,SMALL(Dong2,ROWS($1:76)),)=$I$6,OFFSET(TH!N$1,SMALL(Dong2,ROWS($1:76)),),OFFSET(TH!O$1,SMALL(Dong2,ROWS($1:76)),)))</f>
        <v>1331</v>
      </c>
      <c r="F87" s="213">
        <f ca="1">IF(ROWS($1:76)&gt;COUNT(Dong2),"",IF(OFFSET(TH!N$1,SMALL(Dong2,ROWS($1:76)),)=$I$6,IF($I$6="1121",OFFSET(TH!M$1,SMALL(Dong2,ROWS($1:76)),),OFFSET(TH!K$1,SMALL(Dong2,ROWS($1:76)),)),0))</f>
        <v>0</v>
      </c>
      <c r="G87" s="213">
        <f ca="1">IF(ROWS($1:76)&gt;COUNT(Dong2),"",IF(OFFSET(TH!O$1,SMALL(Dong2,ROWS($1:76)),)=$I$6,IF($I$6="1121",OFFSET(TH!M$1,SMALL(Dong2,ROWS($1:76)),),OFFSET(TH!K$1,SMALL(Dong2,ROWS($1:76)),)),0))</f>
        <v>2000</v>
      </c>
      <c r="H87" s="214">
        <f t="shared" ca="1" si="2"/>
        <v>1962304945</v>
      </c>
      <c r="I87" s="214"/>
    </row>
    <row r="88" spans="1:9" s="200" customFormat="1" ht="20.25" customHeight="1">
      <c r="A88" s="212">
        <f ca="1">IF(ROWS($1:77)&gt;COUNT(Dong2),"",OFFSET(TH!C$1,SMALL(Dong2,ROWS($1:77)),))</f>
        <v>42544</v>
      </c>
      <c r="B88" s="212" t="str">
        <f ca="1">IF(ROWS($1:77)&gt;COUNT(Dong2),"",OFFSET(TH!D$1,SMALL(Dong2,ROWS($1:77)),))</f>
        <v>T02</v>
      </c>
      <c r="C88" s="212">
        <f ca="1">IF(ROWS($1:77)&gt;COUNT(Dong2),"",OFFSET(TH!E$1,SMALL(Dong2,ROWS($1:77)),))</f>
        <v>42544</v>
      </c>
      <c r="D88" s="450" t="str">
        <f ca="1">IF(ROWS($1:77)&gt;COUNT(Dong2),"",OFFSET(TH!F$1,SMALL(Dong2,ROWS($1:77)),))</f>
        <v>Q4 - Rút tiền mặt</v>
      </c>
      <c r="E88" s="212" t="str">
        <f ca="1">IF(ROWS($1:77)&gt;COUNT(Dong2),"",IF(OFFSET(TH!O$1,SMALL(Dong2,ROWS($1:77)),)=$I$6,OFFSET(TH!N$1,SMALL(Dong2,ROWS($1:77)),),OFFSET(TH!O$1,SMALL(Dong2,ROWS($1:77)),)))</f>
        <v>1111</v>
      </c>
      <c r="F88" s="213">
        <f ca="1">IF(ROWS($1:77)&gt;COUNT(Dong2),"",IF(OFFSET(TH!N$1,SMALL(Dong2,ROWS($1:77)),)=$I$6,IF($I$6="1121",OFFSET(TH!M$1,SMALL(Dong2,ROWS($1:77)),),OFFSET(TH!K$1,SMALL(Dong2,ROWS($1:77)),)),0))</f>
        <v>0</v>
      </c>
      <c r="G88" s="213">
        <f ca="1">IF(ROWS($1:77)&gt;COUNT(Dong2),"",IF(OFFSET(TH!O$1,SMALL(Dong2,ROWS($1:77)),)=$I$6,IF($I$6="1121",OFFSET(TH!M$1,SMALL(Dong2,ROWS($1:77)),),OFFSET(TH!K$1,SMALL(Dong2,ROWS($1:77)),)),0))</f>
        <v>1960000000</v>
      </c>
      <c r="H88" s="214">
        <f t="shared" ca="1" si="2"/>
        <v>2304945</v>
      </c>
      <c r="I88" s="214"/>
    </row>
    <row r="89" spans="1:9" s="200" customFormat="1" ht="20.25" customHeight="1">
      <c r="A89" s="212" t="str">
        <f ca="1">IF(ROWS($1:78)&gt;COUNT(Dong2),"",OFFSET(TH!C$1,SMALL(Dong2,ROWS($1:78)),))</f>
        <v/>
      </c>
      <c r="B89" s="212" t="str">
        <f ca="1">IF(ROWS($1:78)&gt;COUNT(Dong2),"",OFFSET(TH!D$1,SMALL(Dong2,ROWS($1:78)),))</f>
        <v/>
      </c>
      <c r="C89" s="212" t="str">
        <f ca="1">IF(ROWS($1:78)&gt;COUNT(Dong2),"",OFFSET(TH!E$1,SMALL(Dong2,ROWS($1:78)),))</f>
        <v/>
      </c>
      <c r="D89" s="450" t="str">
        <f ca="1">IF(ROWS($1:78)&gt;COUNT(Dong2),"",OFFSET(TH!F$1,SMALL(Dong2,ROWS($1:78)),))</f>
        <v/>
      </c>
      <c r="E89" s="212" t="str">
        <f ca="1">IF(ROWS($1:78)&gt;COUNT(Dong2),"",IF(OFFSET(TH!O$1,SMALL(Dong2,ROWS($1:78)),)=$I$6,OFFSET(TH!N$1,SMALL(Dong2,ROWS($1:78)),),OFFSET(TH!O$1,SMALL(Dong2,ROWS($1:78)),)))</f>
        <v/>
      </c>
      <c r="F89" s="213" t="str">
        <f ca="1">IF(ROWS($1:78)&gt;COUNT(Dong2),"",IF(OFFSET(TH!N$1,SMALL(Dong2,ROWS($1:78)),)=$I$6,IF($I$6="1121",OFFSET(TH!M$1,SMALL(Dong2,ROWS($1:78)),),OFFSET(TH!K$1,SMALL(Dong2,ROWS($1:78)),)),0))</f>
        <v/>
      </c>
      <c r="G89" s="213" t="str">
        <f ca="1">IF(ROWS($1:78)&gt;COUNT(Dong2),"",IF(OFFSET(TH!O$1,SMALL(Dong2,ROWS($1:78)),)=$I$6,IF($I$6="1121",OFFSET(TH!M$1,SMALL(Dong2,ROWS($1:78)),),OFFSET(TH!K$1,SMALL(Dong2,ROWS($1:78)),)),0))</f>
        <v/>
      </c>
      <c r="H89" s="214">
        <f t="shared" ca="1" si="2"/>
        <v>0</v>
      </c>
      <c r="I89" s="214"/>
    </row>
    <row r="90" spans="1:9" s="200" customFormat="1" ht="20.25" customHeight="1">
      <c r="A90" s="212" t="str">
        <f ca="1">IF(ROWS($1:79)&gt;COUNT(Dong2),"",OFFSET(TH!C$1,SMALL(Dong2,ROWS($1:79)),))</f>
        <v/>
      </c>
      <c r="B90" s="212" t="str">
        <f ca="1">IF(ROWS($1:79)&gt;COUNT(Dong2),"",OFFSET(TH!D$1,SMALL(Dong2,ROWS($1:79)),))</f>
        <v/>
      </c>
      <c r="C90" s="212" t="str">
        <f ca="1">IF(ROWS($1:79)&gt;COUNT(Dong2),"",OFFSET(TH!E$1,SMALL(Dong2,ROWS($1:79)),))</f>
        <v/>
      </c>
      <c r="D90" s="450" t="str">
        <f ca="1">IF(ROWS($1:79)&gt;COUNT(Dong2),"",OFFSET(TH!F$1,SMALL(Dong2,ROWS($1:79)),))</f>
        <v/>
      </c>
      <c r="E90" s="212" t="str">
        <f ca="1">IF(ROWS($1:79)&gt;COUNT(Dong2),"",IF(OFFSET(TH!O$1,SMALL(Dong2,ROWS($1:79)),)=$I$6,OFFSET(TH!N$1,SMALL(Dong2,ROWS($1:79)),),OFFSET(TH!O$1,SMALL(Dong2,ROWS($1:79)),)))</f>
        <v/>
      </c>
      <c r="F90" s="213" t="str">
        <f ca="1">IF(ROWS($1:79)&gt;COUNT(Dong2),"",IF(OFFSET(TH!N$1,SMALL(Dong2,ROWS($1:79)),)=$I$6,IF($I$6="1121",OFFSET(TH!M$1,SMALL(Dong2,ROWS($1:79)),),OFFSET(TH!K$1,SMALL(Dong2,ROWS($1:79)),)),0))</f>
        <v/>
      </c>
      <c r="G90" s="213" t="str">
        <f ca="1">IF(ROWS($1:79)&gt;COUNT(Dong2),"",IF(OFFSET(TH!O$1,SMALL(Dong2,ROWS($1:79)),)=$I$6,IF($I$6="1121",OFFSET(TH!M$1,SMALL(Dong2,ROWS($1:79)),),OFFSET(TH!K$1,SMALL(Dong2,ROWS($1:79)),)),0))</f>
        <v/>
      </c>
      <c r="H90" s="214">
        <f t="shared" ca="1" si="2"/>
        <v>0</v>
      </c>
      <c r="I90" s="214"/>
    </row>
    <row r="91" spans="1:9" s="200" customFormat="1" ht="20.25" customHeight="1">
      <c r="A91" s="212" t="str">
        <f ca="1">IF(ROWS($1:80)&gt;COUNT(Dong2),"",OFFSET(TH!C$1,SMALL(Dong2,ROWS($1:80)),))</f>
        <v/>
      </c>
      <c r="B91" s="212" t="str">
        <f ca="1">IF(ROWS($1:80)&gt;COUNT(Dong2),"",OFFSET(TH!D$1,SMALL(Dong2,ROWS($1:80)),))</f>
        <v/>
      </c>
      <c r="C91" s="212" t="str">
        <f ca="1">IF(ROWS($1:80)&gt;COUNT(Dong2),"",OFFSET(TH!E$1,SMALL(Dong2,ROWS($1:80)),))</f>
        <v/>
      </c>
      <c r="D91" s="450" t="str">
        <f ca="1">IF(ROWS($1:80)&gt;COUNT(Dong2),"",OFFSET(TH!F$1,SMALL(Dong2,ROWS($1:80)),))</f>
        <v/>
      </c>
      <c r="E91" s="212" t="str">
        <f ca="1">IF(ROWS($1:80)&gt;COUNT(Dong2),"",IF(OFFSET(TH!O$1,SMALL(Dong2,ROWS($1:80)),)=$I$6,OFFSET(TH!N$1,SMALL(Dong2,ROWS($1:80)),),OFFSET(TH!O$1,SMALL(Dong2,ROWS($1:80)),)))</f>
        <v/>
      </c>
      <c r="F91" s="213" t="str">
        <f ca="1">IF(ROWS($1:80)&gt;COUNT(Dong2),"",IF(OFFSET(TH!N$1,SMALL(Dong2,ROWS($1:80)),)=$I$6,IF($I$6="1121",OFFSET(TH!M$1,SMALL(Dong2,ROWS($1:80)),),OFFSET(TH!K$1,SMALL(Dong2,ROWS($1:80)),)),0))</f>
        <v/>
      </c>
      <c r="G91" s="213" t="str">
        <f ca="1">IF(ROWS($1:80)&gt;COUNT(Dong2),"",IF(OFFSET(TH!O$1,SMALL(Dong2,ROWS($1:80)),)=$I$6,IF($I$6="1121",OFFSET(TH!M$1,SMALL(Dong2,ROWS($1:80)),),OFFSET(TH!K$1,SMALL(Dong2,ROWS($1:80)),)),0))</f>
        <v/>
      </c>
      <c r="H91" s="214">
        <f t="shared" ca="1" si="2"/>
        <v>0</v>
      </c>
      <c r="I91" s="214"/>
    </row>
    <row r="92" spans="1:9" s="200" customFormat="1" ht="20.25" customHeight="1">
      <c r="A92" s="212" t="str">
        <f ca="1">IF(ROWS($1:81)&gt;COUNT(Dong2),"",OFFSET(TH!C$1,SMALL(Dong2,ROWS($1:81)),))</f>
        <v/>
      </c>
      <c r="B92" s="212" t="str">
        <f ca="1">IF(ROWS($1:81)&gt;COUNT(Dong2),"",OFFSET(TH!D$1,SMALL(Dong2,ROWS($1:81)),))</f>
        <v/>
      </c>
      <c r="C92" s="212" t="str">
        <f ca="1">IF(ROWS($1:81)&gt;COUNT(Dong2),"",OFFSET(TH!E$1,SMALL(Dong2,ROWS($1:81)),))</f>
        <v/>
      </c>
      <c r="D92" s="450" t="str">
        <f ca="1">IF(ROWS($1:81)&gt;COUNT(Dong2),"",OFFSET(TH!F$1,SMALL(Dong2,ROWS($1:81)),))</f>
        <v/>
      </c>
      <c r="E92" s="212" t="str">
        <f ca="1">IF(ROWS($1:81)&gt;COUNT(Dong2),"",IF(OFFSET(TH!O$1,SMALL(Dong2,ROWS($1:81)),)=$I$6,OFFSET(TH!N$1,SMALL(Dong2,ROWS($1:81)),),OFFSET(TH!O$1,SMALL(Dong2,ROWS($1:81)),)))</f>
        <v/>
      </c>
      <c r="F92" s="213" t="str">
        <f ca="1">IF(ROWS($1:81)&gt;COUNT(Dong2),"",IF(OFFSET(TH!N$1,SMALL(Dong2,ROWS($1:81)),)=$I$6,IF($I$6="1121",OFFSET(TH!M$1,SMALL(Dong2,ROWS($1:81)),),OFFSET(TH!K$1,SMALL(Dong2,ROWS($1:81)),)),0))</f>
        <v/>
      </c>
      <c r="G92" s="213" t="str">
        <f ca="1">IF(ROWS($1:81)&gt;COUNT(Dong2),"",IF(OFFSET(TH!O$1,SMALL(Dong2,ROWS($1:81)),)=$I$6,IF($I$6="1121",OFFSET(TH!M$1,SMALL(Dong2,ROWS($1:81)),),OFFSET(TH!K$1,SMALL(Dong2,ROWS($1:81)),)),0))</f>
        <v/>
      </c>
      <c r="H92" s="214">
        <f t="shared" ca="1" si="2"/>
        <v>0</v>
      </c>
      <c r="I92" s="214"/>
    </row>
    <row r="93" spans="1:9" s="200" customFormat="1" ht="20.25" customHeight="1">
      <c r="A93" s="212" t="str">
        <f ca="1">IF(ROWS($1:82)&gt;COUNT(Dong2),"",OFFSET(TH!C$1,SMALL(Dong2,ROWS($1:82)),))</f>
        <v/>
      </c>
      <c r="B93" s="212" t="str">
        <f ca="1">IF(ROWS($1:82)&gt;COUNT(Dong2),"",OFFSET(TH!D$1,SMALL(Dong2,ROWS($1:82)),))</f>
        <v/>
      </c>
      <c r="C93" s="212" t="str">
        <f ca="1">IF(ROWS($1:82)&gt;COUNT(Dong2),"",OFFSET(TH!E$1,SMALL(Dong2,ROWS($1:82)),))</f>
        <v/>
      </c>
      <c r="D93" s="450" t="str">
        <f ca="1">IF(ROWS($1:82)&gt;COUNT(Dong2),"",OFFSET(TH!F$1,SMALL(Dong2,ROWS($1:82)),))</f>
        <v/>
      </c>
      <c r="E93" s="212" t="str">
        <f ca="1">IF(ROWS($1:82)&gt;COUNT(Dong2),"",IF(OFFSET(TH!O$1,SMALL(Dong2,ROWS($1:82)),)=$I$6,OFFSET(TH!N$1,SMALL(Dong2,ROWS($1:82)),),OFFSET(TH!O$1,SMALL(Dong2,ROWS($1:82)),)))</f>
        <v/>
      </c>
      <c r="F93" s="213" t="str">
        <f ca="1">IF(ROWS($1:82)&gt;COUNT(Dong2),"",IF(OFFSET(TH!N$1,SMALL(Dong2,ROWS($1:82)),)=$I$6,IF($I$6="1121",OFFSET(TH!M$1,SMALL(Dong2,ROWS($1:82)),),OFFSET(TH!K$1,SMALL(Dong2,ROWS($1:82)),)),0))</f>
        <v/>
      </c>
      <c r="G93" s="213" t="str">
        <f ca="1">IF(ROWS($1:82)&gt;COUNT(Dong2),"",IF(OFFSET(TH!O$1,SMALL(Dong2,ROWS($1:82)),)=$I$6,IF($I$6="1121",OFFSET(TH!M$1,SMALL(Dong2,ROWS($1:82)),),OFFSET(TH!K$1,SMALL(Dong2,ROWS($1:82)),)),0))</f>
        <v/>
      </c>
      <c r="H93" s="214">
        <f t="shared" ca="1" si="2"/>
        <v>0</v>
      </c>
      <c r="I93" s="214"/>
    </row>
    <row r="94" spans="1:9" s="200" customFormat="1" ht="20.25" customHeight="1">
      <c r="A94" s="212" t="str">
        <f ca="1">IF(ROWS($1:83)&gt;COUNT(Dong2),"",OFFSET(TH!C$1,SMALL(Dong2,ROWS($1:83)),))</f>
        <v/>
      </c>
      <c r="B94" s="212" t="str">
        <f ca="1">IF(ROWS($1:83)&gt;COUNT(Dong2),"",OFFSET(TH!D$1,SMALL(Dong2,ROWS($1:83)),))</f>
        <v/>
      </c>
      <c r="C94" s="212" t="str">
        <f ca="1">IF(ROWS($1:83)&gt;COUNT(Dong2),"",OFFSET(TH!E$1,SMALL(Dong2,ROWS($1:83)),))</f>
        <v/>
      </c>
      <c r="D94" s="450" t="str">
        <f ca="1">IF(ROWS($1:83)&gt;COUNT(Dong2),"",OFFSET(TH!F$1,SMALL(Dong2,ROWS($1:83)),))</f>
        <v/>
      </c>
      <c r="E94" s="212" t="str">
        <f ca="1">IF(ROWS($1:83)&gt;COUNT(Dong2),"",IF(OFFSET(TH!O$1,SMALL(Dong2,ROWS($1:83)),)=$I$6,OFFSET(TH!N$1,SMALL(Dong2,ROWS($1:83)),),OFFSET(TH!O$1,SMALL(Dong2,ROWS($1:83)),)))</f>
        <v/>
      </c>
      <c r="F94" s="213" t="str">
        <f ca="1">IF(ROWS($1:83)&gt;COUNT(Dong2),"",IF(OFFSET(TH!N$1,SMALL(Dong2,ROWS($1:83)),)=$I$6,IF($I$6="1121",OFFSET(TH!M$1,SMALL(Dong2,ROWS($1:83)),),OFFSET(TH!K$1,SMALL(Dong2,ROWS($1:83)),)),0))</f>
        <v/>
      </c>
      <c r="G94" s="213" t="str">
        <f ca="1">IF(ROWS($1:83)&gt;COUNT(Dong2),"",IF(OFFSET(TH!O$1,SMALL(Dong2,ROWS($1:83)),)=$I$6,IF($I$6="1121",OFFSET(TH!M$1,SMALL(Dong2,ROWS($1:83)),),OFFSET(TH!K$1,SMALL(Dong2,ROWS($1:83)),)),0))</f>
        <v/>
      </c>
      <c r="H94" s="214">
        <f t="shared" ca="1" si="2"/>
        <v>0</v>
      </c>
      <c r="I94" s="214"/>
    </row>
    <row r="95" spans="1:9" s="200" customFormat="1" ht="20.25" customHeight="1">
      <c r="A95" s="212" t="str">
        <f ca="1">IF(ROWS($1:84)&gt;COUNT(Dong2),"",OFFSET(TH!C$1,SMALL(Dong2,ROWS($1:84)),))</f>
        <v/>
      </c>
      <c r="B95" s="212" t="str">
        <f ca="1">IF(ROWS($1:84)&gt;COUNT(Dong2),"",OFFSET(TH!D$1,SMALL(Dong2,ROWS($1:84)),))</f>
        <v/>
      </c>
      <c r="C95" s="212" t="str">
        <f ca="1">IF(ROWS($1:84)&gt;COUNT(Dong2),"",OFFSET(TH!E$1,SMALL(Dong2,ROWS($1:84)),))</f>
        <v/>
      </c>
      <c r="D95" s="450" t="str">
        <f ca="1">IF(ROWS($1:84)&gt;COUNT(Dong2),"",OFFSET(TH!F$1,SMALL(Dong2,ROWS($1:84)),))</f>
        <v/>
      </c>
      <c r="E95" s="212" t="str">
        <f ca="1">IF(ROWS($1:84)&gt;COUNT(Dong2),"",IF(OFFSET(TH!O$1,SMALL(Dong2,ROWS($1:84)),)=$I$6,OFFSET(TH!N$1,SMALL(Dong2,ROWS($1:84)),),OFFSET(TH!O$1,SMALL(Dong2,ROWS($1:84)),)))</f>
        <v/>
      </c>
      <c r="F95" s="213" t="str">
        <f ca="1">IF(ROWS($1:84)&gt;COUNT(Dong2),"",IF(OFFSET(TH!N$1,SMALL(Dong2,ROWS($1:84)),)=$I$6,IF($I$6="1121",OFFSET(TH!M$1,SMALL(Dong2,ROWS($1:84)),),OFFSET(TH!K$1,SMALL(Dong2,ROWS($1:84)),)),0))</f>
        <v/>
      </c>
      <c r="G95" s="213" t="str">
        <f ca="1">IF(ROWS($1:84)&gt;COUNT(Dong2),"",IF(OFFSET(TH!O$1,SMALL(Dong2,ROWS($1:84)),)=$I$6,IF($I$6="1121",OFFSET(TH!M$1,SMALL(Dong2,ROWS($1:84)),),OFFSET(TH!K$1,SMALL(Dong2,ROWS($1:84)),)),0))</f>
        <v/>
      </c>
      <c r="H95" s="214">
        <f t="shared" ca="1" si="2"/>
        <v>0</v>
      </c>
      <c r="I95" s="214"/>
    </row>
    <row r="96" spans="1:9" s="200" customFormat="1" ht="20.25" customHeight="1">
      <c r="A96" s="212" t="str">
        <f ca="1">IF(ROWS($1:85)&gt;COUNT(Dong2),"",OFFSET(TH!C$1,SMALL(Dong2,ROWS($1:85)),))</f>
        <v/>
      </c>
      <c r="B96" s="212" t="str">
        <f ca="1">IF(ROWS($1:85)&gt;COUNT(Dong2),"",OFFSET(TH!D$1,SMALL(Dong2,ROWS($1:85)),))</f>
        <v/>
      </c>
      <c r="C96" s="212" t="str">
        <f ca="1">IF(ROWS($1:85)&gt;COUNT(Dong2),"",OFFSET(TH!E$1,SMALL(Dong2,ROWS($1:85)),))</f>
        <v/>
      </c>
      <c r="D96" s="450" t="str">
        <f ca="1">IF(ROWS($1:85)&gt;COUNT(Dong2),"",OFFSET(TH!F$1,SMALL(Dong2,ROWS($1:85)),))</f>
        <v/>
      </c>
      <c r="E96" s="212" t="str">
        <f ca="1">IF(ROWS($1:85)&gt;COUNT(Dong2),"",IF(OFFSET(TH!O$1,SMALL(Dong2,ROWS($1:85)),)=$I$6,OFFSET(TH!N$1,SMALL(Dong2,ROWS($1:85)),),OFFSET(TH!O$1,SMALL(Dong2,ROWS($1:85)),)))</f>
        <v/>
      </c>
      <c r="F96" s="213" t="str">
        <f ca="1">IF(ROWS($1:85)&gt;COUNT(Dong2),"",IF(OFFSET(TH!N$1,SMALL(Dong2,ROWS($1:85)),)=$I$6,IF($I$6="1121",OFFSET(TH!M$1,SMALL(Dong2,ROWS($1:85)),),OFFSET(TH!K$1,SMALL(Dong2,ROWS($1:85)),)),0))</f>
        <v/>
      </c>
      <c r="G96" s="213" t="str">
        <f ca="1">IF(ROWS($1:85)&gt;COUNT(Dong2),"",IF(OFFSET(TH!O$1,SMALL(Dong2,ROWS($1:85)),)=$I$6,IF($I$6="1121",OFFSET(TH!M$1,SMALL(Dong2,ROWS($1:85)),),OFFSET(TH!K$1,SMALL(Dong2,ROWS($1:85)),)),0))</f>
        <v/>
      </c>
      <c r="H96" s="214">
        <f t="shared" ca="1" si="2"/>
        <v>0</v>
      </c>
      <c r="I96" s="214"/>
    </row>
    <row r="97" spans="1:9" s="200" customFormat="1" ht="20.25" customHeight="1">
      <c r="A97" s="212" t="str">
        <f ca="1">IF(ROWS($1:86)&gt;COUNT(Dong2),"",OFFSET(TH!C$1,SMALL(Dong2,ROWS($1:86)),))</f>
        <v/>
      </c>
      <c r="B97" s="212" t="str">
        <f ca="1">IF(ROWS($1:86)&gt;COUNT(Dong2),"",OFFSET(TH!D$1,SMALL(Dong2,ROWS($1:86)),))</f>
        <v/>
      </c>
      <c r="C97" s="212" t="str">
        <f ca="1">IF(ROWS($1:86)&gt;COUNT(Dong2),"",OFFSET(TH!E$1,SMALL(Dong2,ROWS($1:86)),))</f>
        <v/>
      </c>
      <c r="D97" s="450" t="str">
        <f ca="1">IF(ROWS($1:86)&gt;COUNT(Dong2),"",OFFSET(TH!F$1,SMALL(Dong2,ROWS($1:86)),))</f>
        <v/>
      </c>
      <c r="E97" s="212" t="str">
        <f ca="1">IF(ROWS($1:86)&gt;COUNT(Dong2),"",IF(OFFSET(TH!O$1,SMALL(Dong2,ROWS($1:86)),)=$I$6,OFFSET(TH!N$1,SMALL(Dong2,ROWS($1:86)),),OFFSET(TH!O$1,SMALL(Dong2,ROWS($1:86)),)))</f>
        <v/>
      </c>
      <c r="F97" s="213" t="str">
        <f ca="1">IF(ROWS($1:86)&gt;COUNT(Dong2),"",IF(OFFSET(TH!N$1,SMALL(Dong2,ROWS($1:86)),)=$I$6,IF($I$6="1121",OFFSET(TH!M$1,SMALL(Dong2,ROWS($1:86)),),OFFSET(TH!K$1,SMALL(Dong2,ROWS($1:86)),)),0))</f>
        <v/>
      </c>
      <c r="G97" s="213" t="str">
        <f ca="1">IF(ROWS($1:86)&gt;COUNT(Dong2),"",IF(OFFSET(TH!O$1,SMALL(Dong2,ROWS($1:86)),)=$I$6,IF($I$6="1121",OFFSET(TH!M$1,SMALL(Dong2,ROWS($1:86)),),OFFSET(TH!K$1,SMALL(Dong2,ROWS($1:86)),)),0))</f>
        <v/>
      </c>
      <c r="H97" s="214">
        <f t="shared" ca="1" si="2"/>
        <v>0</v>
      </c>
      <c r="I97" s="214"/>
    </row>
    <row r="98" spans="1:9" s="200" customFormat="1" ht="20.25" customHeight="1">
      <c r="A98" s="212" t="str">
        <f ca="1">IF(ROWS($1:87)&gt;COUNT(Dong2),"",OFFSET(TH!C$1,SMALL(Dong2,ROWS($1:87)),))</f>
        <v/>
      </c>
      <c r="B98" s="212" t="str">
        <f ca="1">IF(ROWS($1:87)&gt;COUNT(Dong2),"",OFFSET(TH!D$1,SMALL(Dong2,ROWS($1:87)),))</f>
        <v/>
      </c>
      <c r="C98" s="212" t="str">
        <f ca="1">IF(ROWS($1:87)&gt;COUNT(Dong2),"",OFFSET(TH!E$1,SMALL(Dong2,ROWS($1:87)),))</f>
        <v/>
      </c>
      <c r="D98" s="450" t="str">
        <f ca="1">IF(ROWS($1:87)&gt;COUNT(Dong2),"",OFFSET(TH!F$1,SMALL(Dong2,ROWS($1:87)),))</f>
        <v/>
      </c>
      <c r="E98" s="212" t="str">
        <f ca="1">IF(ROWS($1:87)&gt;COUNT(Dong2),"",IF(OFFSET(TH!O$1,SMALL(Dong2,ROWS($1:87)),)=$I$6,OFFSET(TH!N$1,SMALL(Dong2,ROWS($1:87)),),OFFSET(TH!O$1,SMALL(Dong2,ROWS($1:87)),)))</f>
        <v/>
      </c>
      <c r="F98" s="213" t="str">
        <f ca="1">IF(ROWS($1:87)&gt;COUNT(Dong2),"",IF(OFFSET(TH!N$1,SMALL(Dong2,ROWS($1:87)),)=$I$6,IF($I$6="1121",OFFSET(TH!M$1,SMALL(Dong2,ROWS($1:87)),),OFFSET(TH!K$1,SMALL(Dong2,ROWS($1:87)),)),0))</f>
        <v/>
      </c>
      <c r="G98" s="213" t="str">
        <f ca="1">IF(ROWS($1:87)&gt;COUNT(Dong2),"",IF(OFFSET(TH!O$1,SMALL(Dong2,ROWS($1:87)),)=$I$6,IF($I$6="1121",OFFSET(TH!M$1,SMALL(Dong2,ROWS($1:87)),),OFFSET(TH!K$1,SMALL(Dong2,ROWS($1:87)),)),0))</f>
        <v/>
      </c>
      <c r="H98" s="214">
        <f t="shared" ca="1" si="2"/>
        <v>0</v>
      </c>
      <c r="I98" s="214"/>
    </row>
    <row r="99" spans="1:9" s="200" customFormat="1" ht="20.25" customHeight="1">
      <c r="A99" s="212" t="str">
        <f ca="1">IF(ROWS($1:88)&gt;COUNT(Dong2),"",OFFSET(TH!C$1,SMALL(Dong2,ROWS($1:88)),))</f>
        <v/>
      </c>
      <c r="B99" s="212" t="str">
        <f ca="1">IF(ROWS($1:88)&gt;COUNT(Dong2),"",OFFSET(TH!D$1,SMALL(Dong2,ROWS($1:88)),))</f>
        <v/>
      </c>
      <c r="C99" s="212" t="str">
        <f ca="1">IF(ROWS($1:88)&gt;COUNT(Dong2),"",OFFSET(TH!E$1,SMALL(Dong2,ROWS($1:88)),))</f>
        <v/>
      </c>
      <c r="D99" s="450" t="str">
        <f ca="1">IF(ROWS($1:88)&gt;COUNT(Dong2),"",OFFSET(TH!F$1,SMALL(Dong2,ROWS($1:88)),))</f>
        <v/>
      </c>
      <c r="E99" s="212" t="str">
        <f ca="1">IF(ROWS($1:88)&gt;COUNT(Dong2),"",IF(OFFSET(TH!O$1,SMALL(Dong2,ROWS($1:88)),)=$I$6,OFFSET(TH!N$1,SMALL(Dong2,ROWS($1:88)),),OFFSET(TH!O$1,SMALL(Dong2,ROWS($1:88)),)))</f>
        <v/>
      </c>
      <c r="F99" s="213" t="str">
        <f ca="1">IF(ROWS($1:88)&gt;COUNT(Dong2),"",IF(OFFSET(TH!N$1,SMALL(Dong2,ROWS($1:88)),)=$I$6,IF($I$6="1121",OFFSET(TH!M$1,SMALL(Dong2,ROWS($1:88)),),OFFSET(TH!K$1,SMALL(Dong2,ROWS($1:88)),)),0))</f>
        <v/>
      </c>
      <c r="G99" s="213" t="str">
        <f ca="1">IF(ROWS($1:88)&gt;COUNT(Dong2),"",IF(OFFSET(TH!O$1,SMALL(Dong2,ROWS($1:88)),)=$I$6,IF($I$6="1121",OFFSET(TH!M$1,SMALL(Dong2,ROWS($1:88)),),OFFSET(TH!K$1,SMALL(Dong2,ROWS($1:88)),)),0))</f>
        <v/>
      </c>
      <c r="H99" s="214">
        <f t="shared" ca="1" si="2"/>
        <v>0</v>
      </c>
      <c r="I99" s="214"/>
    </row>
    <row r="100" spans="1:9" s="200" customFormat="1" ht="20.25" customHeight="1">
      <c r="A100" s="212" t="str">
        <f ca="1">IF(ROWS($1:89)&gt;COUNT(Dong2),"",OFFSET(TH!C$1,SMALL(Dong2,ROWS($1:89)),))</f>
        <v/>
      </c>
      <c r="B100" s="212" t="str">
        <f ca="1">IF(ROWS($1:89)&gt;COUNT(Dong2),"",OFFSET(TH!D$1,SMALL(Dong2,ROWS($1:89)),))</f>
        <v/>
      </c>
      <c r="C100" s="212" t="str">
        <f ca="1">IF(ROWS($1:89)&gt;COUNT(Dong2),"",OFFSET(TH!E$1,SMALL(Dong2,ROWS($1:89)),))</f>
        <v/>
      </c>
      <c r="D100" s="450" t="str">
        <f ca="1">IF(ROWS($1:89)&gt;COUNT(Dong2),"",OFFSET(TH!F$1,SMALL(Dong2,ROWS($1:89)),))</f>
        <v/>
      </c>
      <c r="E100" s="212" t="str">
        <f ca="1">IF(ROWS($1:89)&gt;COUNT(Dong2),"",IF(OFFSET(TH!O$1,SMALL(Dong2,ROWS($1:89)),)=$I$6,OFFSET(TH!N$1,SMALL(Dong2,ROWS($1:89)),),OFFSET(TH!O$1,SMALL(Dong2,ROWS($1:89)),)))</f>
        <v/>
      </c>
      <c r="F100" s="213" t="str">
        <f ca="1">IF(ROWS($1:89)&gt;COUNT(Dong2),"",IF(OFFSET(TH!N$1,SMALL(Dong2,ROWS($1:89)),)=$I$6,IF($I$6="1121",OFFSET(TH!M$1,SMALL(Dong2,ROWS($1:89)),),OFFSET(TH!K$1,SMALL(Dong2,ROWS($1:89)),)),0))</f>
        <v/>
      </c>
      <c r="G100" s="213" t="str">
        <f ca="1">IF(ROWS($1:89)&gt;COUNT(Dong2),"",IF(OFFSET(TH!O$1,SMALL(Dong2,ROWS($1:89)),)=$I$6,IF($I$6="1121",OFFSET(TH!M$1,SMALL(Dong2,ROWS($1:89)),),OFFSET(TH!K$1,SMALL(Dong2,ROWS($1:89)),)),0))</f>
        <v/>
      </c>
      <c r="H100" s="214">
        <f t="shared" ca="1" si="2"/>
        <v>0</v>
      </c>
      <c r="I100" s="214"/>
    </row>
    <row r="101" spans="1:9" s="200" customFormat="1" ht="20.25" customHeight="1">
      <c r="A101" s="212" t="str">
        <f ca="1">IF(ROWS($1:90)&gt;COUNT(Dong2),"",OFFSET(TH!C$1,SMALL(Dong2,ROWS($1:90)),))</f>
        <v/>
      </c>
      <c r="B101" s="212" t="str">
        <f ca="1">IF(ROWS($1:90)&gt;COUNT(Dong2),"",OFFSET(TH!D$1,SMALL(Dong2,ROWS($1:90)),))</f>
        <v/>
      </c>
      <c r="C101" s="212" t="str">
        <f ca="1">IF(ROWS($1:90)&gt;COUNT(Dong2),"",OFFSET(TH!E$1,SMALL(Dong2,ROWS($1:90)),))</f>
        <v/>
      </c>
      <c r="D101" s="450" t="str">
        <f ca="1">IF(ROWS($1:90)&gt;COUNT(Dong2),"",OFFSET(TH!F$1,SMALL(Dong2,ROWS($1:90)),))</f>
        <v/>
      </c>
      <c r="E101" s="212" t="str">
        <f ca="1">IF(ROWS($1:90)&gt;COUNT(Dong2),"",IF(OFFSET(TH!O$1,SMALL(Dong2,ROWS($1:90)),)=$I$6,OFFSET(TH!N$1,SMALL(Dong2,ROWS($1:90)),),OFFSET(TH!O$1,SMALL(Dong2,ROWS($1:90)),)))</f>
        <v/>
      </c>
      <c r="F101" s="213" t="str">
        <f ca="1">IF(ROWS($1:90)&gt;COUNT(Dong2),"",IF(OFFSET(TH!N$1,SMALL(Dong2,ROWS($1:90)),)=$I$6,IF($I$6="1121",OFFSET(TH!M$1,SMALL(Dong2,ROWS($1:90)),),OFFSET(TH!K$1,SMALL(Dong2,ROWS($1:90)),)),0))</f>
        <v/>
      </c>
      <c r="G101" s="213" t="str">
        <f ca="1">IF(ROWS($1:90)&gt;COUNT(Dong2),"",IF(OFFSET(TH!O$1,SMALL(Dong2,ROWS($1:90)),)=$I$6,IF($I$6="1121",OFFSET(TH!M$1,SMALL(Dong2,ROWS($1:90)),),OFFSET(TH!K$1,SMALL(Dong2,ROWS($1:90)),)),0))</f>
        <v/>
      </c>
      <c r="H101" s="214">
        <f t="shared" ca="1" si="2"/>
        <v>0</v>
      </c>
      <c r="I101" s="214"/>
    </row>
    <row r="102" spans="1:9" s="200" customFormat="1" ht="20.25" customHeight="1">
      <c r="A102" s="212" t="str">
        <f ca="1">IF(ROWS($1:91)&gt;COUNT(Dong2),"",OFFSET(TH!C$1,SMALL(Dong2,ROWS($1:91)),))</f>
        <v/>
      </c>
      <c r="B102" s="212" t="str">
        <f ca="1">IF(ROWS($1:91)&gt;COUNT(Dong2),"",OFFSET(TH!D$1,SMALL(Dong2,ROWS($1:91)),))</f>
        <v/>
      </c>
      <c r="C102" s="212" t="str">
        <f ca="1">IF(ROWS($1:91)&gt;COUNT(Dong2),"",OFFSET(TH!E$1,SMALL(Dong2,ROWS($1:91)),))</f>
        <v/>
      </c>
      <c r="D102" s="450" t="str">
        <f ca="1">IF(ROWS($1:91)&gt;COUNT(Dong2),"",OFFSET(TH!F$1,SMALL(Dong2,ROWS($1:91)),))</f>
        <v/>
      </c>
      <c r="E102" s="212" t="str">
        <f ca="1">IF(ROWS($1:91)&gt;COUNT(Dong2),"",IF(OFFSET(TH!O$1,SMALL(Dong2,ROWS($1:91)),)=$I$6,OFFSET(TH!N$1,SMALL(Dong2,ROWS($1:91)),),OFFSET(TH!O$1,SMALL(Dong2,ROWS($1:91)),)))</f>
        <v/>
      </c>
      <c r="F102" s="213" t="str">
        <f ca="1">IF(ROWS($1:91)&gt;COUNT(Dong2),"",IF(OFFSET(TH!N$1,SMALL(Dong2,ROWS($1:91)),)=$I$6,IF($I$6="1121",OFFSET(TH!M$1,SMALL(Dong2,ROWS($1:91)),),OFFSET(TH!K$1,SMALL(Dong2,ROWS($1:91)),)),0))</f>
        <v/>
      </c>
      <c r="G102" s="213" t="str">
        <f ca="1">IF(ROWS($1:91)&gt;COUNT(Dong2),"",IF(OFFSET(TH!O$1,SMALL(Dong2,ROWS($1:91)),)=$I$6,IF($I$6="1121",OFFSET(TH!M$1,SMALL(Dong2,ROWS($1:91)),),OFFSET(TH!K$1,SMALL(Dong2,ROWS($1:91)),)),0))</f>
        <v/>
      </c>
      <c r="H102" s="214">
        <f t="shared" ca="1" si="2"/>
        <v>0</v>
      </c>
      <c r="I102" s="214"/>
    </row>
    <row r="103" spans="1:9" s="200" customFormat="1" ht="20.25" customHeight="1">
      <c r="A103" s="212" t="str">
        <f ca="1">IF(ROWS($1:92)&gt;COUNT(Dong2),"",OFFSET(TH!C$1,SMALL(Dong2,ROWS($1:92)),))</f>
        <v/>
      </c>
      <c r="B103" s="212" t="str">
        <f ca="1">IF(ROWS($1:92)&gt;COUNT(Dong2),"",OFFSET(TH!D$1,SMALL(Dong2,ROWS($1:92)),))</f>
        <v/>
      </c>
      <c r="C103" s="212" t="str">
        <f ca="1">IF(ROWS($1:92)&gt;COUNT(Dong2),"",OFFSET(TH!E$1,SMALL(Dong2,ROWS($1:92)),))</f>
        <v/>
      </c>
      <c r="D103" s="450" t="str">
        <f ca="1">IF(ROWS($1:92)&gt;COUNT(Dong2),"",OFFSET(TH!F$1,SMALL(Dong2,ROWS($1:92)),))</f>
        <v/>
      </c>
      <c r="E103" s="212" t="str">
        <f ca="1">IF(ROWS($1:92)&gt;COUNT(Dong2),"",IF(OFFSET(TH!O$1,SMALL(Dong2,ROWS($1:92)),)=$I$6,OFFSET(TH!N$1,SMALL(Dong2,ROWS($1:92)),),OFFSET(TH!O$1,SMALL(Dong2,ROWS($1:92)),)))</f>
        <v/>
      </c>
      <c r="F103" s="213" t="str">
        <f ca="1">IF(ROWS($1:92)&gt;COUNT(Dong2),"",IF(OFFSET(TH!N$1,SMALL(Dong2,ROWS($1:92)),)=$I$6,IF($I$6="1121",OFFSET(TH!M$1,SMALL(Dong2,ROWS($1:92)),),OFFSET(TH!K$1,SMALL(Dong2,ROWS($1:92)),)),0))</f>
        <v/>
      </c>
      <c r="G103" s="213" t="str">
        <f ca="1">IF(ROWS($1:92)&gt;COUNT(Dong2),"",IF(OFFSET(TH!O$1,SMALL(Dong2,ROWS($1:92)),)=$I$6,IF($I$6="1121",OFFSET(TH!M$1,SMALL(Dong2,ROWS($1:92)),),OFFSET(TH!K$1,SMALL(Dong2,ROWS($1:92)),)),0))</f>
        <v/>
      </c>
      <c r="H103" s="214">
        <f t="shared" ca="1" si="2"/>
        <v>0</v>
      </c>
      <c r="I103" s="214"/>
    </row>
    <row r="104" spans="1:9" s="200" customFormat="1" ht="20.25" customHeight="1">
      <c r="A104" s="212" t="str">
        <f ca="1">IF(ROWS($1:93)&gt;COUNT(Dong2),"",OFFSET(TH!C$1,SMALL(Dong2,ROWS($1:93)),))</f>
        <v/>
      </c>
      <c r="B104" s="212" t="str">
        <f ca="1">IF(ROWS($1:93)&gt;COUNT(Dong2),"",OFFSET(TH!D$1,SMALL(Dong2,ROWS($1:93)),))</f>
        <v/>
      </c>
      <c r="C104" s="212" t="str">
        <f ca="1">IF(ROWS($1:93)&gt;COUNT(Dong2),"",OFFSET(TH!E$1,SMALL(Dong2,ROWS($1:93)),))</f>
        <v/>
      </c>
      <c r="D104" s="450" t="str">
        <f ca="1">IF(ROWS($1:93)&gt;COUNT(Dong2),"",OFFSET(TH!F$1,SMALL(Dong2,ROWS($1:93)),))</f>
        <v/>
      </c>
      <c r="E104" s="212" t="str">
        <f ca="1">IF(ROWS($1:93)&gt;COUNT(Dong2),"",IF(OFFSET(TH!O$1,SMALL(Dong2,ROWS($1:93)),)=$I$6,OFFSET(TH!N$1,SMALL(Dong2,ROWS($1:93)),),OFFSET(TH!O$1,SMALL(Dong2,ROWS($1:93)),)))</f>
        <v/>
      </c>
      <c r="F104" s="213" t="str">
        <f ca="1">IF(ROWS($1:93)&gt;COUNT(Dong2),"",IF(OFFSET(TH!N$1,SMALL(Dong2,ROWS($1:93)),)=$I$6,IF($I$6="1121",OFFSET(TH!M$1,SMALL(Dong2,ROWS($1:93)),),OFFSET(TH!K$1,SMALL(Dong2,ROWS($1:93)),)),0))</f>
        <v/>
      </c>
      <c r="G104" s="213" t="str">
        <f ca="1">IF(ROWS($1:93)&gt;COUNT(Dong2),"",IF(OFFSET(TH!O$1,SMALL(Dong2,ROWS($1:93)),)=$I$6,IF($I$6="1121",OFFSET(TH!M$1,SMALL(Dong2,ROWS($1:93)),),OFFSET(TH!K$1,SMALL(Dong2,ROWS($1:93)),)),0))</f>
        <v/>
      </c>
      <c r="H104" s="214">
        <f t="shared" ca="1" si="2"/>
        <v>0</v>
      </c>
      <c r="I104" s="214"/>
    </row>
    <row r="105" spans="1:9" s="200" customFormat="1" ht="20.25" customHeight="1">
      <c r="A105" s="212" t="str">
        <f ca="1">IF(ROWS($1:94)&gt;COUNT(Dong2),"",OFFSET(TH!C$1,SMALL(Dong2,ROWS($1:94)),))</f>
        <v/>
      </c>
      <c r="B105" s="212" t="str">
        <f ca="1">IF(ROWS($1:94)&gt;COUNT(Dong2),"",OFFSET(TH!D$1,SMALL(Dong2,ROWS($1:94)),))</f>
        <v/>
      </c>
      <c r="C105" s="212" t="str">
        <f ca="1">IF(ROWS($1:94)&gt;COUNT(Dong2),"",OFFSET(TH!E$1,SMALL(Dong2,ROWS($1:94)),))</f>
        <v/>
      </c>
      <c r="D105" s="450" t="str">
        <f ca="1">IF(ROWS($1:94)&gt;COUNT(Dong2),"",OFFSET(TH!F$1,SMALL(Dong2,ROWS($1:94)),))</f>
        <v/>
      </c>
      <c r="E105" s="212" t="str">
        <f ca="1">IF(ROWS($1:94)&gt;COUNT(Dong2),"",IF(OFFSET(TH!O$1,SMALL(Dong2,ROWS($1:94)),)=$I$6,OFFSET(TH!N$1,SMALL(Dong2,ROWS($1:94)),),OFFSET(TH!O$1,SMALL(Dong2,ROWS($1:94)),)))</f>
        <v/>
      </c>
      <c r="F105" s="213" t="str">
        <f ca="1">IF(ROWS($1:94)&gt;COUNT(Dong2),"",IF(OFFSET(TH!N$1,SMALL(Dong2,ROWS($1:94)),)=$I$6,IF($I$6="1121",OFFSET(TH!M$1,SMALL(Dong2,ROWS($1:94)),),OFFSET(TH!K$1,SMALL(Dong2,ROWS($1:94)),)),0))</f>
        <v/>
      </c>
      <c r="G105" s="213" t="str">
        <f ca="1">IF(ROWS($1:94)&gt;COUNT(Dong2),"",IF(OFFSET(TH!O$1,SMALL(Dong2,ROWS($1:94)),)=$I$6,IF($I$6="1121",OFFSET(TH!M$1,SMALL(Dong2,ROWS($1:94)),),OFFSET(TH!K$1,SMALL(Dong2,ROWS($1:94)),)),0))</f>
        <v/>
      </c>
      <c r="H105" s="214">
        <f t="shared" ca="1" si="2"/>
        <v>0</v>
      </c>
      <c r="I105" s="214"/>
    </row>
    <row r="106" spans="1:9" s="200" customFormat="1" ht="20.25" customHeight="1">
      <c r="A106" s="212" t="str">
        <f ca="1">IF(ROWS($1:95)&gt;COUNT(Dong2),"",OFFSET(TH!C$1,SMALL(Dong2,ROWS($1:95)),))</f>
        <v/>
      </c>
      <c r="B106" s="212" t="str">
        <f ca="1">IF(ROWS($1:95)&gt;COUNT(Dong2),"",OFFSET(TH!D$1,SMALL(Dong2,ROWS($1:95)),))</f>
        <v/>
      </c>
      <c r="C106" s="212" t="str">
        <f ca="1">IF(ROWS($1:95)&gt;COUNT(Dong2),"",OFFSET(TH!E$1,SMALL(Dong2,ROWS($1:95)),))</f>
        <v/>
      </c>
      <c r="D106" s="450" t="str">
        <f ca="1">IF(ROWS($1:95)&gt;COUNT(Dong2),"",OFFSET(TH!F$1,SMALL(Dong2,ROWS($1:95)),))</f>
        <v/>
      </c>
      <c r="E106" s="212" t="str">
        <f ca="1">IF(ROWS($1:95)&gt;COUNT(Dong2),"",IF(OFFSET(TH!O$1,SMALL(Dong2,ROWS($1:95)),)=$I$6,OFFSET(TH!N$1,SMALL(Dong2,ROWS($1:95)),),OFFSET(TH!O$1,SMALL(Dong2,ROWS($1:95)),)))</f>
        <v/>
      </c>
      <c r="F106" s="213" t="str">
        <f ca="1">IF(ROWS($1:95)&gt;COUNT(Dong2),"",IF(OFFSET(TH!N$1,SMALL(Dong2,ROWS($1:95)),)=$I$6,IF($I$6="1121",OFFSET(TH!M$1,SMALL(Dong2,ROWS($1:95)),),OFFSET(TH!K$1,SMALL(Dong2,ROWS($1:95)),)),0))</f>
        <v/>
      </c>
      <c r="G106" s="213" t="str">
        <f ca="1">IF(ROWS($1:95)&gt;COUNT(Dong2),"",IF(OFFSET(TH!O$1,SMALL(Dong2,ROWS($1:95)),)=$I$6,IF($I$6="1121",OFFSET(TH!M$1,SMALL(Dong2,ROWS($1:95)),),OFFSET(TH!K$1,SMALL(Dong2,ROWS($1:95)),)),0))</f>
        <v/>
      </c>
      <c r="H106" s="214">
        <f t="shared" ca="1" si="2"/>
        <v>0</v>
      </c>
      <c r="I106" s="214"/>
    </row>
    <row r="107" spans="1:9" s="200" customFormat="1" ht="20.25" customHeight="1">
      <c r="A107" s="212" t="str">
        <f ca="1">IF(ROWS($1:96)&gt;COUNT(Dong2),"",OFFSET(TH!C$1,SMALL(Dong2,ROWS($1:96)),))</f>
        <v/>
      </c>
      <c r="B107" s="212" t="str">
        <f ca="1">IF(ROWS($1:96)&gt;COUNT(Dong2),"",OFFSET(TH!D$1,SMALL(Dong2,ROWS($1:96)),))</f>
        <v/>
      </c>
      <c r="C107" s="212" t="str">
        <f ca="1">IF(ROWS($1:96)&gt;COUNT(Dong2),"",OFFSET(TH!E$1,SMALL(Dong2,ROWS($1:96)),))</f>
        <v/>
      </c>
      <c r="D107" s="450" t="str">
        <f ca="1">IF(ROWS($1:96)&gt;COUNT(Dong2),"",OFFSET(TH!F$1,SMALL(Dong2,ROWS($1:96)),))</f>
        <v/>
      </c>
      <c r="E107" s="212" t="str">
        <f ca="1">IF(ROWS($1:96)&gt;COUNT(Dong2),"",IF(OFFSET(TH!O$1,SMALL(Dong2,ROWS($1:96)),)=$I$6,OFFSET(TH!N$1,SMALL(Dong2,ROWS($1:96)),),OFFSET(TH!O$1,SMALL(Dong2,ROWS($1:96)),)))</f>
        <v/>
      </c>
      <c r="F107" s="213" t="str">
        <f ca="1">IF(ROWS($1:96)&gt;COUNT(Dong2),"",IF(OFFSET(TH!N$1,SMALL(Dong2,ROWS($1:96)),)=$I$6,IF($I$6="1121",OFFSET(TH!M$1,SMALL(Dong2,ROWS($1:96)),),OFFSET(TH!K$1,SMALL(Dong2,ROWS($1:96)),)),0))</f>
        <v/>
      </c>
      <c r="G107" s="213" t="str">
        <f ca="1">IF(ROWS($1:96)&gt;COUNT(Dong2),"",IF(OFFSET(TH!O$1,SMALL(Dong2,ROWS($1:96)),)=$I$6,IF($I$6="1121",OFFSET(TH!M$1,SMALL(Dong2,ROWS($1:96)),),OFFSET(TH!K$1,SMALL(Dong2,ROWS($1:96)),)),0))</f>
        <v/>
      </c>
      <c r="H107" s="214">
        <f t="shared" ca="1" si="2"/>
        <v>0</v>
      </c>
      <c r="I107" s="214"/>
    </row>
    <row r="108" spans="1:9" s="200" customFormat="1" ht="20.25" customHeight="1">
      <c r="A108" s="212" t="str">
        <f ca="1">IF(ROWS($1:97)&gt;COUNT(Dong2),"",OFFSET(TH!C$1,SMALL(Dong2,ROWS($1:97)),))</f>
        <v/>
      </c>
      <c r="B108" s="212" t="str">
        <f ca="1">IF(ROWS($1:97)&gt;COUNT(Dong2),"",OFFSET(TH!D$1,SMALL(Dong2,ROWS($1:97)),))</f>
        <v/>
      </c>
      <c r="C108" s="212" t="str">
        <f ca="1">IF(ROWS($1:97)&gt;COUNT(Dong2),"",OFFSET(TH!E$1,SMALL(Dong2,ROWS($1:97)),))</f>
        <v/>
      </c>
      <c r="D108" s="450" t="str">
        <f ca="1">IF(ROWS($1:97)&gt;COUNT(Dong2),"",OFFSET(TH!F$1,SMALL(Dong2,ROWS($1:97)),))</f>
        <v/>
      </c>
      <c r="E108" s="212" t="str">
        <f ca="1">IF(ROWS($1:97)&gt;COUNT(Dong2),"",IF(OFFSET(TH!O$1,SMALL(Dong2,ROWS($1:97)),)=$I$6,OFFSET(TH!N$1,SMALL(Dong2,ROWS($1:97)),),OFFSET(TH!O$1,SMALL(Dong2,ROWS($1:97)),)))</f>
        <v/>
      </c>
      <c r="F108" s="213" t="str">
        <f ca="1">IF(ROWS($1:97)&gt;COUNT(Dong2),"",IF(OFFSET(TH!N$1,SMALL(Dong2,ROWS($1:97)),)=$I$6,IF($I$6="1121",OFFSET(TH!M$1,SMALL(Dong2,ROWS($1:97)),),OFFSET(TH!K$1,SMALL(Dong2,ROWS($1:97)),)),0))</f>
        <v/>
      </c>
      <c r="G108" s="213" t="str">
        <f ca="1">IF(ROWS($1:97)&gt;COUNT(Dong2),"",IF(OFFSET(TH!O$1,SMALL(Dong2,ROWS($1:97)),)=$I$6,IF($I$6="1121",OFFSET(TH!M$1,SMALL(Dong2,ROWS($1:97)),),OFFSET(TH!K$1,SMALL(Dong2,ROWS($1:97)),)),0))</f>
        <v/>
      </c>
      <c r="H108" s="214">
        <f t="shared" ref="H108:H120" ca="1" si="3">IF(A108&lt;&gt;"",H107+F108-G108,0)</f>
        <v>0</v>
      </c>
      <c r="I108" s="214"/>
    </row>
    <row r="109" spans="1:9" s="200" customFormat="1" ht="20.25" customHeight="1">
      <c r="A109" s="212" t="str">
        <f ca="1">IF(ROWS($1:98)&gt;COUNT(Dong2),"",OFFSET(TH!C$1,SMALL(Dong2,ROWS($1:98)),))</f>
        <v/>
      </c>
      <c r="B109" s="212" t="str">
        <f ca="1">IF(ROWS($1:98)&gt;COUNT(Dong2),"",OFFSET(TH!D$1,SMALL(Dong2,ROWS($1:98)),))</f>
        <v/>
      </c>
      <c r="C109" s="212" t="str">
        <f ca="1">IF(ROWS($1:98)&gt;COUNT(Dong2),"",OFFSET(TH!E$1,SMALL(Dong2,ROWS($1:98)),))</f>
        <v/>
      </c>
      <c r="D109" s="450" t="str">
        <f ca="1">IF(ROWS($1:98)&gt;COUNT(Dong2),"",OFFSET(TH!F$1,SMALL(Dong2,ROWS($1:98)),))</f>
        <v/>
      </c>
      <c r="E109" s="212" t="str">
        <f ca="1">IF(ROWS($1:98)&gt;COUNT(Dong2),"",IF(OFFSET(TH!O$1,SMALL(Dong2,ROWS($1:98)),)=$I$6,OFFSET(TH!N$1,SMALL(Dong2,ROWS($1:98)),),OFFSET(TH!O$1,SMALL(Dong2,ROWS($1:98)),)))</f>
        <v/>
      </c>
      <c r="F109" s="213" t="str">
        <f ca="1">IF(ROWS($1:98)&gt;COUNT(Dong2),"",IF(OFFSET(TH!N$1,SMALL(Dong2,ROWS($1:98)),)=$I$6,IF($I$6="1121",OFFSET(TH!M$1,SMALL(Dong2,ROWS($1:98)),),OFFSET(TH!K$1,SMALL(Dong2,ROWS($1:98)),)),0))</f>
        <v/>
      </c>
      <c r="G109" s="213" t="str">
        <f ca="1">IF(ROWS($1:98)&gt;COUNT(Dong2),"",IF(OFFSET(TH!O$1,SMALL(Dong2,ROWS($1:98)),)=$I$6,IF($I$6="1121",OFFSET(TH!M$1,SMALL(Dong2,ROWS($1:98)),),OFFSET(TH!K$1,SMALL(Dong2,ROWS($1:98)),)),0))</f>
        <v/>
      </c>
      <c r="H109" s="214">
        <f t="shared" ca="1" si="3"/>
        <v>0</v>
      </c>
      <c r="I109" s="214"/>
    </row>
    <row r="110" spans="1:9" s="200" customFormat="1" ht="20.25" customHeight="1">
      <c r="A110" s="212" t="str">
        <f ca="1">IF(ROWS($1:99)&gt;COUNT(Dong2),"",OFFSET(TH!C$1,SMALL(Dong2,ROWS($1:99)),))</f>
        <v/>
      </c>
      <c r="B110" s="212" t="str">
        <f ca="1">IF(ROWS($1:99)&gt;COUNT(Dong2),"",OFFSET(TH!D$1,SMALL(Dong2,ROWS($1:99)),))</f>
        <v/>
      </c>
      <c r="C110" s="212" t="str">
        <f ca="1">IF(ROWS($1:99)&gt;COUNT(Dong2),"",OFFSET(TH!E$1,SMALL(Dong2,ROWS($1:99)),))</f>
        <v/>
      </c>
      <c r="D110" s="450" t="str">
        <f ca="1">IF(ROWS($1:99)&gt;COUNT(Dong2),"",OFFSET(TH!F$1,SMALL(Dong2,ROWS($1:99)),))</f>
        <v/>
      </c>
      <c r="E110" s="212" t="str">
        <f ca="1">IF(ROWS($1:99)&gt;COUNT(Dong2),"",IF(OFFSET(TH!O$1,SMALL(Dong2,ROWS($1:99)),)=$I$6,OFFSET(TH!N$1,SMALL(Dong2,ROWS($1:99)),),OFFSET(TH!O$1,SMALL(Dong2,ROWS($1:99)),)))</f>
        <v/>
      </c>
      <c r="F110" s="213" t="str">
        <f ca="1">IF(ROWS($1:99)&gt;COUNT(Dong2),"",IF(OFFSET(TH!N$1,SMALL(Dong2,ROWS($1:99)),)=$I$6,IF($I$6="1121",OFFSET(TH!M$1,SMALL(Dong2,ROWS($1:99)),),OFFSET(TH!K$1,SMALL(Dong2,ROWS($1:99)),)),0))</f>
        <v/>
      </c>
      <c r="G110" s="213" t="str">
        <f ca="1">IF(ROWS($1:99)&gt;COUNT(Dong2),"",IF(OFFSET(TH!O$1,SMALL(Dong2,ROWS($1:99)),)=$I$6,IF($I$6="1121",OFFSET(TH!M$1,SMALL(Dong2,ROWS($1:99)),),OFFSET(TH!K$1,SMALL(Dong2,ROWS($1:99)),)),0))</f>
        <v/>
      </c>
      <c r="H110" s="214">
        <f t="shared" ca="1" si="3"/>
        <v>0</v>
      </c>
      <c r="I110" s="214"/>
    </row>
    <row r="111" spans="1:9" s="200" customFormat="1" ht="20.25" customHeight="1">
      <c r="A111" s="212" t="str">
        <f ca="1">IF(ROWS($1:100)&gt;COUNT(Dong2),"",OFFSET(TH!C$1,SMALL(Dong2,ROWS($1:100)),))</f>
        <v/>
      </c>
      <c r="B111" s="212" t="str">
        <f ca="1">IF(ROWS($1:100)&gt;COUNT(Dong2),"",OFFSET(TH!D$1,SMALL(Dong2,ROWS($1:100)),))</f>
        <v/>
      </c>
      <c r="C111" s="212" t="str">
        <f ca="1">IF(ROWS($1:100)&gt;COUNT(Dong2),"",OFFSET(TH!E$1,SMALL(Dong2,ROWS($1:100)),))</f>
        <v/>
      </c>
      <c r="D111" s="450" t="str">
        <f ca="1">IF(ROWS($1:100)&gt;COUNT(Dong2),"",OFFSET(TH!F$1,SMALL(Dong2,ROWS($1:100)),))</f>
        <v/>
      </c>
      <c r="E111" s="212" t="str">
        <f ca="1">IF(ROWS($1:100)&gt;COUNT(Dong2),"",IF(OFFSET(TH!O$1,SMALL(Dong2,ROWS($1:100)),)=$I$6,OFFSET(TH!N$1,SMALL(Dong2,ROWS($1:100)),),OFFSET(TH!O$1,SMALL(Dong2,ROWS($1:100)),)))</f>
        <v/>
      </c>
      <c r="F111" s="213" t="str">
        <f ca="1">IF(ROWS($1:100)&gt;COUNT(Dong2),"",IF(OFFSET(TH!N$1,SMALL(Dong2,ROWS($1:100)),)=$I$6,IF($I$6="1121",OFFSET(TH!M$1,SMALL(Dong2,ROWS($1:100)),),OFFSET(TH!K$1,SMALL(Dong2,ROWS($1:100)),)),0))</f>
        <v/>
      </c>
      <c r="G111" s="213" t="str">
        <f ca="1">IF(ROWS($1:100)&gt;COUNT(Dong2),"",IF(OFFSET(TH!O$1,SMALL(Dong2,ROWS($1:100)),)=$I$6,IF($I$6="1121",OFFSET(TH!M$1,SMALL(Dong2,ROWS($1:100)),),OFFSET(TH!K$1,SMALL(Dong2,ROWS($1:100)),)),0))</f>
        <v/>
      </c>
      <c r="H111" s="214">
        <f t="shared" ca="1" si="3"/>
        <v>0</v>
      </c>
      <c r="I111" s="214"/>
    </row>
    <row r="112" spans="1:9" s="200" customFormat="1" ht="20.25" customHeight="1">
      <c r="A112" s="212" t="str">
        <f ca="1">IF(ROWS($1:101)&gt;COUNT(Dong2),"",OFFSET(TH!C$1,SMALL(Dong2,ROWS($1:101)),))</f>
        <v/>
      </c>
      <c r="B112" s="212" t="str">
        <f ca="1">IF(ROWS($1:101)&gt;COUNT(Dong2),"",OFFSET(TH!D$1,SMALL(Dong2,ROWS($1:101)),))</f>
        <v/>
      </c>
      <c r="C112" s="212" t="str">
        <f ca="1">IF(ROWS($1:101)&gt;COUNT(Dong2),"",OFFSET(TH!E$1,SMALL(Dong2,ROWS($1:101)),))</f>
        <v/>
      </c>
      <c r="D112" s="450" t="str">
        <f ca="1">IF(ROWS($1:101)&gt;COUNT(Dong2),"",OFFSET(TH!F$1,SMALL(Dong2,ROWS($1:101)),))</f>
        <v/>
      </c>
      <c r="E112" s="212" t="str">
        <f ca="1">IF(ROWS($1:101)&gt;COUNT(Dong2),"",IF(OFFSET(TH!O$1,SMALL(Dong2,ROWS($1:101)),)=$I$6,OFFSET(TH!N$1,SMALL(Dong2,ROWS($1:101)),),OFFSET(TH!O$1,SMALL(Dong2,ROWS($1:101)),)))</f>
        <v/>
      </c>
      <c r="F112" s="213" t="str">
        <f ca="1">IF(ROWS($1:101)&gt;COUNT(Dong2),"",IF(OFFSET(TH!N$1,SMALL(Dong2,ROWS($1:101)),)=$I$6,IF($I$6="1121",OFFSET(TH!M$1,SMALL(Dong2,ROWS($1:101)),),OFFSET(TH!K$1,SMALL(Dong2,ROWS($1:101)),)),0))</f>
        <v/>
      </c>
      <c r="G112" s="213" t="str">
        <f ca="1">IF(ROWS($1:101)&gt;COUNT(Dong2),"",IF(OFFSET(TH!O$1,SMALL(Dong2,ROWS($1:101)),)=$I$6,IF($I$6="1121",OFFSET(TH!M$1,SMALL(Dong2,ROWS($1:101)),),OFFSET(TH!K$1,SMALL(Dong2,ROWS($1:101)),)),0))</f>
        <v/>
      </c>
      <c r="H112" s="214">
        <f t="shared" ca="1" si="3"/>
        <v>0</v>
      </c>
      <c r="I112" s="214"/>
    </row>
    <row r="113" spans="1:11" s="200" customFormat="1" ht="20.25" customHeight="1">
      <c r="A113" s="212" t="str">
        <f ca="1">IF(ROWS($1:102)&gt;COUNT(Dong2),"",OFFSET(TH!C$1,SMALL(Dong2,ROWS($1:102)),))</f>
        <v/>
      </c>
      <c r="B113" s="212" t="str">
        <f ca="1">IF(ROWS($1:102)&gt;COUNT(Dong2),"",OFFSET(TH!D$1,SMALL(Dong2,ROWS($1:102)),))</f>
        <v/>
      </c>
      <c r="C113" s="212" t="str">
        <f ca="1">IF(ROWS($1:102)&gt;COUNT(Dong2),"",OFFSET(TH!E$1,SMALL(Dong2,ROWS($1:102)),))</f>
        <v/>
      </c>
      <c r="D113" s="450" t="str">
        <f ca="1">IF(ROWS($1:102)&gt;COUNT(Dong2),"",OFFSET(TH!F$1,SMALL(Dong2,ROWS($1:102)),))</f>
        <v/>
      </c>
      <c r="E113" s="212" t="str">
        <f ca="1">IF(ROWS($1:102)&gt;COUNT(Dong2),"",IF(OFFSET(TH!O$1,SMALL(Dong2,ROWS($1:102)),)=$I$6,OFFSET(TH!N$1,SMALL(Dong2,ROWS($1:102)),),OFFSET(TH!O$1,SMALL(Dong2,ROWS($1:102)),)))</f>
        <v/>
      </c>
      <c r="F113" s="213" t="str">
        <f ca="1">IF(ROWS($1:102)&gt;COUNT(Dong2),"",IF(OFFSET(TH!N$1,SMALL(Dong2,ROWS($1:102)),)=$I$6,IF($I$6="1121",OFFSET(TH!M$1,SMALL(Dong2,ROWS($1:102)),),OFFSET(TH!K$1,SMALL(Dong2,ROWS($1:102)),)),0))</f>
        <v/>
      </c>
      <c r="G113" s="213" t="str">
        <f ca="1">IF(ROWS($1:102)&gt;COUNT(Dong2),"",IF(OFFSET(TH!O$1,SMALL(Dong2,ROWS($1:102)),)=$I$6,IF($I$6="1121",OFFSET(TH!M$1,SMALL(Dong2,ROWS($1:102)),),OFFSET(TH!K$1,SMALL(Dong2,ROWS($1:102)),)),0))</f>
        <v/>
      </c>
      <c r="H113" s="214">
        <f t="shared" ca="1" si="3"/>
        <v>0</v>
      </c>
      <c r="I113" s="214"/>
    </row>
    <row r="114" spans="1:11" s="200" customFormat="1" ht="20.25" customHeight="1">
      <c r="A114" s="212" t="str">
        <f ca="1">IF(ROWS($1:103)&gt;COUNT(Dong2),"",OFFSET(TH!C$1,SMALL(Dong2,ROWS($1:103)),))</f>
        <v/>
      </c>
      <c r="B114" s="212" t="str">
        <f ca="1">IF(ROWS($1:103)&gt;COUNT(Dong2),"",OFFSET(TH!D$1,SMALL(Dong2,ROWS($1:103)),))</f>
        <v/>
      </c>
      <c r="C114" s="212" t="str">
        <f ca="1">IF(ROWS($1:103)&gt;COUNT(Dong2),"",OFFSET(TH!E$1,SMALL(Dong2,ROWS($1:103)),))</f>
        <v/>
      </c>
      <c r="D114" s="450" t="str">
        <f ca="1">IF(ROWS($1:103)&gt;COUNT(Dong2),"",OFFSET(TH!F$1,SMALL(Dong2,ROWS($1:103)),))</f>
        <v/>
      </c>
      <c r="E114" s="212" t="str">
        <f ca="1">IF(ROWS($1:103)&gt;COUNT(Dong2),"",IF(OFFSET(TH!O$1,SMALL(Dong2,ROWS($1:103)),)=$I$6,OFFSET(TH!N$1,SMALL(Dong2,ROWS($1:103)),),OFFSET(TH!O$1,SMALL(Dong2,ROWS($1:103)),)))</f>
        <v/>
      </c>
      <c r="F114" s="213" t="str">
        <f ca="1">IF(ROWS($1:103)&gt;COUNT(Dong2),"",IF(OFFSET(TH!N$1,SMALL(Dong2,ROWS($1:103)),)=$I$6,IF($I$6="1121",OFFSET(TH!M$1,SMALL(Dong2,ROWS($1:103)),),OFFSET(TH!K$1,SMALL(Dong2,ROWS($1:103)),)),0))</f>
        <v/>
      </c>
      <c r="G114" s="213" t="str">
        <f ca="1">IF(ROWS($1:103)&gt;COUNT(Dong2),"",IF(OFFSET(TH!O$1,SMALL(Dong2,ROWS($1:103)),)=$I$6,IF($I$6="1121",OFFSET(TH!M$1,SMALL(Dong2,ROWS($1:103)),),OFFSET(TH!K$1,SMALL(Dong2,ROWS($1:103)),)),0))</f>
        <v/>
      </c>
      <c r="H114" s="214">
        <f t="shared" ca="1" si="3"/>
        <v>0</v>
      </c>
      <c r="I114" s="214"/>
    </row>
    <row r="115" spans="1:11" s="200" customFormat="1" ht="20.25" customHeight="1">
      <c r="A115" s="212" t="str">
        <f ca="1">IF(ROWS($1:104)&gt;COUNT(Dong2),"",OFFSET(TH!C$1,SMALL(Dong2,ROWS($1:104)),))</f>
        <v/>
      </c>
      <c r="B115" s="212" t="str">
        <f ca="1">IF(ROWS($1:104)&gt;COUNT(Dong2),"",OFFSET(TH!D$1,SMALL(Dong2,ROWS($1:104)),))</f>
        <v/>
      </c>
      <c r="C115" s="212" t="str">
        <f ca="1">IF(ROWS($1:104)&gt;COUNT(Dong2),"",OFFSET(TH!E$1,SMALL(Dong2,ROWS($1:104)),))</f>
        <v/>
      </c>
      <c r="D115" s="450" t="str">
        <f ca="1">IF(ROWS($1:104)&gt;COUNT(Dong2),"",OFFSET(TH!F$1,SMALL(Dong2,ROWS($1:104)),))</f>
        <v/>
      </c>
      <c r="E115" s="212" t="str">
        <f ca="1">IF(ROWS($1:104)&gt;COUNT(Dong2),"",IF(OFFSET(TH!O$1,SMALL(Dong2,ROWS($1:104)),)=$I$6,OFFSET(TH!N$1,SMALL(Dong2,ROWS($1:104)),),OFFSET(TH!O$1,SMALL(Dong2,ROWS($1:104)),)))</f>
        <v/>
      </c>
      <c r="F115" s="213" t="str">
        <f ca="1">IF(ROWS($1:104)&gt;COUNT(Dong2),"",IF(OFFSET(TH!N$1,SMALL(Dong2,ROWS($1:104)),)=$I$6,IF($I$6="1121",OFFSET(TH!M$1,SMALL(Dong2,ROWS($1:104)),),OFFSET(TH!K$1,SMALL(Dong2,ROWS($1:104)),)),0))</f>
        <v/>
      </c>
      <c r="G115" s="213" t="str">
        <f ca="1">IF(ROWS($1:104)&gt;COUNT(Dong2),"",IF(OFFSET(TH!O$1,SMALL(Dong2,ROWS($1:104)),)=$I$6,IF($I$6="1121",OFFSET(TH!M$1,SMALL(Dong2,ROWS($1:104)),),OFFSET(TH!K$1,SMALL(Dong2,ROWS($1:104)),)),0))</f>
        <v/>
      </c>
      <c r="H115" s="214">
        <f t="shared" ca="1" si="3"/>
        <v>0</v>
      </c>
      <c r="I115" s="214"/>
    </row>
    <row r="116" spans="1:11" s="200" customFormat="1" ht="20.25" customHeight="1">
      <c r="A116" s="212" t="str">
        <f ca="1">IF(ROWS($1:105)&gt;COUNT(Dong2),"",OFFSET(TH!C$1,SMALL(Dong2,ROWS($1:105)),))</f>
        <v/>
      </c>
      <c r="B116" s="212" t="str">
        <f ca="1">IF(ROWS($1:105)&gt;COUNT(Dong2),"",OFFSET(TH!D$1,SMALL(Dong2,ROWS($1:105)),))</f>
        <v/>
      </c>
      <c r="C116" s="212" t="str">
        <f ca="1">IF(ROWS($1:105)&gt;COUNT(Dong2),"",OFFSET(TH!E$1,SMALL(Dong2,ROWS($1:105)),))</f>
        <v/>
      </c>
      <c r="D116" s="450" t="str">
        <f ca="1">IF(ROWS($1:105)&gt;COUNT(Dong2),"",OFFSET(TH!F$1,SMALL(Dong2,ROWS($1:105)),))</f>
        <v/>
      </c>
      <c r="E116" s="212" t="str">
        <f ca="1">IF(ROWS($1:105)&gt;COUNT(Dong2),"",IF(OFFSET(TH!O$1,SMALL(Dong2,ROWS($1:105)),)=$I$6,OFFSET(TH!N$1,SMALL(Dong2,ROWS($1:105)),),OFFSET(TH!O$1,SMALL(Dong2,ROWS($1:105)),)))</f>
        <v/>
      </c>
      <c r="F116" s="213" t="str">
        <f ca="1">IF(ROWS($1:105)&gt;COUNT(Dong2),"",IF(OFFSET(TH!N$1,SMALL(Dong2,ROWS($1:105)),)=$I$6,IF($I$6="1121",OFFSET(TH!M$1,SMALL(Dong2,ROWS($1:105)),),OFFSET(TH!K$1,SMALL(Dong2,ROWS($1:105)),)),0))</f>
        <v/>
      </c>
      <c r="G116" s="213" t="str">
        <f ca="1">IF(ROWS($1:105)&gt;COUNT(Dong2),"",IF(OFFSET(TH!O$1,SMALL(Dong2,ROWS($1:105)),)=$I$6,IF($I$6="1121",OFFSET(TH!M$1,SMALL(Dong2,ROWS($1:105)),),OFFSET(TH!K$1,SMALL(Dong2,ROWS($1:105)),)),0))</f>
        <v/>
      </c>
      <c r="H116" s="214">
        <f t="shared" ca="1" si="3"/>
        <v>0</v>
      </c>
      <c r="I116" s="214"/>
    </row>
    <row r="117" spans="1:11" s="200" customFormat="1" ht="20.25" customHeight="1">
      <c r="A117" s="212" t="str">
        <f ca="1">IF(ROWS($1:106)&gt;COUNT(Dong2),"",OFFSET(TH!C$1,SMALL(Dong2,ROWS($1:106)),))</f>
        <v/>
      </c>
      <c r="B117" s="212" t="str">
        <f ca="1">IF(ROWS($1:106)&gt;COUNT(Dong2),"",OFFSET(TH!D$1,SMALL(Dong2,ROWS($1:106)),))</f>
        <v/>
      </c>
      <c r="C117" s="212" t="str">
        <f ca="1">IF(ROWS($1:106)&gt;COUNT(Dong2),"",OFFSET(TH!E$1,SMALL(Dong2,ROWS($1:106)),))</f>
        <v/>
      </c>
      <c r="D117" s="450" t="str">
        <f ca="1">IF(ROWS($1:106)&gt;COUNT(Dong2),"",OFFSET(TH!F$1,SMALL(Dong2,ROWS($1:106)),))</f>
        <v/>
      </c>
      <c r="E117" s="212" t="str">
        <f ca="1">IF(ROWS($1:106)&gt;COUNT(Dong2),"",IF(OFFSET(TH!O$1,SMALL(Dong2,ROWS($1:106)),)=$I$6,OFFSET(TH!N$1,SMALL(Dong2,ROWS($1:106)),),OFFSET(TH!O$1,SMALL(Dong2,ROWS($1:106)),)))</f>
        <v/>
      </c>
      <c r="F117" s="213" t="str">
        <f ca="1">IF(ROWS($1:106)&gt;COUNT(Dong2),"",IF(OFFSET(TH!N$1,SMALL(Dong2,ROWS($1:106)),)=$I$6,IF($I$6="1121",OFFSET(TH!M$1,SMALL(Dong2,ROWS($1:106)),),OFFSET(TH!K$1,SMALL(Dong2,ROWS($1:106)),)),0))</f>
        <v/>
      </c>
      <c r="G117" s="213" t="str">
        <f ca="1">IF(ROWS($1:106)&gt;COUNT(Dong2),"",IF(OFFSET(TH!O$1,SMALL(Dong2,ROWS($1:106)),)=$I$6,IF($I$6="1121",OFFSET(TH!M$1,SMALL(Dong2,ROWS($1:106)),),OFFSET(TH!K$1,SMALL(Dong2,ROWS($1:106)),)),0))</f>
        <v/>
      </c>
      <c r="H117" s="214">
        <f t="shared" ca="1" si="3"/>
        <v>0</v>
      </c>
      <c r="I117" s="214"/>
    </row>
    <row r="118" spans="1:11" s="200" customFormat="1" ht="20.25" customHeight="1">
      <c r="A118" s="212" t="str">
        <f ca="1">IF(ROWS($1:107)&gt;COUNT(Dong2),"",OFFSET(TH!C$1,SMALL(Dong2,ROWS($1:107)),))</f>
        <v/>
      </c>
      <c r="B118" s="212" t="str">
        <f ca="1">IF(ROWS($1:107)&gt;COUNT(Dong2),"",OFFSET(TH!D$1,SMALL(Dong2,ROWS($1:107)),))</f>
        <v/>
      </c>
      <c r="C118" s="212" t="str">
        <f ca="1">IF(ROWS($1:107)&gt;COUNT(Dong2),"",OFFSET(TH!E$1,SMALL(Dong2,ROWS($1:107)),))</f>
        <v/>
      </c>
      <c r="D118" s="450" t="str">
        <f ca="1">IF(ROWS($1:107)&gt;COUNT(Dong2),"",OFFSET(TH!F$1,SMALL(Dong2,ROWS($1:107)),))</f>
        <v/>
      </c>
      <c r="E118" s="212" t="str">
        <f ca="1">IF(ROWS($1:107)&gt;COUNT(Dong2),"",IF(OFFSET(TH!O$1,SMALL(Dong2,ROWS($1:107)),)=$I$6,OFFSET(TH!N$1,SMALL(Dong2,ROWS($1:107)),),OFFSET(TH!O$1,SMALL(Dong2,ROWS($1:107)),)))</f>
        <v/>
      </c>
      <c r="F118" s="213" t="str">
        <f ca="1">IF(ROWS($1:107)&gt;COUNT(Dong2),"",IF(OFFSET(TH!N$1,SMALL(Dong2,ROWS($1:107)),)=$I$6,IF($I$6="1121",OFFSET(TH!M$1,SMALL(Dong2,ROWS($1:107)),),OFFSET(TH!K$1,SMALL(Dong2,ROWS($1:107)),)),0))</f>
        <v/>
      </c>
      <c r="G118" s="213" t="str">
        <f ca="1">IF(ROWS($1:107)&gt;COUNT(Dong2),"",IF(OFFSET(TH!O$1,SMALL(Dong2,ROWS($1:107)),)=$I$6,IF($I$6="1121",OFFSET(TH!M$1,SMALL(Dong2,ROWS($1:107)),),OFFSET(TH!K$1,SMALL(Dong2,ROWS($1:107)),)),0))</f>
        <v/>
      </c>
      <c r="H118" s="214">
        <f t="shared" ca="1" si="3"/>
        <v>0</v>
      </c>
      <c r="I118" s="214"/>
    </row>
    <row r="119" spans="1:11" s="200" customFormat="1" ht="20.25" customHeight="1">
      <c r="A119" s="212" t="str">
        <f ca="1">IF(ROWS($1:108)&gt;COUNT(Dong2),"",OFFSET(TH!C$1,SMALL(Dong2,ROWS($1:108)),))</f>
        <v/>
      </c>
      <c r="B119" s="212" t="str">
        <f ca="1">IF(ROWS($1:108)&gt;COUNT(Dong2),"",OFFSET(TH!D$1,SMALL(Dong2,ROWS($1:108)),))</f>
        <v/>
      </c>
      <c r="C119" s="212" t="str">
        <f ca="1">IF(ROWS($1:108)&gt;COUNT(Dong2),"",OFFSET(TH!E$1,SMALL(Dong2,ROWS($1:108)),))</f>
        <v/>
      </c>
      <c r="D119" s="450" t="str">
        <f ca="1">IF(ROWS($1:108)&gt;COUNT(Dong2),"",OFFSET(TH!F$1,SMALL(Dong2,ROWS($1:108)),))</f>
        <v/>
      </c>
      <c r="E119" s="212" t="str">
        <f ca="1">IF(ROWS($1:108)&gt;COUNT(Dong2),"",IF(OFFSET(TH!O$1,SMALL(Dong2,ROWS($1:108)),)=$I$6,OFFSET(TH!N$1,SMALL(Dong2,ROWS($1:108)),),OFFSET(TH!O$1,SMALL(Dong2,ROWS($1:108)),)))</f>
        <v/>
      </c>
      <c r="F119" s="213" t="str">
        <f ca="1">IF(ROWS($1:108)&gt;COUNT(Dong2),"",IF(OFFSET(TH!N$1,SMALL(Dong2,ROWS($1:108)),)=$I$6,IF($I$6="1121",OFFSET(TH!M$1,SMALL(Dong2,ROWS($1:108)),),OFFSET(TH!K$1,SMALL(Dong2,ROWS($1:108)),)),0))</f>
        <v/>
      </c>
      <c r="G119" s="213" t="str">
        <f ca="1">IF(ROWS($1:108)&gt;COUNT(Dong2),"",IF(OFFSET(TH!O$1,SMALL(Dong2,ROWS($1:108)),)=$I$6,IF($I$6="1121",OFFSET(TH!M$1,SMALL(Dong2,ROWS($1:108)),),OFFSET(TH!K$1,SMALL(Dong2,ROWS($1:108)),)),0))</f>
        <v/>
      </c>
      <c r="H119" s="214">
        <f t="shared" ca="1" si="3"/>
        <v>0</v>
      </c>
      <c r="I119" s="214"/>
    </row>
    <row r="120" spans="1:11" s="200" customFormat="1" ht="20.25" customHeight="1">
      <c r="A120" s="212" t="str">
        <f ca="1">IF(ROWS($1:109)&gt;COUNT(Dong2),"",OFFSET(TH!C$1,SMALL(Dong2,ROWS($1:109)),))</f>
        <v/>
      </c>
      <c r="B120" s="212" t="str">
        <f ca="1">IF(ROWS($1:109)&gt;COUNT(Dong2),"",OFFSET(TH!D$1,SMALL(Dong2,ROWS($1:109)),))</f>
        <v/>
      </c>
      <c r="C120" s="212" t="str">
        <f ca="1">IF(ROWS($1:109)&gt;COUNT(Dong2),"",OFFSET(TH!E$1,SMALL(Dong2,ROWS($1:109)),))</f>
        <v/>
      </c>
      <c r="D120" s="450" t="str">
        <f ca="1">IF(ROWS($1:109)&gt;COUNT(Dong2),"",OFFSET(TH!F$1,SMALL(Dong2,ROWS($1:109)),))</f>
        <v/>
      </c>
      <c r="E120" s="212" t="str">
        <f ca="1">IF(ROWS($1:109)&gt;COUNT(Dong2),"",IF(OFFSET(TH!O$1,SMALL(Dong2,ROWS($1:109)),)=$I$6,OFFSET(TH!N$1,SMALL(Dong2,ROWS($1:109)),),OFFSET(TH!O$1,SMALL(Dong2,ROWS($1:109)),)))</f>
        <v/>
      </c>
      <c r="F120" s="213" t="str">
        <f ca="1">IF(ROWS($1:109)&gt;COUNT(Dong2),"",IF(OFFSET(TH!N$1,SMALL(Dong2,ROWS($1:109)),)=$I$6,IF($I$6="1121",OFFSET(TH!M$1,SMALL(Dong2,ROWS($1:109)),),OFFSET(TH!K$1,SMALL(Dong2,ROWS($1:109)),)),0))</f>
        <v/>
      </c>
      <c r="G120" s="213" t="str">
        <f ca="1">IF(ROWS($1:109)&gt;COUNT(Dong2),"",IF(OFFSET(TH!O$1,SMALL(Dong2,ROWS($1:109)),)=$I$6,IF($I$6="1121",OFFSET(TH!M$1,SMALL(Dong2,ROWS($1:109)),),OFFSET(TH!K$1,SMALL(Dong2,ROWS($1:109)),)),0))</f>
        <v/>
      </c>
      <c r="H120" s="214">
        <f t="shared" ca="1" si="3"/>
        <v>0</v>
      </c>
      <c r="I120" s="214"/>
    </row>
    <row r="121" spans="1:11" s="200" customFormat="1" ht="20.25" customHeight="1">
      <c r="A121" s="212"/>
      <c r="B121" s="212"/>
      <c r="C121" s="212"/>
      <c r="D121" s="450"/>
      <c r="E121" s="212"/>
      <c r="F121" s="213"/>
      <c r="G121" s="213"/>
      <c r="H121" s="214"/>
      <c r="I121" s="214"/>
    </row>
    <row r="122" spans="1:11" s="211" customFormat="1" ht="20.25" customHeight="1">
      <c r="A122" s="215"/>
      <c r="B122" s="216"/>
      <c r="C122" s="215"/>
      <c r="D122" s="209" t="s">
        <v>238</v>
      </c>
      <c r="E122" s="217"/>
      <c r="F122" s="218">
        <f ca="1">SUM(F12:F121)</f>
        <v>4703520000</v>
      </c>
      <c r="G122" s="218">
        <f ca="1">SUM(G12:G121)</f>
        <v>4705250008</v>
      </c>
      <c r="H122" s="218">
        <f ca="1">H11+F122-G122</f>
        <v>2304945</v>
      </c>
      <c r="I122" s="217"/>
    </row>
    <row r="123" spans="1:11" s="211" customFormat="1" ht="20.25" customHeight="1">
      <c r="A123" s="215"/>
      <c r="B123" s="216"/>
      <c r="C123" s="215"/>
      <c r="D123" s="209" t="s">
        <v>13</v>
      </c>
      <c r="E123" s="217"/>
      <c r="F123" s="209"/>
      <c r="G123" s="209"/>
      <c r="H123" s="218">
        <f ca="1">H122</f>
        <v>2304945</v>
      </c>
      <c r="I123" s="217"/>
    </row>
    <row r="124" spans="1:11" s="211" customFormat="1" ht="22.5" customHeight="1">
      <c r="A124" s="488" t="s">
        <v>342</v>
      </c>
      <c r="B124" s="219"/>
      <c r="F124" s="220"/>
      <c r="I124" s="221"/>
    </row>
    <row r="125" spans="1:11" s="211" customFormat="1" ht="12.75">
      <c r="A125" s="263" t="str">
        <f ca="1">"- Ngày mở sổ: "&amp;DAY($A$12)&amp;"/"&amp;MONTH($A$12)&amp;"/ 2015"</f>
        <v>- Ngày mở sổ: 21/4/ 2015</v>
      </c>
      <c r="B125" s="222"/>
      <c r="F125" s="220"/>
      <c r="I125" s="221"/>
    </row>
    <row r="126" spans="1:11" s="211" customFormat="1" ht="12.75">
      <c r="A126" s="223"/>
      <c r="B126" s="224"/>
      <c r="C126" s="225"/>
      <c r="F126" s="220"/>
      <c r="G126" s="360" t="str">
        <f>"Ngày "&amp;IF(OR($N$9=3,$N$9=12),"31","30")&amp;" tháng "&amp;$N$9&amp;"  năm  2015 "</f>
        <v xml:space="preserve">Ngày 30 tháng 6  năm  2015 </v>
      </c>
    </row>
    <row r="127" spans="1:11" s="211" customFormat="1" ht="17.25" customHeight="1">
      <c r="B127" s="226" t="s">
        <v>14</v>
      </c>
      <c r="D127" s="226" t="s">
        <v>15</v>
      </c>
      <c r="F127" s="227"/>
      <c r="G127" s="429" t="s">
        <v>206</v>
      </c>
      <c r="H127" s="451"/>
      <c r="I127" s="451"/>
      <c r="J127" s="228"/>
      <c r="K127" s="223"/>
    </row>
    <row r="128" spans="1:11" s="211" customFormat="1" ht="12.75">
      <c r="B128" s="430" t="s">
        <v>16</v>
      </c>
      <c r="D128" s="229" t="s">
        <v>16</v>
      </c>
      <c r="F128" s="230"/>
      <c r="G128" s="431" t="s">
        <v>241</v>
      </c>
      <c r="K128" s="231"/>
    </row>
    <row r="135" spans="2:7">
      <c r="B135" s="439" t="s">
        <v>337</v>
      </c>
      <c r="G135" s="452"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8" customWidth="1"/>
    <col min="2" max="2" width="34" style="978" customWidth="1"/>
    <col min="3" max="3" width="10.5703125" style="267" customWidth="1"/>
    <col min="4" max="4" width="14" style="998" customWidth="1"/>
    <col min="5" max="5" width="10.85546875" style="267" customWidth="1"/>
    <col min="6" max="6" width="14" style="998" customWidth="1"/>
    <col min="7" max="7" width="12.7109375" style="267" customWidth="1"/>
    <col min="8" max="8" width="15.7109375" style="998" customWidth="1"/>
    <col min="9" max="9" width="15.5703125" style="267" customWidth="1"/>
    <col min="10" max="10" width="14.7109375" style="998" customWidth="1"/>
    <col min="11" max="11" width="11.140625" style="267" customWidth="1"/>
    <col min="12" max="12" width="12.5703125" style="998" customWidth="1"/>
    <col min="13" max="13" width="14.5703125" style="267" customWidth="1"/>
    <col min="14" max="14" width="14.42578125" style="998" customWidth="1"/>
    <col min="15" max="16384" width="8" style="978"/>
  </cols>
  <sheetData>
    <row r="1" spans="1:14" ht="21" customHeight="1">
      <c r="A1" s="1120" t="s">
        <v>786</v>
      </c>
      <c r="B1" s="1120"/>
      <c r="C1" s="1120"/>
      <c r="D1" s="1120"/>
      <c r="E1" s="1120"/>
      <c r="F1" s="1120"/>
      <c r="G1" s="1120"/>
      <c r="H1" s="1120"/>
      <c r="I1" s="1120"/>
      <c r="J1" s="1120"/>
      <c r="K1" s="1120"/>
      <c r="L1" s="1120"/>
      <c r="M1" s="1120"/>
      <c r="N1" s="1120"/>
    </row>
    <row r="2" spans="1:14" s="10" customFormat="1" ht="15.75" customHeight="1">
      <c r="A2" s="1121" t="s">
        <v>46</v>
      </c>
      <c r="B2" s="1122" t="s">
        <v>47</v>
      </c>
      <c r="C2" s="979" t="s">
        <v>48</v>
      </c>
      <c r="D2" s="980"/>
      <c r="E2" s="979"/>
      <c r="F2" s="980"/>
      <c r="G2" s="979" t="s">
        <v>49</v>
      </c>
      <c r="H2" s="980"/>
      <c r="I2" s="979"/>
      <c r="J2" s="980"/>
      <c r="K2" s="979" t="s">
        <v>60</v>
      </c>
      <c r="L2" s="980"/>
      <c r="M2" s="979"/>
      <c r="N2" s="980"/>
    </row>
    <row r="3" spans="1:14" s="10" customFormat="1" ht="15.75" customHeight="1">
      <c r="A3" s="1121"/>
      <c r="B3" s="1122"/>
      <c r="C3" s="1122" t="s">
        <v>61</v>
      </c>
      <c r="D3" s="1122"/>
      <c r="E3" s="1122" t="s">
        <v>62</v>
      </c>
      <c r="F3" s="1122"/>
      <c r="G3" s="1122" t="s">
        <v>61</v>
      </c>
      <c r="H3" s="1122"/>
      <c r="I3" s="1122" t="s">
        <v>62</v>
      </c>
      <c r="J3" s="1122"/>
      <c r="K3" s="1122" t="s">
        <v>61</v>
      </c>
      <c r="L3" s="1122"/>
      <c r="M3" s="1122" t="s">
        <v>62</v>
      </c>
      <c r="N3" s="1122"/>
    </row>
    <row r="4" spans="1:14" s="10" customFormat="1" ht="15.75" customHeight="1">
      <c r="A4" s="1121"/>
      <c r="B4" s="1122"/>
      <c r="C4" s="977" t="s">
        <v>354</v>
      </c>
      <c r="D4" s="981" t="s">
        <v>787</v>
      </c>
      <c r="E4" s="977" t="s">
        <v>354</v>
      </c>
      <c r="F4" s="981" t="s">
        <v>787</v>
      </c>
      <c r="G4" s="977" t="s">
        <v>354</v>
      </c>
      <c r="H4" s="981" t="s">
        <v>787</v>
      </c>
      <c r="I4" s="977" t="s">
        <v>354</v>
      </c>
      <c r="J4" s="981" t="s">
        <v>787</v>
      </c>
      <c r="K4" s="977" t="s">
        <v>354</v>
      </c>
      <c r="L4" s="981" t="s">
        <v>787</v>
      </c>
      <c r="M4" s="977" t="s">
        <v>354</v>
      </c>
      <c r="N4" s="981" t="s">
        <v>787</v>
      </c>
    </row>
    <row r="5" spans="1:14" s="10" customFormat="1" ht="18" customHeight="1">
      <c r="A5" s="982" t="str">
        <f>IF(B5&lt;&gt;"",ROW()-4,"")</f>
        <v/>
      </c>
      <c r="B5" s="272"/>
      <c r="C5" s="983">
        <v>0</v>
      </c>
      <c r="D5" s="984">
        <v>0</v>
      </c>
      <c r="E5" s="983">
        <v>0</v>
      </c>
      <c r="F5" s="984">
        <v>0</v>
      </c>
      <c r="G5" s="983">
        <f t="array" ref="G5">SUM(IF("131"&amp;B5=KHN&amp;KH,_TH))</f>
        <v>0</v>
      </c>
      <c r="H5" s="984">
        <f t="array" ref="H5">SUM(IF("131"&amp;B5=KHN&amp;KH,TH))</f>
        <v>0</v>
      </c>
      <c r="I5" s="983">
        <f t="array" ref="I5">SUM(IF("131"&amp;B5=KHC&amp;KH,_TH))</f>
        <v>0</v>
      </c>
      <c r="J5" s="984">
        <f t="array" ref="J5">SUM(IF("131"&amp;B5=KHC&amp;KH,TH))</f>
        <v>0</v>
      </c>
      <c r="K5" s="985">
        <f t="shared" ref="K5:K15" si="0">ROUND(MAX(C5+G5-E5-I5,0),2)</f>
        <v>0</v>
      </c>
      <c r="L5" s="986">
        <f t="shared" ref="L5:L15" si="1">ROUND(MAX(D5+H5-F5-J5,0),0)</f>
        <v>0</v>
      </c>
      <c r="M5" s="985">
        <f t="shared" ref="M5:M15" si="2">ROUND(MAX(E5+I5-C5-G5,0),2)</f>
        <v>0</v>
      </c>
      <c r="N5" s="986">
        <f t="shared" ref="N5:N15" si="3">ROUND(MAX(F5+J5-D5-H5,0),0)</f>
        <v>0</v>
      </c>
    </row>
    <row r="6" spans="1:14" s="10" customFormat="1" ht="18" customHeight="1">
      <c r="A6" s="982" t="str">
        <f t="shared" ref="A6:A15" si="4">IF(B6&lt;&gt;"",ROW()-4,"")</f>
        <v/>
      </c>
      <c r="B6" s="7"/>
      <c r="C6" s="983">
        <v>0</v>
      </c>
      <c r="D6" s="984">
        <v>0</v>
      </c>
      <c r="E6" s="983">
        <v>0</v>
      </c>
      <c r="F6" s="984">
        <v>0</v>
      </c>
      <c r="G6" s="983">
        <f t="array" ref="G6">SUM(IF("131"&amp;B6=KHN&amp;KH,_TH))</f>
        <v>0</v>
      </c>
      <c r="H6" s="984">
        <f t="array" ref="H6">SUM(IF("131"&amp;B6=KHN&amp;KH,TH))</f>
        <v>0</v>
      </c>
      <c r="I6" s="983">
        <f t="array" ref="I6">SUM(IF("131"&amp;B6=KHC&amp;KH,_TH))</f>
        <v>0</v>
      </c>
      <c r="J6" s="984">
        <f t="array" ref="J6">SUM(IF("131"&amp;B6=KHC&amp;KH,TH))</f>
        <v>0</v>
      </c>
      <c r="K6" s="987">
        <f t="shared" si="0"/>
        <v>0</v>
      </c>
      <c r="L6" s="483">
        <f t="shared" si="1"/>
        <v>0</v>
      </c>
      <c r="M6" s="987">
        <f t="shared" si="2"/>
        <v>0</v>
      </c>
      <c r="N6" s="483">
        <f t="shared" si="3"/>
        <v>0</v>
      </c>
    </row>
    <row r="7" spans="1:14" s="10" customFormat="1" ht="18" customHeight="1">
      <c r="A7" s="982" t="str">
        <f t="shared" si="4"/>
        <v/>
      </c>
      <c r="B7" s="7"/>
      <c r="C7" s="983">
        <v>0</v>
      </c>
      <c r="D7" s="984">
        <v>0</v>
      </c>
      <c r="E7" s="983">
        <v>0</v>
      </c>
      <c r="F7" s="984">
        <v>0</v>
      </c>
      <c r="G7" s="983">
        <f t="array" ref="G7">SUM(IF("131"&amp;B7=KHN&amp;KH,_TH))</f>
        <v>0</v>
      </c>
      <c r="H7" s="984">
        <f t="array" ref="H7">SUM(IF("131"&amp;B7=KHN&amp;KH,TH))</f>
        <v>0</v>
      </c>
      <c r="I7" s="983">
        <f t="array" ref="I7">SUM(IF("131"&amp;B7=KHC&amp;KH,_TH))</f>
        <v>0</v>
      </c>
      <c r="J7" s="984">
        <f t="array" ref="J7">SUM(IF("131"&amp;B7=KHC&amp;KH,TH))</f>
        <v>0</v>
      </c>
      <c r="K7" s="987">
        <f t="shared" si="0"/>
        <v>0</v>
      </c>
      <c r="L7" s="483">
        <f t="shared" si="1"/>
        <v>0</v>
      </c>
      <c r="M7" s="987">
        <f t="shared" si="2"/>
        <v>0</v>
      </c>
      <c r="N7" s="483">
        <f t="shared" si="3"/>
        <v>0</v>
      </c>
    </row>
    <row r="8" spans="1:14" s="10" customFormat="1" ht="18" customHeight="1">
      <c r="A8" s="982" t="str">
        <f t="shared" si="4"/>
        <v/>
      </c>
      <c r="B8" s="7"/>
      <c r="C8" s="983">
        <v>0</v>
      </c>
      <c r="D8" s="984">
        <v>0</v>
      </c>
      <c r="E8" s="983">
        <v>0</v>
      </c>
      <c r="F8" s="984">
        <v>0</v>
      </c>
      <c r="G8" s="983">
        <f t="array" ref="G8">SUM(IF("131"&amp;B8=KHN&amp;KH,_TH))</f>
        <v>0</v>
      </c>
      <c r="H8" s="984">
        <f t="array" ref="H8">SUM(IF("131"&amp;B8=KHN&amp;KH,TH))</f>
        <v>0</v>
      </c>
      <c r="I8" s="983">
        <f t="array" ref="I8">SUM(IF("131"&amp;B8=KHC&amp;KH,_TH))</f>
        <v>0</v>
      </c>
      <c r="J8" s="984">
        <f t="array" ref="J8">SUM(IF("131"&amp;B8=KHC&amp;KH,TH))</f>
        <v>0</v>
      </c>
      <c r="K8" s="987">
        <f t="shared" si="0"/>
        <v>0</v>
      </c>
      <c r="L8" s="483">
        <f t="shared" si="1"/>
        <v>0</v>
      </c>
      <c r="M8" s="987">
        <f t="shared" si="2"/>
        <v>0</v>
      </c>
      <c r="N8" s="483">
        <f t="shared" si="3"/>
        <v>0</v>
      </c>
    </row>
    <row r="9" spans="1:14" s="10" customFormat="1" ht="18" customHeight="1">
      <c r="A9" s="982" t="str">
        <f t="shared" si="4"/>
        <v/>
      </c>
      <c r="B9" s="7"/>
      <c r="C9" s="983">
        <v>0</v>
      </c>
      <c r="D9" s="984">
        <v>0</v>
      </c>
      <c r="E9" s="983">
        <v>0</v>
      </c>
      <c r="F9" s="984">
        <v>0</v>
      </c>
      <c r="G9" s="983">
        <f t="array" ref="G9">SUM(IF("131"&amp;B9=KHN&amp;KH,_TH))</f>
        <v>0</v>
      </c>
      <c r="H9" s="984">
        <f t="array" ref="H9">SUM(IF("131"&amp;B9=KHN&amp;KH,TH))</f>
        <v>0</v>
      </c>
      <c r="I9" s="983">
        <f t="array" ref="I9">SUM(IF("131"&amp;B9=KHC&amp;KH,_TH))</f>
        <v>0</v>
      </c>
      <c r="J9" s="984">
        <f t="array" ref="J9">SUM(IF("131"&amp;B9=KHC&amp;KH,TH))</f>
        <v>0</v>
      </c>
      <c r="K9" s="987">
        <f t="shared" si="0"/>
        <v>0</v>
      </c>
      <c r="L9" s="483">
        <f t="shared" si="1"/>
        <v>0</v>
      </c>
      <c r="M9" s="987">
        <f t="shared" si="2"/>
        <v>0</v>
      </c>
      <c r="N9" s="483">
        <f t="shared" si="3"/>
        <v>0</v>
      </c>
    </row>
    <row r="10" spans="1:14" s="10" customFormat="1" ht="18" customHeight="1">
      <c r="A10" s="982" t="str">
        <f t="shared" si="4"/>
        <v/>
      </c>
      <c r="B10" s="7"/>
      <c r="C10" s="983">
        <v>0</v>
      </c>
      <c r="D10" s="984">
        <v>0</v>
      </c>
      <c r="E10" s="983">
        <v>0</v>
      </c>
      <c r="F10" s="983">
        <v>0</v>
      </c>
      <c r="G10" s="983">
        <f t="array" ref="G10">SUM(IF("131"&amp;B10=KHN&amp;KH,_TH))</f>
        <v>0</v>
      </c>
      <c r="H10" s="984">
        <f t="array" ref="H10">SUM(IF("131"&amp;B10=KHN&amp;KH,TH))</f>
        <v>0</v>
      </c>
      <c r="I10" s="983">
        <f t="array" ref="I10">SUM(IF("131"&amp;B10=KHC&amp;KH,_TH))</f>
        <v>0</v>
      </c>
      <c r="J10" s="984">
        <f t="array" ref="J10">SUM(IF("131"&amp;B10=KHC&amp;KH,TH))</f>
        <v>0</v>
      </c>
      <c r="K10" s="987">
        <f t="shared" si="0"/>
        <v>0</v>
      </c>
      <c r="L10" s="483">
        <f t="shared" si="1"/>
        <v>0</v>
      </c>
      <c r="M10" s="987">
        <f t="shared" si="2"/>
        <v>0</v>
      </c>
      <c r="N10" s="483">
        <f t="shared" si="3"/>
        <v>0</v>
      </c>
    </row>
    <row r="11" spans="1:14" s="10" customFormat="1" ht="18" customHeight="1">
      <c r="A11" s="982" t="str">
        <f t="shared" si="4"/>
        <v/>
      </c>
      <c r="B11" s="7"/>
      <c r="C11" s="983">
        <v>0</v>
      </c>
      <c r="D11" s="984">
        <v>0</v>
      </c>
      <c r="E11" s="983">
        <v>0</v>
      </c>
      <c r="F11" s="983">
        <v>0</v>
      </c>
      <c r="G11" s="983">
        <f t="array" ref="G11">SUM(IF("131"&amp;B11=KHN&amp;KH,_TH))</f>
        <v>0</v>
      </c>
      <c r="H11" s="984">
        <f t="array" ref="H11">SUM(IF("131"&amp;B11=KHN&amp;KH,TH))</f>
        <v>0</v>
      </c>
      <c r="I11" s="983">
        <f t="array" ref="I11">SUM(IF("131"&amp;B11=KHC&amp;KH,_TH))</f>
        <v>0</v>
      </c>
      <c r="J11" s="984">
        <f t="array" ref="J11">SUM(IF("131"&amp;B11=KHC&amp;KH,TH))</f>
        <v>0</v>
      </c>
      <c r="K11" s="987">
        <f t="shared" si="0"/>
        <v>0</v>
      </c>
      <c r="L11" s="483">
        <f t="shared" si="1"/>
        <v>0</v>
      </c>
      <c r="M11" s="987">
        <f t="shared" si="2"/>
        <v>0</v>
      </c>
      <c r="N11" s="483">
        <f t="shared" si="3"/>
        <v>0</v>
      </c>
    </row>
    <row r="12" spans="1:14" s="10" customFormat="1" ht="18" customHeight="1">
      <c r="A12" s="982" t="str">
        <f t="shared" si="4"/>
        <v/>
      </c>
      <c r="B12" s="7"/>
      <c r="C12" s="983">
        <v>0</v>
      </c>
      <c r="D12" s="984">
        <v>0</v>
      </c>
      <c r="E12" s="983">
        <v>0</v>
      </c>
      <c r="F12" s="983">
        <v>0</v>
      </c>
      <c r="G12" s="983">
        <f t="array" ref="G12">SUM(IF("131"&amp;B12=KHN&amp;KH,_TH))</f>
        <v>0</v>
      </c>
      <c r="H12" s="984">
        <f t="array" ref="H12">SUM(IF("131"&amp;B12=KHN&amp;KH,TH))</f>
        <v>0</v>
      </c>
      <c r="I12" s="983">
        <f t="array" ref="I12">SUM(IF("131"&amp;B12=KHC&amp;KH,_TH))</f>
        <v>0</v>
      </c>
      <c r="J12" s="984">
        <f t="array" ref="J12">SUM(IF("131"&amp;B12=KHC&amp;KH,TH))</f>
        <v>0</v>
      </c>
      <c r="K12" s="987">
        <f t="shared" si="0"/>
        <v>0</v>
      </c>
      <c r="L12" s="483">
        <f t="shared" si="1"/>
        <v>0</v>
      </c>
      <c r="M12" s="987">
        <f t="shared" si="2"/>
        <v>0</v>
      </c>
      <c r="N12" s="483">
        <f t="shared" si="3"/>
        <v>0</v>
      </c>
    </row>
    <row r="13" spans="1:14" s="10" customFormat="1" ht="18" customHeight="1">
      <c r="A13" s="982" t="str">
        <f t="shared" si="4"/>
        <v/>
      </c>
      <c r="B13" s="988"/>
      <c r="C13" s="983">
        <v>0</v>
      </c>
      <c r="D13" s="984">
        <v>0</v>
      </c>
      <c r="E13" s="983">
        <v>0</v>
      </c>
      <c r="F13" s="983">
        <v>0</v>
      </c>
      <c r="G13" s="983">
        <f t="array" ref="G13">SUM(IF("131"&amp;B13=KHN&amp;KH,_TH))</f>
        <v>0</v>
      </c>
      <c r="H13" s="984">
        <f t="array" ref="H13">SUM(IF("131"&amp;B13=KHN&amp;KH,TH))</f>
        <v>0</v>
      </c>
      <c r="I13" s="983">
        <f t="array" ref="I13">SUM(IF("131"&amp;B13=KHC&amp;KH,_TH))</f>
        <v>0</v>
      </c>
      <c r="J13" s="984">
        <f t="array" ref="J13">SUM(IF("131"&amp;B13=KHC&amp;KH,TH))</f>
        <v>0</v>
      </c>
      <c r="K13" s="987">
        <f t="shared" si="0"/>
        <v>0</v>
      </c>
      <c r="L13" s="483">
        <f t="shared" si="1"/>
        <v>0</v>
      </c>
      <c r="M13" s="987">
        <f t="shared" si="2"/>
        <v>0</v>
      </c>
      <c r="N13" s="483">
        <f t="shared" si="3"/>
        <v>0</v>
      </c>
    </row>
    <row r="14" spans="1:14" s="10" customFormat="1" ht="18" customHeight="1">
      <c r="A14" s="982" t="str">
        <f t="shared" si="4"/>
        <v/>
      </c>
      <c r="B14" s="989"/>
      <c r="C14" s="983">
        <v>0</v>
      </c>
      <c r="D14" s="984">
        <v>0</v>
      </c>
      <c r="E14" s="983">
        <v>0</v>
      </c>
      <c r="F14" s="983">
        <v>0</v>
      </c>
      <c r="G14" s="983">
        <f t="array" ref="G14">SUM(IF("131"&amp;B14=KHN&amp;KH,_TH))</f>
        <v>0</v>
      </c>
      <c r="H14" s="984">
        <f t="array" ref="H14">SUM(IF("131"&amp;B14=KHN&amp;KH,TH))</f>
        <v>0</v>
      </c>
      <c r="I14" s="983">
        <f t="array" ref="I14">SUM(IF("131"&amp;B14=KHC&amp;KH,_TH))</f>
        <v>0</v>
      </c>
      <c r="J14" s="984">
        <f t="array" ref="J14">SUM(IF("131"&amp;B14=KHC&amp;KH,TH))</f>
        <v>0</v>
      </c>
      <c r="K14" s="987">
        <f t="shared" si="0"/>
        <v>0</v>
      </c>
      <c r="L14" s="483">
        <f t="shared" si="1"/>
        <v>0</v>
      </c>
      <c r="M14" s="987">
        <f t="shared" si="2"/>
        <v>0</v>
      </c>
      <c r="N14" s="483">
        <f t="shared" si="3"/>
        <v>0</v>
      </c>
    </row>
    <row r="15" spans="1:14" s="10" customFormat="1" ht="18" customHeight="1">
      <c r="A15" s="982" t="str">
        <f t="shared" si="4"/>
        <v/>
      </c>
      <c r="B15" s="989"/>
      <c r="C15" s="983">
        <v>0</v>
      </c>
      <c r="D15" s="984">
        <v>0</v>
      </c>
      <c r="E15" s="983">
        <v>0</v>
      </c>
      <c r="F15" s="983">
        <v>0</v>
      </c>
      <c r="G15" s="983">
        <f t="array" ref="G15">SUM(IF("131"&amp;B15=KHN&amp;KH,_TH))</f>
        <v>0</v>
      </c>
      <c r="H15" s="984">
        <f t="array" ref="H15">SUM(IF("131"&amp;B15=KHN&amp;KH,TH))</f>
        <v>0</v>
      </c>
      <c r="I15" s="983">
        <f t="array" ref="I15">SUM(IF("131"&amp;B15=KHC&amp;KH,_TH))</f>
        <v>0</v>
      </c>
      <c r="J15" s="984">
        <f t="array" ref="J15">SUM(IF("131"&amp;B15=KHC&amp;KH,TH))</f>
        <v>0</v>
      </c>
      <c r="K15" s="987">
        <f t="shared" si="0"/>
        <v>0</v>
      </c>
      <c r="L15" s="483">
        <f t="shared" si="1"/>
        <v>0</v>
      </c>
      <c r="M15" s="987">
        <f t="shared" si="2"/>
        <v>0</v>
      </c>
      <c r="N15" s="483">
        <f t="shared" si="3"/>
        <v>0</v>
      </c>
    </row>
    <row r="16" spans="1:14" s="10" customFormat="1" ht="18" customHeight="1">
      <c r="A16" s="990"/>
      <c r="B16" s="991"/>
      <c r="C16" s="983"/>
      <c r="D16" s="984"/>
      <c r="E16" s="992"/>
      <c r="F16" s="992"/>
      <c r="G16" s="992"/>
      <c r="H16" s="993"/>
      <c r="I16" s="992"/>
      <c r="J16" s="993"/>
      <c r="K16" s="994"/>
      <c r="L16" s="995"/>
      <c r="M16" s="994"/>
      <c r="N16" s="995"/>
    </row>
    <row r="17" spans="1:14" ht="18" customHeight="1">
      <c r="A17" s="11"/>
      <c r="B17" s="12" t="s">
        <v>56</v>
      </c>
      <c r="C17" s="996">
        <f t="shared" ref="C17:N17" si="5">SUM(C5:C16)</f>
        <v>0</v>
      </c>
      <c r="D17" s="997">
        <f t="shared" si="5"/>
        <v>0</v>
      </c>
      <c r="E17" s="996">
        <f t="shared" si="5"/>
        <v>0</v>
      </c>
      <c r="F17" s="997">
        <f t="shared" si="5"/>
        <v>0</v>
      </c>
      <c r="G17" s="996">
        <f t="shared" si="5"/>
        <v>0</v>
      </c>
      <c r="H17" s="997">
        <f t="shared" si="5"/>
        <v>0</v>
      </c>
      <c r="I17" s="996">
        <f t="shared" si="5"/>
        <v>0</v>
      </c>
      <c r="J17" s="997">
        <f t="shared" si="5"/>
        <v>0</v>
      </c>
      <c r="K17" s="996">
        <f t="shared" si="5"/>
        <v>0</v>
      </c>
      <c r="L17" s="997">
        <f t="shared" si="5"/>
        <v>0</v>
      </c>
      <c r="M17" s="996">
        <f t="shared" si="5"/>
        <v>0</v>
      </c>
      <c r="N17" s="997">
        <f t="shared" si="5"/>
        <v>0</v>
      </c>
    </row>
    <row r="19" spans="1:14">
      <c r="H19" s="998">
        <f>CDPS!E15</f>
        <v>0</v>
      </c>
      <c r="J19" s="998">
        <f>CDPS!F15</f>
        <v>0</v>
      </c>
    </row>
    <row r="21" spans="1:14">
      <c r="H21" s="998">
        <f>H17-H19</f>
        <v>0</v>
      </c>
      <c r="I21" s="998"/>
      <c r="J21" s="998">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76" customFormat="1" ht="16.5" customHeight="1">
      <c r="A2" s="999" t="s">
        <v>514</v>
      </c>
      <c r="B2" s="1000"/>
      <c r="C2" s="1001"/>
      <c r="D2" s="560"/>
      <c r="E2" s="1002"/>
      <c r="G2" s="1003"/>
      <c r="H2" s="1004"/>
      <c r="I2" s="1005"/>
      <c r="J2" s="1006"/>
      <c r="K2" s="2"/>
      <c r="L2" s="2"/>
      <c r="M2" s="975" t="s">
        <v>788</v>
      </c>
      <c r="N2" s="2"/>
      <c r="O2" s="2"/>
    </row>
    <row r="3" spans="1:15" s="976" customFormat="1" ht="16.5" customHeight="1">
      <c r="A3" s="1123" t="s">
        <v>789</v>
      </c>
      <c r="B3" s="1123"/>
      <c r="C3" s="1123"/>
      <c r="D3" s="1123"/>
      <c r="E3" s="1002"/>
      <c r="G3" s="1003"/>
      <c r="H3" s="1004"/>
      <c r="I3" s="1007"/>
      <c r="J3" s="1008"/>
      <c r="K3" s="17"/>
      <c r="L3" s="17"/>
      <c r="M3" s="1009" t="s">
        <v>517</v>
      </c>
      <c r="N3" s="17"/>
      <c r="O3" s="17"/>
    </row>
    <row r="4" spans="1:15" s="976" customFormat="1" ht="16.5" customHeight="1">
      <c r="A4" s="1010"/>
      <c r="B4" s="1010"/>
      <c r="C4" s="1010"/>
      <c r="D4" s="1010"/>
      <c r="E4" s="1002"/>
      <c r="G4" s="1003" t="s">
        <v>790</v>
      </c>
      <c r="H4" s="1004"/>
      <c r="I4" s="1007"/>
      <c r="J4" s="1008"/>
      <c r="K4" s="17"/>
      <c r="L4" s="17"/>
      <c r="M4" s="1009" t="s">
        <v>518</v>
      </c>
      <c r="N4" s="17"/>
      <c r="O4" s="17"/>
    </row>
    <row r="5" spans="1:15" s="976" customFormat="1" ht="6.75" customHeight="1">
      <c r="A5" s="1011"/>
      <c r="B5" s="1011"/>
      <c r="C5" s="1011"/>
      <c r="E5" s="1002"/>
      <c r="G5" s="1003"/>
      <c r="H5" s="1004"/>
      <c r="I5" s="1007"/>
      <c r="J5" s="1008"/>
      <c r="K5" s="1012"/>
      <c r="L5" s="972"/>
      <c r="M5" s="972"/>
      <c r="N5" s="972"/>
      <c r="O5" s="972"/>
    </row>
    <row r="6" spans="1:15" s="5" customFormat="1" ht="23.25" customHeight="1">
      <c r="A6" s="1124" t="s">
        <v>791</v>
      </c>
      <c r="B6" s="1124"/>
      <c r="C6" s="1124"/>
      <c r="D6" s="1124"/>
      <c r="E6" s="1124"/>
      <c r="F6" s="1124"/>
      <c r="G6" s="1124"/>
      <c r="H6" s="1124"/>
      <c r="I6" s="1124"/>
      <c r="J6" s="1124"/>
      <c r="K6" s="1124"/>
      <c r="L6" s="1124"/>
      <c r="M6" s="1124"/>
      <c r="N6" s="1124"/>
      <c r="O6" s="1124"/>
    </row>
    <row r="7" spans="1:15" s="5" customFormat="1" ht="15">
      <c r="H7" s="973" t="s">
        <v>34</v>
      </c>
    </row>
    <row r="8" spans="1:15" s="5" customFormat="1" ht="15">
      <c r="H8" s="973" t="s">
        <v>792</v>
      </c>
    </row>
    <row r="9" spans="1:15" s="5" customFormat="1" ht="15">
      <c r="G9" s="284" t="s">
        <v>793</v>
      </c>
      <c r="H9" s="1125" t="s">
        <v>797</v>
      </c>
      <c r="I9" s="1125"/>
      <c r="J9" s="1125"/>
    </row>
    <row r="10" spans="1:15" s="5" customFormat="1" ht="15">
      <c r="H10" s="973" t="s">
        <v>352</v>
      </c>
    </row>
    <row r="11" spans="1:15" s="5" customFormat="1" ht="15">
      <c r="A11" s="4"/>
      <c r="B11" s="4"/>
      <c r="C11" s="1013"/>
      <c r="D11" s="1013"/>
      <c r="E11" s="1013"/>
      <c r="F11" s="1013"/>
      <c r="G11" s="1013"/>
      <c r="H11" s="1013"/>
      <c r="I11" s="1013"/>
      <c r="J11" s="1013"/>
      <c r="K11" s="1013"/>
      <c r="L11" s="1013"/>
      <c r="M11" s="1013"/>
      <c r="N11" s="1013"/>
      <c r="O11" s="1013"/>
    </row>
    <row r="12" spans="1:15" s="973" customFormat="1" ht="15.75" customHeight="1">
      <c r="A12" s="1126" t="s">
        <v>27</v>
      </c>
      <c r="B12" s="1129" t="s">
        <v>1</v>
      </c>
      <c r="C12" s="1130"/>
      <c r="D12" s="1126" t="s">
        <v>0</v>
      </c>
      <c r="E12" s="1126" t="s">
        <v>19</v>
      </c>
      <c r="F12" s="1126" t="s">
        <v>353</v>
      </c>
      <c r="G12" s="1131" t="s">
        <v>794</v>
      </c>
      <c r="H12" s="1129" t="s">
        <v>28</v>
      </c>
      <c r="I12" s="1134"/>
      <c r="J12" s="1134"/>
      <c r="K12" s="1130"/>
      <c r="L12" s="1129" t="s">
        <v>38</v>
      </c>
      <c r="M12" s="1135"/>
      <c r="N12" s="1135"/>
      <c r="O12" s="1136"/>
    </row>
    <row r="13" spans="1:15" s="973" customFormat="1" ht="15.75" customHeight="1">
      <c r="A13" s="1127"/>
      <c r="B13" s="1137" t="s">
        <v>20</v>
      </c>
      <c r="C13" s="1137" t="s">
        <v>39</v>
      </c>
      <c r="D13" s="1127"/>
      <c r="E13" s="1127"/>
      <c r="F13" s="1127"/>
      <c r="G13" s="1132"/>
      <c r="H13" s="1139" t="s">
        <v>29</v>
      </c>
      <c r="I13" s="1140"/>
      <c r="J13" s="1139" t="s">
        <v>30</v>
      </c>
      <c r="K13" s="1140"/>
      <c r="L13" s="1139" t="s">
        <v>29</v>
      </c>
      <c r="M13" s="1136"/>
      <c r="N13" s="1139" t="s">
        <v>30</v>
      </c>
      <c r="O13" s="1136"/>
    </row>
    <row r="14" spans="1:15" s="973" customFormat="1" ht="27.75" customHeight="1">
      <c r="A14" s="1128"/>
      <c r="B14" s="1138"/>
      <c r="C14" s="1138"/>
      <c r="D14" s="1128"/>
      <c r="E14" s="1128"/>
      <c r="F14" s="1128"/>
      <c r="G14" s="1133"/>
      <c r="H14" s="1014" t="s">
        <v>354</v>
      </c>
      <c r="I14" s="1015" t="s">
        <v>355</v>
      </c>
      <c r="J14" s="1016" t="s">
        <v>354</v>
      </c>
      <c r="K14" s="1015" t="s">
        <v>355</v>
      </c>
      <c r="L14" s="1017" t="s">
        <v>354</v>
      </c>
      <c r="M14" s="1017" t="s">
        <v>355</v>
      </c>
      <c r="N14" s="1017" t="s">
        <v>354</v>
      </c>
      <c r="O14" s="1017" t="s">
        <v>355</v>
      </c>
    </row>
    <row r="15" spans="1:15" s="973" customFormat="1" ht="15">
      <c r="A15" s="1018" t="s">
        <v>2</v>
      </c>
      <c r="B15" s="1019" t="s">
        <v>3</v>
      </c>
      <c r="C15" s="1018" t="s">
        <v>4</v>
      </c>
      <c r="D15" s="1018" t="s">
        <v>5</v>
      </c>
      <c r="E15" s="1018" t="s">
        <v>6</v>
      </c>
      <c r="F15" s="1018">
        <v>1</v>
      </c>
      <c r="G15" s="1018">
        <v>2</v>
      </c>
      <c r="H15" s="1018">
        <v>3</v>
      </c>
      <c r="I15" s="1018">
        <v>4</v>
      </c>
      <c r="J15" s="1018">
        <v>5</v>
      </c>
      <c r="K15" s="1018">
        <v>6</v>
      </c>
      <c r="L15" s="1018">
        <v>7</v>
      </c>
      <c r="M15" s="1018">
        <v>8</v>
      </c>
      <c r="N15" s="1018">
        <v>9</v>
      </c>
      <c r="O15" s="1018">
        <v>10</v>
      </c>
    </row>
    <row r="16" spans="1:15" s="5" customFormat="1" ht="16.5" customHeight="1">
      <c r="A16" s="1020"/>
      <c r="B16" s="1020"/>
      <c r="C16" s="1020"/>
      <c r="D16" s="1021" t="s">
        <v>7</v>
      </c>
      <c r="E16" s="1020"/>
      <c r="F16" s="1018"/>
      <c r="G16" s="1022"/>
      <c r="H16" s="1023"/>
      <c r="I16" s="1022"/>
      <c r="J16" s="1024"/>
      <c r="K16" s="1022"/>
      <c r="L16" s="1023" t="e">
        <f>VLOOKUP($H$9,'131'!$B$5:$F$15,2,0)</f>
        <v>#N/A</v>
      </c>
      <c r="M16" s="1025" t="e">
        <f>VLOOKUP($H$9,'131'!$B$5:$F$15,3,0)</f>
        <v>#N/A</v>
      </c>
      <c r="N16" s="1023" t="e">
        <f>VLOOKUP($H$9,'131'!$B$5:$F$15,4,0)</f>
        <v>#N/A</v>
      </c>
      <c r="O16" s="1025" t="e">
        <f>VLOOKUP($H$9,'131'!$B$5:$F$15,5,0)</f>
        <v>#N/A</v>
      </c>
    </row>
    <row r="17" spans="1:15" s="5" customFormat="1" ht="16.5" customHeight="1">
      <c r="A17" s="254" t="str">
        <f t="shared" ref="A17:A31" ca="1" si="0">IF(C17&lt;&gt;"",C17,"")</f>
        <v/>
      </c>
      <c r="B17" s="265" t="str">
        <f ca="1">IF(ROWS($1:1)&gt;COUNT(Dong14),"",OFFSET(TH!D$1,SMALL(Dong14,ROWS($1:1)),))</f>
        <v/>
      </c>
      <c r="C17" s="254" t="str">
        <f ca="1">IF(ROWS($1:1)&gt;COUNT(Dong14),"",OFFSET(TH!E$1,SMALL(Dong14,ROWS($1:1)),))</f>
        <v/>
      </c>
      <c r="D17" s="1026" t="str">
        <f ca="1">IF(ROWS($1:1)&gt;COUNT(Dong14),"",OFFSET(TH!F$1,SMALL(Dong14,ROWS($1:1)),))</f>
        <v/>
      </c>
      <c r="E17" s="1027" t="str">
        <f ca="1">IF(ROWS($1:1)&gt;COUNT(Dong14),"",IF(OFFSET(TH!N$1,SMALL(Dong14,ROWS($1:1)),)="131",OFFSET(TH!O$1,SMALL(Dong14,ROWS($1:1)),),OFFSET(TH!N$1,SMALL(Dong14,ROWS($1:1)),)))</f>
        <v/>
      </c>
      <c r="F17" s="1027">
        <f ca="1">IF(ROWS($1:1)&gt;COUNT(Dong14),0,OFFSET(TH!L$1,SMALL(Dong14,ROWS($1:1)),))</f>
        <v>0</v>
      </c>
      <c r="G17" s="1027"/>
      <c r="H17" s="1028">
        <f ca="1">IF(ROWS($1:1)&gt;COUNT(Dong14),0,IF(OFFSET(TH!N$1,SMALL(Dong14,ROWS($1:1)),)="131",OFFSET(TH!K$1,SMALL(Dong14,ROWS($1:1)),),0))</f>
        <v>0</v>
      </c>
      <c r="I17" s="1027">
        <f ca="1">IF(ROWS($1:1)&gt;COUNT(Dong14),0,IF(OFFSET(TH!N$1,SMALL(Dong14,ROWS($1:1)),)="131",OFFSET(TH!M$1,SMALL(Dong14,ROWS($1:1)),),0))</f>
        <v>0</v>
      </c>
      <c r="J17" s="1028">
        <f ca="1">IF(ROWS($1:1)&gt;COUNT(Dong14),0,IF(OFFSET(TH!O$1,SMALL(Dong14,ROWS($1:1)),)="131",OFFSET(TH!K$1,SMALL(Dong14,ROWS($1:1)),),0))</f>
        <v>0</v>
      </c>
      <c r="K17" s="1027">
        <f ca="1">IF(ROWS($1:1)&gt;COUNT(Dong14),0,IF(OFFSET(TH!O$1,SMALL(Dong14,ROWS($1:1)),)="131",OFFSET(TH!M$1,SMALL(Dong14,ROWS($1:1)),),0))</f>
        <v>0</v>
      </c>
      <c r="L17" s="1029">
        <f ca="1">IF(D17&lt;&gt;"",ROUND(MAX(L16+H17-J17-N16,0),2),0)</f>
        <v>0</v>
      </c>
      <c r="M17" s="1030">
        <f ca="1">IF(D17&lt;&gt;"",MAX(M16-O16+I17-K17,0),0)</f>
        <v>0</v>
      </c>
      <c r="N17" s="1029">
        <f ca="1">IF(D17&lt;&gt;"",ROUND(MAX(N16+J17-H17-L16,0),2),0)</f>
        <v>0</v>
      </c>
      <c r="O17" s="1030">
        <f ca="1">IF(D17&lt;&gt;"",MAX(O16-M16+K17-I17,0),0)</f>
        <v>0</v>
      </c>
    </row>
    <row r="18" spans="1:15" s="5" customFormat="1" ht="16.5" customHeight="1">
      <c r="A18" s="254" t="str">
        <f t="shared" ca="1" si="0"/>
        <v/>
      </c>
      <c r="B18" s="265" t="str">
        <f ca="1">IF(ROWS($1:2)&gt;COUNT(Dong14),"",OFFSET(TH!D$1,SMALL(Dong14,ROWS($1:2)),))</f>
        <v/>
      </c>
      <c r="C18" s="254" t="str">
        <f ca="1">IF(ROWS($1:2)&gt;COUNT(Dong14),"",OFFSET(TH!E$1,SMALL(Dong14,ROWS($1:2)),))</f>
        <v/>
      </c>
      <c r="D18" s="1026" t="str">
        <f ca="1">IF(ROWS($1:2)&gt;COUNT(Dong14),"",OFFSET(TH!F$1,SMALL(Dong14,ROWS($1:2)),))</f>
        <v/>
      </c>
      <c r="E18" s="1027" t="str">
        <f ca="1">IF(ROWS($1:2)&gt;COUNT(Dong14),"",IF(OFFSET(TH!N$1,SMALL(Dong14,ROWS($1:2)),)="131",OFFSET(TH!O$1,SMALL(Dong14,ROWS($1:2)),),OFFSET(TH!N$1,SMALL(Dong14,ROWS($1:2)),)))</f>
        <v/>
      </c>
      <c r="F18" s="1027">
        <f ca="1">IF(ROWS($1:2)&gt;COUNT(Dong14),0,OFFSET(TH!L$1,SMALL(Dong14,ROWS($1:2)),))</f>
        <v>0</v>
      </c>
      <c r="G18" s="1027"/>
      <c r="H18" s="1028">
        <f ca="1">IF(ROWS($1:2)&gt;COUNT(Dong14),0,IF(OFFSET(TH!N$1,SMALL(Dong14,ROWS($1:2)),)="131",OFFSET(TH!K$1,SMALL(Dong14,ROWS($1:2)),),0))</f>
        <v>0</v>
      </c>
      <c r="I18" s="1027">
        <f ca="1">IF(ROWS($1:2)&gt;COUNT(Dong14),0,IF(OFFSET(TH!N$1,SMALL(Dong14,ROWS($1:2)),)="131",OFFSET(TH!M$1,SMALL(Dong14,ROWS($1:2)),),0))</f>
        <v>0</v>
      </c>
      <c r="J18" s="1028">
        <f ca="1">IF(ROWS($1:2)&gt;COUNT(Dong14),0,IF(OFFSET(TH!O$1,SMALL(Dong14,ROWS($1:2)),)="131",OFFSET(TH!K$1,SMALL(Dong14,ROWS($1:2)),),0))</f>
        <v>0</v>
      </c>
      <c r="K18" s="1027">
        <f ca="1">IF(ROWS($1:2)&gt;COUNT(Dong14),0,IF(OFFSET(TH!O$1,SMALL(Dong14,ROWS($1:2)),)="131",OFFSET(TH!M$1,SMALL(Dong14,ROWS($1:2)),),0))</f>
        <v>0</v>
      </c>
      <c r="L18" s="1029">
        <f t="shared" ref="L18:L30" ca="1" si="1">IF(D18&lt;&gt;"",ROUND(MAX(L17+H18-J18-N17,0),2),0)</f>
        <v>0</v>
      </c>
      <c r="M18" s="1030">
        <f t="shared" ref="M18:M30" ca="1" si="2">IF(D18&lt;&gt;"",MAX(M17-O17+I18-K18,0),0)</f>
        <v>0</v>
      </c>
      <c r="N18" s="1029">
        <f t="shared" ref="N18:N30" ca="1" si="3">IF(D18&lt;&gt;"",ROUND(MAX(N17+J18-H18-L17,0),2),0)</f>
        <v>0</v>
      </c>
      <c r="O18" s="1030">
        <f t="shared" ref="O18:O30" ca="1" si="4">IF(D18&lt;&gt;"",MAX(O17-M17+K18-I18,0),0)</f>
        <v>0</v>
      </c>
    </row>
    <row r="19" spans="1:15" s="5" customFormat="1" ht="16.5" customHeight="1">
      <c r="A19" s="254" t="str">
        <f t="shared" ca="1" si="0"/>
        <v/>
      </c>
      <c r="B19" s="265" t="str">
        <f ca="1">IF(ROWS($1:3)&gt;COUNT(Dong14),"",OFFSET(TH!D$1,SMALL(Dong14,ROWS($1:3)),))</f>
        <v/>
      </c>
      <c r="C19" s="254" t="str">
        <f ca="1">IF(ROWS($1:3)&gt;COUNT(Dong14),"",OFFSET(TH!E$1,SMALL(Dong14,ROWS($1:3)),))</f>
        <v/>
      </c>
      <c r="D19" s="1026" t="str">
        <f ca="1">IF(ROWS($1:3)&gt;COUNT(Dong14),"",OFFSET(TH!F$1,SMALL(Dong14,ROWS($1:3)),))</f>
        <v/>
      </c>
      <c r="E19" s="1027" t="str">
        <f ca="1">IF(ROWS($1:3)&gt;COUNT(Dong14),"",IF(OFFSET(TH!N$1,SMALL(Dong14,ROWS($1:3)),)="131",OFFSET(TH!O$1,SMALL(Dong14,ROWS($1:3)),),OFFSET(TH!N$1,SMALL(Dong14,ROWS($1:3)),)))</f>
        <v/>
      </c>
      <c r="F19" s="1027">
        <f ca="1">IF(ROWS($1:3)&gt;COUNT(Dong14),0,OFFSET(TH!L$1,SMALL(Dong14,ROWS($1:3)),))</f>
        <v>0</v>
      </c>
      <c r="G19" s="1027"/>
      <c r="H19" s="1028">
        <f ca="1">IF(ROWS($1:3)&gt;COUNT(Dong14),0,IF(OFFSET(TH!N$1,SMALL(Dong14,ROWS($1:3)),)="131",OFFSET(TH!K$1,SMALL(Dong14,ROWS($1:3)),),0))</f>
        <v>0</v>
      </c>
      <c r="I19" s="1027">
        <f ca="1">IF(ROWS($1:3)&gt;COUNT(Dong14),0,IF(OFFSET(TH!N$1,SMALL(Dong14,ROWS($1:3)),)="131",OFFSET(TH!M$1,SMALL(Dong14,ROWS($1:3)),),0))</f>
        <v>0</v>
      </c>
      <c r="J19" s="1028">
        <f ca="1">IF(ROWS($1:3)&gt;COUNT(Dong14),0,IF(OFFSET(TH!O$1,SMALL(Dong14,ROWS($1:3)),)="131",OFFSET(TH!K$1,SMALL(Dong14,ROWS($1:3)),),0))</f>
        <v>0</v>
      </c>
      <c r="K19" s="1027">
        <f ca="1">IF(ROWS($1:3)&gt;COUNT(Dong14),0,IF(OFFSET(TH!O$1,SMALL(Dong14,ROWS($1:3)),)="131",OFFSET(TH!M$1,SMALL(Dong14,ROWS($1:3)),),0))</f>
        <v>0</v>
      </c>
      <c r="L19" s="1029">
        <f t="shared" ca="1" si="1"/>
        <v>0</v>
      </c>
      <c r="M19" s="1030">
        <f t="shared" ca="1" si="2"/>
        <v>0</v>
      </c>
      <c r="N19" s="1029">
        <f t="shared" ca="1" si="3"/>
        <v>0</v>
      </c>
      <c r="O19" s="1030">
        <f t="shared" ca="1" si="4"/>
        <v>0</v>
      </c>
    </row>
    <row r="20" spans="1:15" s="5" customFormat="1" ht="16.5" customHeight="1">
      <c r="A20" s="254" t="str">
        <f t="shared" ca="1" si="0"/>
        <v/>
      </c>
      <c r="B20" s="265" t="str">
        <f ca="1">IF(ROWS($1:4)&gt;COUNT(Dong14),"",OFFSET(TH!D$1,SMALL(Dong14,ROWS($1:4)),))</f>
        <v/>
      </c>
      <c r="C20" s="254" t="str">
        <f ca="1">IF(ROWS($1:4)&gt;COUNT(Dong14),"",OFFSET(TH!E$1,SMALL(Dong14,ROWS($1:4)),))</f>
        <v/>
      </c>
      <c r="D20" s="1026" t="str">
        <f ca="1">IF(ROWS($1:4)&gt;COUNT(Dong14),"",OFFSET(TH!F$1,SMALL(Dong14,ROWS($1:4)),))</f>
        <v/>
      </c>
      <c r="E20" s="1027" t="str">
        <f ca="1">IF(ROWS($1:4)&gt;COUNT(Dong14),"",IF(OFFSET(TH!N$1,SMALL(Dong14,ROWS($1:4)),)="131",OFFSET(TH!O$1,SMALL(Dong14,ROWS($1:4)),),OFFSET(TH!N$1,SMALL(Dong14,ROWS($1:4)),)))</f>
        <v/>
      </c>
      <c r="F20" s="1027">
        <f ca="1">IF(ROWS($1:4)&gt;COUNT(Dong14),0,OFFSET(TH!L$1,SMALL(Dong14,ROWS($1:4)),))</f>
        <v>0</v>
      </c>
      <c r="G20" s="1027"/>
      <c r="H20" s="1028">
        <f ca="1">IF(ROWS($1:4)&gt;COUNT(Dong14),0,IF(OFFSET(TH!N$1,SMALL(Dong14,ROWS($1:4)),)="131",OFFSET(TH!K$1,SMALL(Dong14,ROWS($1:4)),),0))</f>
        <v>0</v>
      </c>
      <c r="I20" s="1027">
        <f ca="1">IF(ROWS($1:4)&gt;COUNT(Dong14),0,IF(OFFSET(TH!N$1,SMALL(Dong14,ROWS($1:4)),)="131",OFFSET(TH!M$1,SMALL(Dong14,ROWS($1:4)),),0))</f>
        <v>0</v>
      </c>
      <c r="J20" s="1028">
        <f ca="1">IF(ROWS($1:4)&gt;COUNT(Dong14),0,IF(OFFSET(TH!O$1,SMALL(Dong14,ROWS($1:4)),)="131",OFFSET(TH!K$1,SMALL(Dong14,ROWS($1:4)),),0))</f>
        <v>0</v>
      </c>
      <c r="K20" s="1027">
        <f ca="1">IF(ROWS($1:4)&gt;COUNT(Dong14),0,IF(OFFSET(TH!O$1,SMALL(Dong14,ROWS($1:4)),)="131",OFFSET(TH!M$1,SMALL(Dong14,ROWS($1:4)),),0))</f>
        <v>0</v>
      </c>
      <c r="L20" s="1029">
        <f t="shared" ca="1" si="1"/>
        <v>0</v>
      </c>
      <c r="M20" s="1030">
        <f t="shared" ca="1" si="2"/>
        <v>0</v>
      </c>
      <c r="N20" s="1029">
        <f t="shared" ca="1" si="3"/>
        <v>0</v>
      </c>
      <c r="O20" s="1030">
        <f t="shared" ca="1" si="4"/>
        <v>0</v>
      </c>
    </row>
    <row r="21" spans="1:15" s="5" customFormat="1" ht="16.5" customHeight="1">
      <c r="A21" s="254" t="str">
        <f t="shared" ca="1" si="0"/>
        <v/>
      </c>
      <c r="B21" s="265" t="str">
        <f ca="1">IF(ROWS($1:5)&gt;COUNT(Dong14),"",OFFSET(TH!D$1,SMALL(Dong14,ROWS($1:5)),))</f>
        <v/>
      </c>
      <c r="C21" s="254" t="str">
        <f ca="1">IF(ROWS($1:5)&gt;COUNT(Dong14),"",OFFSET(TH!E$1,SMALL(Dong14,ROWS($1:5)),))</f>
        <v/>
      </c>
      <c r="D21" s="1026" t="str">
        <f ca="1">IF(ROWS($1:5)&gt;COUNT(Dong14),"",OFFSET(TH!F$1,SMALL(Dong14,ROWS($1:5)),))</f>
        <v/>
      </c>
      <c r="E21" s="1027" t="str">
        <f ca="1">IF(ROWS($1:5)&gt;COUNT(Dong14),"",IF(OFFSET(TH!N$1,SMALL(Dong14,ROWS($1:5)),)="131",OFFSET(TH!O$1,SMALL(Dong14,ROWS($1:5)),),OFFSET(TH!N$1,SMALL(Dong14,ROWS($1:5)),)))</f>
        <v/>
      </c>
      <c r="F21" s="1027">
        <f ca="1">IF(ROWS($1:5)&gt;COUNT(Dong14),0,OFFSET(TH!L$1,SMALL(Dong14,ROWS($1:5)),))</f>
        <v>0</v>
      </c>
      <c r="G21" s="1027"/>
      <c r="H21" s="1028">
        <f ca="1">IF(ROWS($1:5)&gt;COUNT(Dong14),0,IF(OFFSET(TH!N$1,SMALL(Dong14,ROWS($1:5)),)="131",OFFSET(TH!K$1,SMALL(Dong14,ROWS($1:5)),),0))</f>
        <v>0</v>
      </c>
      <c r="I21" s="1027">
        <f ca="1">IF(ROWS($1:5)&gt;COUNT(Dong14),0,IF(OFFSET(TH!N$1,SMALL(Dong14,ROWS($1:5)),)="131",OFFSET(TH!M$1,SMALL(Dong14,ROWS($1:5)),),0))</f>
        <v>0</v>
      </c>
      <c r="J21" s="1028">
        <f ca="1">IF(ROWS($1:5)&gt;COUNT(Dong14),0,IF(OFFSET(TH!O$1,SMALL(Dong14,ROWS($1:5)),)="131",OFFSET(TH!K$1,SMALL(Dong14,ROWS($1:5)),),0))</f>
        <v>0</v>
      </c>
      <c r="K21" s="1027">
        <f ca="1">IF(ROWS($1:5)&gt;COUNT(Dong14),0,IF(OFFSET(TH!O$1,SMALL(Dong14,ROWS($1:5)),)="131",OFFSET(TH!M$1,SMALL(Dong14,ROWS($1:5)),),0))</f>
        <v>0</v>
      </c>
      <c r="L21" s="1029">
        <f t="shared" ca="1" si="1"/>
        <v>0</v>
      </c>
      <c r="M21" s="1030">
        <f t="shared" ca="1" si="2"/>
        <v>0</v>
      </c>
      <c r="N21" s="1029">
        <f t="shared" ca="1" si="3"/>
        <v>0</v>
      </c>
      <c r="O21" s="1030">
        <f t="shared" ca="1" si="4"/>
        <v>0</v>
      </c>
    </row>
    <row r="22" spans="1:15" s="5" customFormat="1" ht="16.5" customHeight="1">
      <c r="A22" s="254" t="str">
        <f t="shared" ca="1" si="0"/>
        <v/>
      </c>
      <c r="B22" s="265" t="str">
        <f ca="1">IF(ROWS($1:6)&gt;COUNT(Dong14),"",OFFSET(TH!D$1,SMALL(Dong14,ROWS($1:6)),))</f>
        <v/>
      </c>
      <c r="C22" s="254" t="str">
        <f ca="1">IF(ROWS($1:6)&gt;COUNT(Dong14),"",OFFSET(TH!E$1,SMALL(Dong14,ROWS($1:6)),))</f>
        <v/>
      </c>
      <c r="D22" s="1026" t="str">
        <f ca="1">IF(ROWS($1:6)&gt;COUNT(Dong14),"",OFFSET(TH!F$1,SMALL(Dong14,ROWS($1:6)),))</f>
        <v/>
      </c>
      <c r="E22" s="1027" t="str">
        <f ca="1">IF(ROWS($1:6)&gt;COUNT(Dong14),"",IF(OFFSET(TH!N$1,SMALL(Dong14,ROWS($1:6)),)="131",OFFSET(TH!O$1,SMALL(Dong14,ROWS($1:6)),),OFFSET(TH!N$1,SMALL(Dong14,ROWS($1:6)),)))</f>
        <v/>
      </c>
      <c r="F22" s="1027">
        <f ca="1">IF(ROWS($1:6)&gt;COUNT(Dong14),0,OFFSET(TH!L$1,SMALL(Dong14,ROWS($1:6)),))</f>
        <v>0</v>
      </c>
      <c r="G22" s="1027"/>
      <c r="H22" s="1028">
        <f ca="1">IF(ROWS($1:6)&gt;COUNT(Dong14),0,IF(OFFSET(TH!N$1,SMALL(Dong14,ROWS($1:6)),)="131",OFFSET(TH!K$1,SMALL(Dong14,ROWS($1:6)),),0))</f>
        <v>0</v>
      </c>
      <c r="I22" s="1027">
        <f ca="1">IF(ROWS($1:6)&gt;COUNT(Dong14),0,IF(OFFSET(TH!N$1,SMALL(Dong14,ROWS($1:6)),)="131",OFFSET(TH!M$1,SMALL(Dong14,ROWS($1:6)),),0))</f>
        <v>0</v>
      </c>
      <c r="J22" s="1028">
        <f ca="1">IF(ROWS($1:6)&gt;COUNT(Dong14),0,IF(OFFSET(TH!O$1,SMALL(Dong14,ROWS($1:6)),)="131",OFFSET(TH!K$1,SMALL(Dong14,ROWS($1:6)),),0))</f>
        <v>0</v>
      </c>
      <c r="K22" s="1027">
        <f ca="1">IF(ROWS($1:6)&gt;COUNT(Dong14),0,IF(OFFSET(TH!O$1,SMALL(Dong14,ROWS($1:6)),)="131",OFFSET(TH!M$1,SMALL(Dong14,ROWS($1:6)),),0))</f>
        <v>0</v>
      </c>
      <c r="L22" s="1029">
        <f t="shared" ca="1" si="1"/>
        <v>0</v>
      </c>
      <c r="M22" s="1030">
        <f t="shared" ca="1" si="2"/>
        <v>0</v>
      </c>
      <c r="N22" s="1029">
        <f t="shared" ca="1" si="3"/>
        <v>0</v>
      </c>
      <c r="O22" s="1030">
        <f t="shared" ca="1" si="4"/>
        <v>0</v>
      </c>
    </row>
    <row r="23" spans="1:15" s="5" customFormat="1" ht="16.5" customHeight="1">
      <c r="A23" s="254" t="str">
        <f t="shared" ca="1" si="0"/>
        <v/>
      </c>
      <c r="B23" s="265" t="str">
        <f ca="1">IF(ROWS($1:7)&gt;COUNT(Dong14),"",OFFSET(TH!D$1,SMALL(Dong14,ROWS($1:7)),))</f>
        <v/>
      </c>
      <c r="C23" s="254" t="str">
        <f ca="1">IF(ROWS($1:7)&gt;COUNT(Dong14),"",OFFSET(TH!E$1,SMALL(Dong14,ROWS($1:7)),))</f>
        <v/>
      </c>
      <c r="D23" s="1026" t="str">
        <f ca="1">IF(ROWS($1:7)&gt;COUNT(Dong14),"",OFFSET(TH!F$1,SMALL(Dong14,ROWS($1:7)),))</f>
        <v/>
      </c>
      <c r="E23" s="1027" t="str">
        <f ca="1">IF(ROWS($1:7)&gt;COUNT(Dong14),"",IF(OFFSET(TH!N$1,SMALL(Dong14,ROWS($1:7)),)="131",OFFSET(TH!O$1,SMALL(Dong14,ROWS($1:7)),),OFFSET(TH!N$1,SMALL(Dong14,ROWS($1:7)),)))</f>
        <v/>
      </c>
      <c r="F23" s="1027">
        <f ca="1">IF(ROWS($1:7)&gt;COUNT(Dong14),0,OFFSET(TH!L$1,SMALL(Dong14,ROWS($1:7)),))</f>
        <v>0</v>
      </c>
      <c r="G23" s="1027"/>
      <c r="H23" s="1028">
        <f ca="1">IF(ROWS($1:7)&gt;COUNT(Dong14),0,IF(OFFSET(TH!N$1,SMALL(Dong14,ROWS($1:7)),)="131",OFFSET(TH!K$1,SMALL(Dong14,ROWS($1:7)),),0))</f>
        <v>0</v>
      </c>
      <c r="I23" s="1027">
        <f ca="1">IF(ROWS($1:7)&gt;COUNT(Dong14),0,IF(OFFSET(TH!N$1,SMALL(Dong14,ROWS($1:7)),)="131",OFFSET(TH!M$1,SMALL(Dong14,ROWS($1:7)),),0))</f>
        <v>0</v>
      </c>
      <c r="J23" s="1028">
        <f ca="1">IF(ROWS($1:7)&gt;COUNT(Dong14),0,IF(OFFSET(TH!O$1,SMALL(Dong14,ROWS($1:7)),)="131",OFFSET(TH!K$1,SMALL(Dong14,ROWS($1:7)),),0))</f>
        <v>0</v>
      </c>
      <c r="K23" s="1027">
        <f ca="1">IF(ROWS($1:7)&gt;COUNT(Dong14),0,IF(OFFSET(TH!O$1,SMALL(Dong14,ROWS($1:7)),)="131",OFFSET(TH!M$1,SMALL(Dong14,ROWS($1:7)),),0))</f>
        <v>0</v>
      </c>
      <c r="L23" s="1029">
        <f t="shared" ca="1" si="1"/>
        <v>0</v>
      </c>
      <c r="M23" s="1030">
        <f t="shared" ca="1" si="2"/>
        <v>0</v>
      </c>
      <c r="N23" s="1029">
        <f t="shared" ca="1" si="3"/>
        <v>0</v>
      </c>
      <c r="O23" s="1030">
        <f t="shared" ca="1" si="4"/>
        <v>0</v>
      </c>
    </row>
    <row r="24" spans="1:15" s="5" customFormat="1" ht="16.5" customHeight="1">
      <c r="A24" s="254" t="str">
        <f t="shared" ca="1" si="0"/>
        <v/>
      </c>
      <c r="B24" s="265" t="str">
        <f ca="1">IF(ROWS($1:8)&gt;COUNT(Dong14),"",OFFSET(TH!D$1,SMALL(Dong14,ROWS($1:8)),))</f>
        <v/>
      </c>
      <c r="C24" s="254" t="str">
        <f ca="1">IF(ROWS($1:8)&gt;COUNT(Dong14),"",OFFSET(TH!E$1,SMALL(Dong14,ROWS($1:8)),))</f>
        <v/>
      </c>
      <c r="D24" s="1026" t="str">
        <f ca="1">IF(ROWS($1:8)&gt;COUNT(Dong14),"",OFFSET(TH!F$1,SMALL(Dong14,ROWS($1:8)),))</f>
        <v/>
      </c>
      <c r="E24" s="1027" t="str">
        <f ca="1">IF(ROWS($1:8)&gt;COUNT(Dong14),"",IF(OFFSET(TH!N$1,SMALL(Dong14,ROWS($1:8)),)="131",OFFSET(TH!O$1,SMALL(Dong14,ROWS($1:8)),),OFFSET(TH!N$1,SMALL(Dong14,ROWS($1:8)),)))</f>
        <v/>
      </c>
      <c r="F24" s="1027">
        <f ca="1">IF(ROWS($1:8)&gt;COUNT(Dong14),0,OFFSET(TH!L$1,SMALL(Dong14,ROWS($1:8)),))</f>
        <v>0</v>
      </c>
      <c r="G24" s="1027"/>
      <c r="H24" s="1028">
        <f ca="1">IF(ROWS($1:8)&gt;COUNT(Dong14),0,IF(OFFSET(TH!N$1,SMALL(Dong14,ROWS($1:8)),)="131",OFFSET(TH!K$1,SMALL(Dong14,ROWS($1:8)),),0))</f>
        <v>0</v>
      </c>
      <c r="I24" s="1027">
        <f ca="1">IF(ROWS($1:8)&gt;COUNT(Dong14),0,IF(OFFSET(TH!N$1,SMALL(Dong14,ROWS($1:8)),)="131",OFFSET(TH!M$1,SMALL(Dong14,ROWS($1:8)),),0))</f>
        <v>0</v>
      </c>
      <c r="J24" s="1028">
        <f ca="1">IF(ROWS($1:8)&gt;COUNT(Dong14),0,IF(OFFSET(TH!O$1,SMALL(Dong14,ROWS($1:8)),)="131",OFFSET(TH!K$1,SMALL(Dong14,ROWS($1:8)),),0))</f>
        <v>0</v>
      </c>
      <c r="K24" s="1027">
        <f ca="1">IF(ROWS($1:8)&gt;COUNT(Dong14),0,IF(OFFSET(TH!O$1,SMALL(Dong14,ROWS($1:8)),)="131",OFFSET(TH!M$1,SMALL(Dong14,ROWS($1:8)),),0))</f>
        <v>0</v>
      </c>
      <c r="L24" s="1029">
        <f t="shared" ca="1" si="1"/>
        <v>0</v>
      </c>
      <c r="M24" s="1030">
        <f t="shared" ca="1" si="2"/>
        <v>0</v>
      </c>
      <c r="N24" s="1029">
        <f t="shared" ca="1" si="3"/>
        <v>0</v>
      </c>
      <c r="O24" s="1030">
        <f t="shared" ca="1" si="4"/>
        <v>0</v>
      </c>
    </row>
    <row r="25" spans="1:15" s="5" customFormat="1" ht="16.5" customHeight="1">
      <c r="A25" s="254" t="str">
        <f t="shared" ca="1" si="0"/>
        <v/>
      </c>
      <c r="B25" s="265" t="str">
        <f ca="1">IF(ROWS($1:9)&gt;COUNT(Dong14),"",OFFSET(TH!D$1,SMALL(Dong14,ROWS($1:9)),))</f>
        <v/>
      </c>
      <c r="C25" s="254" t="str">
        <f ca="1">IF(ROWS($1:9)&gt;COUNT(Dong14),"",OFFSET(TH!E$1,SMALL(Dong14,ROWS($1:9)),))</f>
        <v/>
      </c>
      <c r="D25" s="1026" t="str">
        <f ca="1">IF(ROWS($1:9)&gt;COUNT(Dong14),"",OFFSET(TH!F$1,SMALL(Dong14,ROWS($1:9)),))</f>
        <v/>
      </c>
      <c r="E25" s="1027" t="str">
        <f ca="1">IF(ROWS($1:9)&gt;COUNT(Dong14),"",IF(OFFSET(TH!N$1,SMALL(Dong14,ROWS($1:9)),)="131",OFFSET(TH!O$1,SMALL(Dong14,ROWS($1:9)),),OFFSET(TH!N$1,SMALL(Dong14,ROWS($1:9)),)))</f>
        <v/>
      </c>
      <c r="F25" s="1027">
        <f ca="1">IF(ROWS($1:9)&gt;COUNT(Dong14),0,OFFSET(TH!L$1,SMALL(Dong14,ROWS($1:9)),))</f>
        <v>0</v>
      </c>
      <c r="G25" s="1027"/>
      <c r="H25" s="1028">
        <f ca="1">IF(ROWS($1:9)&gt;COUNT(Dong14),0,IF(OFFSET(TH!N$1,SMALL(Dong14,ROWS($1:9)),)="131",OFFSET(TH!K$1,SMALL(Dong14,ROWS($1:9)),),0))</f>
        <v>0</v>
      </c>
      <c r="I25" s="1027">
        <f ca="1">IF(ROWS($1:9)&gt;COUNT(Dong14),0,IF(OFFSET(TH!N$1,SMALL(Dong14,ROWS($1:9)),)="131",OFFSET(TH!M$1,SMALL(Dong14,ROWS($1:9)),),0))</f>
        <v>0</v>
      </c>
      <c r="J25" s="1028">
        <f ca="1">IF(ROWS($1:9)&gt;COUNT(Dong14),0,IF(OFFSET(TH!O$1,SMALL(Dong14,ROWS($1:9)),)="131",OFFSET(TH!K$1,SMALL(Dong14,ROWS($1:9)),),0))</f>
        <v>0</v>
      </c>
      <c r="K25" s="1027">
        <f ca="1">IF(ROWS($1:9)&gt;COUNT(Dong14),0,IF(OFFSET(TH!O$1,SMALL(Dong14,ROWS($1:9)),)="131",OFFSET(TH!M$1,SMALL(Dong14,ROWS($1:9)),),0))</f>
        <v>0</v>
      </c>
      <c r="L25" s="1029">
        <f t="shared" ca="1" si="1"/>
        <v>0</v>
      </c>
      <c r="M25" s="1030">
        <f t="shared" ca="1" si="2"/>
        <v>0</v>
      </c>
      <c r="N25" s="1029">
        <f t="shared" ca="1" si="3"/>
        <v>0</v>
      </c>
      <c r="O25" s="1030">
        <f t="shared" ca="1" si="4"/>
        <v>0</v>
      </c>
    </row>
    <row r="26" spans="1:15" s="5" customFormat="1" ht="16.5" customHeight="1">
      <c r="A26" s="254" t="str">
        <f t="shared" ca="1" si="0"/>
        <v/>
      </c>
      <c r="B26" s="265" t="str">
        <f ca="1">IF(ROWS($1:10)&gt;COUNT(Dong14),"",OFFSET(TH!D$1,SMALL(Dong14,ROWS($1:10)),))</f>
        <v/>
      </c>
      <c r="C26" s="254" t="str">
        <f ca="1">IF(ROWS($1:10)&gt;COUNT(Dong14),"",OFFSET(TH!E$1,SMALL(Dong14,ROWS($1:10)),))</f>
        <v/>
      </c>
      <c r="D26" s="1026" t="str">
        <f ca="1">IF(ROWS($1:10)&gt;COUNT(Dong14),"",OFFSET(TH!F$1,SMALL(Dong14,ROWS($1:10)),))</f>
        <v/>
      </c>
      <c r="E26" s="1027" t="str">
        <f ca="1">IF(ROWS($1:10)&gt;COUNT(Dong14),"",IF(OFFSET(TH!N$1,SMALL(Dong14,ROWS($1:10)),)="131",OFFSET(TH!O$1,SMALL(Dong14,ROWS($1:10)),),OFFSET(TH!N$1,SMALL(Dong14,ROWS($1:10)),)))</f>
        <v/>
      </c>
      <c r="F26" s="1027">
        <f ca="1">IF(ROWS($1:10)&gt;COUNT(Dong14),0,OFFSET(TH!L$1,SMALL(Dong14,ROWS($1:10)),))</f>
        <v>0</v>
      </c>
      <c r="G26" s="1027"/>
      <c r="H26" s="1028">
        <f ca="1">IF(ROWS($1:10)&gt;COUNT(Dong14),0,IF(OFFSET(TH!N$1,SMALL(Dong14,ROWS($1:10)),)="131",OFFSET(TH!K$1,SMALL(Dong14,ROWS($1:10)),),0))</f>
        <v>0</v>
      </c>
      <c r="I26" s="1027">
        <f ca="1">IF(ROWS($1:10)&gt;COUNT(Dong14),0,IF(OFFSET(TH!N$1,SMALL(Dong14,ROWS($1:10)),)="131",OFFSET(TH!M$1,SMALL(Dong14,ROWS($1:10)),),0))</f>
        <v>0</v>
      </c>
      <c r="J26" s="1028">
        <f ca="1">IF(ROWS($1:10)&gt;COUNT(Dong14),0,IF(OFFSET(TH!O$1,SMALL(Dong14,ROWS($1:10)),)="131",OFFSET(TH!K$1,SMALL(Dong14,ROWS($1:10)),),0))</f>
        <v>0</v>
      </c>
      <c r="K26" s="1027">
        <f ca="1">IF(ROWS($1:10)&gt;COUNT(Dong14),0,IF(OFFSET(TH!O$1,SMALL(Dong14,ROWS($1:10)),)="131",OFFSET(TH!M$1,SMALL(Dong14,ROWS($1:10)),),0))</f>
        <v>0</v>
      </c>
      <c r="L26" s="1029">
        <f t="shared" ca="1" si="1"/>
        <v>0</v>
      </c>
      <c r="M26" s="1030">
        <f t="shared" ca="1" si="2"/>
        <v>0</v>
      </c>
      <c r="N26" s="1029">
        <f t="shared" ca="1" si="3"/>
        <v>0</v>
      </c>
      <c r="O26" s="1030">
        <f t="shared" ca="1" si="4"/>
        <v>0</v>
      </c>
    </row>
    <row r="27" spans="1:15" s="5" customFormat="1" ht="16.5" customHeight="1">
      <c r="A27" s="254" t="str">
        <f t="shared" ca="1" si="0"/>
        <v/>
      </c>
      <c r="B27" s="265" t="str">
        <f ca="1">IF(ROWS($1:11)&gt;COUNT(Dong14),"",OFFSET(TH!D$1,SMALL(Dong14,ROWS($1:11)),))</f>
        <v/>
      </c>
      <c r="C27" s="254" t="str">
        <f ca="1">IF(ROWS($1:11)&gt;COUNT(Dong14),"",OFFSET(TH!E$1,SMALL(Dong14,ROWS($1:11)),))</f>
        <v/>
      </c>
      <c r="D27" s="1026" t="str">
        <f ca="1">IF(ROWS($1:11)&gt;COUNT(Dong14),"",OFFSET(TH!F$1,SMALL(Dong14,ROWS($1:11)),))</f>
        <v/>
      </c>
      <c r="E27" s="1027" t="str">
        <f ca="1">IF(ROWS($1:11)&gt;COUNT(Dong14),"",IF(OFFSET(TH!N$1,SMALL(Dong14,ROWS($1:11)),)="131",OFFSET(TH!O$1,SMALL(Dong14,ROWS($1:11)),),OFFSET(TH!N$1,SMALL(Dong14,ROWS($1:11)),)))</f>
        <v/>
      </c>
      <c r="F27" s="1027">
        <f ca="1">IF(ROWS($1:11)&gt;COUNT(Dong14),0,OFFSET(TH!L$1,SMALL(Dong14,ROWS($1:11)),))</f>
        <v>0</v>
      </c>
      <c r="G27" s="1027"/>
      <c r="H27" s="1028">
        <f ca="1">IF(ROWS($1:11)&gt;COUNT(Dong14),0,IF(OFFSET(TH!N$1,SMALL(Dong14,ROWS($1:11)),)="131",OFFSET(TH!K$1,SMALL(Dong14,ROWS($1:11)),),0))</f>
        <v>0</v>
      </c>
      <c r="I27" s="1027">
        <f ca="1">IF(ROWS($1:11)&gt;COUNT(Dong14),0,IF(OFFSET(TH!N$1,SMALL(Dong14,ROWS($1:11)),)="131",OFFSET(TH!M$1,SMALL(Dong14,ROWS($1:11)),),0))</f>
        <v>0</v>
      </c>
      <c r="J27" s="1028">
        <f ca="1">IF(ROWS($1:11)&gt;COUNT(Dong14),0,IF(OFFSET(TH!O$1,SMALL(Dong14,ROWS($1:11)),)="131",OFFSET(TH!K$1,SMALL(Dong14,ROWS($1:11)),),0))</f>
        <v>0</v>
      </c>
      <c r="K27" s="1027">
        <f ca="1">IF(ROWS($1:11)&gt;COUNT(Dong14),0,IF(OFFSET(TH!O$1,SMALL(Dong14,ROWS($1:11)),)="131",OFFSET(TH!M$1,SMALL(Dong14,ROWS($1:11)),),0))</f>
        <v>0</v>
      </c>
      <c r="L27" s="1029">
        <f t="shared" ca="1" si="1"/>
        <v>0</v>
      </c>
      <c r="M27" s="1030">
        <f t="shared" ca="1" si="2"/>
        <v>0</v>
      </c>
      <c r="N27" s="1029">
        <f t="shared" ca="1" si="3"/>
        <v>0</v>
      </c>
      <c r="O27" s="1030">
        <f t="shared" ca="1" si="4"/>
        <v>0</v>
      </c>
    </row>
    <row r="28" spans="1:15" s="5" customFormat="1" ht="16.5" customHeight="1">
      <c r="A28" s="254" t="str">
        <f t="shared" ca="1" si="0"/>
        <v/>
      </c>
      <c r="B28" s="265" t="str">
        <f ca="1">IF(ROWS($1:12)&gt;COUNT(Dong14),"",OFFSET(TH!D$1,SMALL(Dong14,ROWS($1:12)),))</f>
        <v/>
      </c>
      <c r="C28" s="254" t="str">
        <f ca="1">IF(ROWS($1:12)&gt;COUNT(Dong14),"",OFFSET(TH!E$1,SMALL(Dong14,ROWS($1:12)),))</f>
        <v/>
      </c>
      <c r="D28" s="1026" t="str">
        <f ca="1">IF(ROWS($1:12)&gt;COUNT(Dong14),"",OFFSET(TH!F$1,SMALL(Dong14,ROWS($1:12)),))</f>
        <v/>
      </c>
      <c r="E28" s="1027" t="str">
        <f ca="1">IF(ROWS($1:12)&gt;COUNT(Dong14),"",IF(OFFSET(TH!N$1,SMALL(Dong14,ROWS($1:12)),)="131",OFFSET(TH!O$1,SMALL(Dong14,ROWS($1:12)),),OFFSET(TH!N$1,SMALL(Dong14,ROWS($1:12)),)))</f>
        <v/>
      </c>
      <c r="F28" s="1027">
        <f ca="1">IF(ROWS($1:12)&gt;COUNT(Dong14),0,OFFSET(TH!L$1,SMALL(Dong14,ROWS($1:12)),))</f>
        <v>0</v>
      </c>
      <c r="G28" s="1027"/>
      <c r="H28" s="1028">
        <f ca="1">IF(ROWS($1:12)&gt;COUNT(Dong14),0,IF(OFFSET(TH!N$1,SMALL(Dong14,ROWS($1:12)),)="131",OFFSET(TH!K$1,SMALL(Dong14,ROWS($1:12)),),0))</f>
        <v>0</v>
      </c>
      <c r="I28" s="1027">
        <f ca="1">IF(ROWS($1:12)&gt;COUNT(Dong14),0,IF(OFFSET(TH!N$1,SMALL(Dong14,ROWS($1:12)),)="131",OFFSET(TH!M$1,SMALL(Dong14,ROWS($1:12)),),0))</f>
        <v>0</v>
      </c>
      <c r="J28" s="1028">
        <f ca="1">IF(ROWS($1:12)&gt;COUNT(Dong14),0,IF(OFFSET(TH!O$1,SMALL(Dong14,ROWS($1:12)),)="131",OFFSET(TH!K$1,SMALL(Dong14,ROWS($1:12)),),0))</f>
        <v>0</v>
      </c>
      <c r="K28" s="1027">
        <f ca="1">IF(ROWS($1:12)&gt;COUNT(Dong14),0,IF(OFFSET(TH!O$1,SMALL(Dong14,ROWS($1:12)),)="131",OFFSET(TH!M$1,SMALL(Dong14,ROWS($1:12)),),0))</f>
        <v>0</v>
      </c>
      <c r="L28" s="1029">
        <f t="shared" ca="1" si="1"/>
        <v>0</v>
      </c>
      <c r="M28" s="1030">
        <f t="shared" ca="1" si="2"/>
        <v>0</v>
      </c>
      <c r="N28" s="1029">
        <f t="shared" ca="1" si="3"/>
        <v>0</v>
      </c>
      <c r="O28" s="1030">
        <f t="shared" ca="1" si="4"/>
        <v>0</v>
      </c>
    </row>
    <row r="29" spans="1:15" s="5" customFormat="1" ht="16.5" customHeight="1">
      <c r="A29" s="254" t="str">
        <f t="shared" ca="1" si="0"/>
        <v/>
      </c>
      <c r="B29" s="265" t="str">
        <f ca="1">IF(ROWS($1:13)&gt;COUNT(Dong14),"",OFFSET(TH!D$1,SMALL(Dong14,ROWS($1:13)),))</f>
        <v/>
      </c>
      <c r="C29" s="254" t="str">
        <f ca="1">IF(ROWS($1:13)&gt;COUNT(Dong14),"",OFFSET(TH!E$1,SMALL(Dong14,ROWS($1:13)),))</f>
        <v/>
      </c>
      <c r="D29" s="1026" t="str">
        <f ca="1">IF(ROWS($1:13)&gt;COUNT(Dong14),"",OFFSET(TH!F$1,SMALL(Dong14,ROWS($1:13)),))</f>
        <v/>
      </c>
      <c r="E29" s="1027" t="str">
        <f ca="1">IF(ROWS($1:13)&gt;COUNT(Dong14),"",IF(OFFSET(TH!N$1,SMALL(Dong14,ROWS($1:13)),)="131",OFFSET(TH!O$1,SMALL(Dong14,ROWS($1:13)),),OFFSET(TH!N$1,SMALL(Dong14,ROWS($1:13)),)))</f>
        <v/>
      </c>
      <c r="F29" s="1027">
        <f ca="1">IF(ROWS($1:13)&gt;COUNT(Dong14),0,OFFSET(TH!L$1,SMALL(Dong14,ROWS($1:13)),))</f>
        <v>0</v>
      </c>
      <c r="G29" s="1027"/>
      <c r="H29" s="1028">
        <f ca="1">IF(ROWS($1:13)&gt;COUNT(Dong14),0,IF(OFFSET(TH!N$1,SMALL(Dong14,ROWS($1:13)),)="131",OFFSET(TH!K$1,SMALL(Dong14,ROWS($1:13)),),0))</f>
        <v>0</v>
      </c>
      <c r="I29" s="1027">
        <f ca="1">IF(ROWS($1:13)&gt;COUNT(Dong14),0,IF(OFFSET(TH!N$1,SMALL(Dong14,ROWS($1:13)),)="131",OFFSET(TH!M$1,SMALL(Dong14,ROWS($1:13)),),0))</f>
        <v>0</v>
      </c>
      <c r="J29" s="1028">
        <f ca="1">IF(ROWS($1:13)&gt;COUNT(Dong14),0,IF(OFFSET(TH!O$1,SMALL(Dong14,ROWS($1:13)),)="131",OFFSET(TH!K$1,SMALL(Dong14,ROWS($1:13)),),0))</f>
        <v>0</v>
      </c>
      <c r="K29" s="1027">
        <f ca="1">IF(ROWS($1:13)&gt;COUNT(Dong14),0,IF(OFFSET(TH!O$1,SMALL(Dong14,ROWS($1:13)),)="131",OFFSET(TH!M$1,SMALL(Dong14,ROWS($1:13)),),0))</f>
        <v>0</v>
      </c>
      <c r="L29" s="1029">
        <f t="shared" ca="1" si="1"/>
        <v>0</v>
      </c>
      <c r="M29" s="1030">
        <f t="shared" ca="1" si="2"/>
        <v>0</v>
      </c>
      <c r="N29" s="1029">
        <f t="shared" ca="1" si="3"/>
        <v>0</v>
      </c>
      <c r="O29" s="1030">
        <f t="shared" ca="1" si="4"/>
        <v>0</v>
      </c>
    </row>
    <row r="30" spans="1:15" s="5" customFormat="1" ht="16.5" customHeight="1">
      <c r="A30" s="254" t="str">
        <f t="shared" ca="1" si="0"/>
        <v/>
      </c>
      <c r="B30" s="265" t="str">
        <f ca="1">IF(ROWS($1:14)&gt;COUNT(Dong14),"",OFFSET(TH!D$1,SMALL(Dong14,ROWS($1:14)),))</f>
        <v/>
      </c>
      <c r="C30" s="254" t="str">
        <f ca="1">IF(ROWS($1:14)&gt;COUNT(Dong14),"",OFFSET(TH!E$1,SMALL(Dong14,ROWS($1:14)),))</f>
        <v/>
      </c>
      <c r="D30" s="1026" t="str">
        <f ca="1">IF(ROWS($1:14)&gt;COUNT(Dong14),"",OFFSET(TH!F$1,SMALL(Dong14,ROWS($1:14)),))</f>
        <v/>
      </c>
      <c r="E30" s="1027" t="str">
        <f ca="1">IF(ROWS($1:14)&gt;COUNT(Dong14),"",IF(OFFSET(TH!N$1,SMALL(Dong14,ROWS($1:14)),)="131",OFFSET(TH!O$1,SMALL(Dong14,ROWS($1:14)),),OFFSET(TH!N$1,SMALL(Dong14,ROWS($1:14)),)))</f>
        <v/>
      </c>
      <c r="F30" s="1027">
        <f ca="1">IF(ROWS($1:14)&gt;COUNT(Dong14),0,OFFSET(TH!L$1,SMALL(Dong14,ROWS($1:14)),))</f>
        <v>0</v>
      </c>
      <c r="G30" s="1027"/>
      <c r="H30" s="1028">
        <f ca="1">IF(ROWS($1:14)&gt;COUNT(Dong14),0,IF(OFFSET(TH!N$1,SMALL(Dong14,ROWS($1:14)),)="131",OFFSET(TH!K$1,SMALL(Dong14,ROWS($1:14)),),0))</f>
        <v>0</v>
      </c>
      <c r="I30" s="1027">
        <f ca="1">IF(ROWS($1:14)&gt;COUNT(Dong14),0,IF(OFFSET(TH!N$1,SMALL(Dong14,ROWS($1:14)),)="131",OFFSET(TH!M$1,SMALL(Dong14,ROWS($1:14)),),0))</f>
        <v>0</v>
      </c>
      <c r="J30" s="1028">
        <f ca="1">IF(ROWS($1:14)&gt;COUNT(Dong14),0,IF(OFFSET(TH!O$1,SMALL(Dong14,ROWS($1:14)),)="131",OFFSET(TH!K$1,SMALL(Dong14,ROWS($1:14)),),0))</f>
        <v>0</v>
      </c>
      <c r="K30" s="1027">
        <f ca="1">IF(ROWS($1:14)&gt;COUNT(Dong14),0,IF(OFFSET(TH!O$1,SMALL(Dong14,ROWS($1:14)),)="131",OFFSET(TH!M$1,SMALL(Dong14,ROWS($1:14)),),0))</f>
        <v>0</v>
      </c>
      <c r="L30" s="1029">
        <f t="shared" ca="1" si="1"/>
        <v>0</v>
      </c>
      <c r="M30" s="1030">
        <f t="shared" ca="1" si="2"/>
        <v>0</v>
      </c>
      <c r="N30" s="1029">
        <f t="shared" ca="1" si="3"/>
        <v>0</v>
      </c>
      <c r="O30" s="1030">
        <f t="shared" ca="1" si="4"/>
        <v>0</v>
      </c>
    </row>
    <row r="31" spans="1:15" s="5" customFormat="1" ht="16.5" customHeight="1">
      <c r="A31" s="254" t="str">
        <f t="shared" si="0"/>
        <v/>
      </c>
      <c r="B31" s="1031"/>
      <c r="C31" s="1031"/>
      <c r="D31" s="1032"/>
      <c r="E31" s="1031"/>
      <c r="F31" s="1033"/>
      <c r="G31" s="1034"/>
      <c r="H31" s="1035"/>
      <c r="I31" s="1030"/>
      <c r="J31" s="1035"/>
      <c r="K31" s="1034"/>
      <c r="L31" s="1029"/>
      <c r="M31" s="1030"/>
      <c r="N31" s="1029"/>
      <c r="O31" s="1030"/>
    </row>
    <row r="32" spans="1:15" s="5" customFormat="1" ht="16.5" customHeight="1">
      <c r="A32" s="1020"/>
      <c r="B32" s="1020"/>
      <c r="C32" s="1020"/>
      <c r="D32" s="1021" t="s">
        <v>43</v>
      </c>
      <c r="E32" s="1018" t="s">
        <v>26</v>
      </c>
      <c r="F32" s="1018"/>
      <c r="G32" s="1036" t="s">
        <v>26</v>
      </c>
      <c r="H32" s="1037">
        <f ca="1">SUM(H17:H31)</f>
        <v>0</v>
      </c>
      <c r="I32" s="1036">
        <f ca="1">SUM(I17:I31)</f>
        <v>0</v>
      </c>
      <c r="J32" s="1038">
        <f ca="1">SUM(J17:J31)</f>
        <v>0</v>
      </c>
      <c r="K32" s="1036">
        <f ca="1">ROUND(SUM(K17:K31),0)</f>
        <v>0</v>
      </c>
      <c r="L32" s="1037" t="s">
        <v>26</v>
      </c>
      <c r="M32" s="1036" t="s">
        <v>26</v>
      </c>
      <c r="N32" s="1036" t="s">
        <v>26</v>
      </c>
      <c r="O32" s="1036" t="s">
        <v>26</v>
      </c>
    </row>
    <row r="33" spans="1:15" s="5" customFormat="1" ht="16.5" customHeight="1">
      <c r="A33" s="1020"/>
      <c r="B33" s="1020"/>
      <c r="C33" s="1020"/>
      <c r="D33" s="1021" t="s">
        <v>13</v>
      </c>
      <c r="E33" s="1018" t="s">
        <v>26</v>
      </c>
      <c r="F33" s="1018"/>
      <c r="G33" s="1036" t="s">
        <v>26</v>
      </c>
      <c r="H33" s="1037" t="s">
        <v>26</v>
      </c>
      <c r="I33" s="1036" t="s">
        <v>26</v>
      </c>
      <c r="J33" s="1038" t="s">
        <v>26</v>
      </c>
      <c r="K33" s="1036" t="s">
        <v>26</v>
      </c>
      <c r="L33" s="1037" t="e">
        <f ca="1">ROUND(MAX(L16+H32-N16-J32,0),2)</f>
        <v>#N/A</v>
      </c>
      <c r="M33" s="1036" t="e">
        <f ca="1">ROUND(MAX(M16+I32-O16-K32,0),0)</f>
        <v>#N/A</v>
      </c>
      <c r="N33" s="1036" t="e">
        <f ca="1">ROUND(MAX(N16+J32-L16-H32,0),2)</f>
        <v>#N/A</v>
      </c>
      <c r="O33" s="1036" t="e">
        <f ca="1">ROUND(MAX(O16+K32-M16-I32,0),-1)</f>
        <v>#N/A</v>
      </c>
    </row>
    <row r="34" spans="1:15" s="5" customFormat="1" ht="15">
      <c r="A34" s="262" t="s">
        <v>669</v>
      </c>
      <c r="B34" s="4"/>
      <c r="C34" s="4"/>
      <c r="E34" s="4"/>
      <c r="F34" s="973"/>
      <c r="G34" s="1039"/>
      <c r="H34" s="1040"/>
      <c r="I34" s="1039"/>
      <c r="J34" s="286"/>
      <c r="K34" s="1039"/>
    </row>
    <row r="35" spans="1:15" s="5" customFormat="1" ht="15">
      <c r="A35" s="262" t="s">
        <v>280</v>
      </c>
      <c r="B35" s="4"/>
      <c r="C35" s="4"/>
      <c r="E35" s="4"/>
      <c r="F35" s="973"/>
      <c r="G35" s="1039"/>
      <c r="H35" s="1040"/>
      <c r="I35" s="1039"/>
      <c r="J35" s="286"/>
      <c r="K35" s="1039"/>
    </row>
    <row r="36" spans="1:15" s="5" customFormat="1" ht="15">
      <c r="A36" s="4"/>
      <c r="B36" s="4"/>
      <c r="C36" s="4"/>
      <c r="E36" s="4"/>
      <c r="F36" s="973"/>
      <c r="G36" s="1039"/>
      <c r="H36" s="1041"/>
      <c r="I36" s="1039"/>
      <c r="J36" s="1098" t="s">
        <v>267</v>
      </c>
      <c r="K36" s="1098"/>
      <c r="L36" s="1098"/>
      <c r="M36" s="1098"/>
      <c r="N36" s="1098"/>
      <c r="O36" s="1098"/>
    </row>
    <row r="37" spans="1:15" s="5" customFormat="1" ht="15">
      <c r="A37" s="4"/>
      <c r="B37" s="4" t="s">
        <v>14</v>
      </c>
      <c r="C37" s="4"/>
      <c r="E37" s="4"/>
      <c r="F37" s="973"/>
      <c r="G37" s="1039"/>
      <c r="H37" s="1041"/>
      <c r="I37" s="1039"/>
      <c r="J37" s="286"/>
      <c r="K37" s="1039"/>
      <c r="L37" s="1098" t="s">
        <v>15</v>
      </c>
      <c r="M37" s="1098"/>
    </row>
    <row r="38" spans="1:15" s="5" customFormat="1" ht="15">
      <c r="A38" s="4"/>
      <c r="B38" s="4" t="s">
        <v>16</v>
      </c>
      <c r="C38" s="4"/>
      <c r="E38" s="4"/>
      <c r="F38" s="973"/>
      <c r="G38" s="1039"/>
      <c r="H38" s="1041"/>
      <c r="I38" s="1039"/>
      <c r="J38" s="286"/>
      <c r="K38" s="1039"/>
      <c r="L38" s="1098" t="s">
        <v>16</v>
      </c>
      <c r="M38" s="1098"/>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0"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9" customFormat="1" ht="15.75" customHeight="1">
      <c r="A1" s="189" t="s">
        <v>213</v>
      </c>
      <c r="D1" s="1141" t="s">
        <v>254</v>
      </c>
      <c r="E1" s="1141"/>
      <c r="G1" s="2"/>
      <c r="I1" s="2"/>
    </row>
    <row r="2" spans="1:10" s="239" customFormat="1" ht="15.75" customHeight="1">
      <c r="A2" s="139" t="s">
        <v>214</v>
      </c>
      <c r="D2" s="1142" t="s">
        <v>255</v>
      </c>
      <c r="E2" s="1142"/>
      <c r="G2" s="17"/>
      <c r="I2" s="17"/>
    </row>
    <row r="3" spans="1:10" s="239" customFormat="1">
      <c r="D3" s="1142" t="s">
        <v>256</v>
      </c>
      <c r="E3" s="1142"/>
      <c r="F3" s="17"/>
      <c r="G3" s="17"/>
      <c r="I3" s="17"/>
    </row>
    <row r="4" spans="1:10" ht="8.25" customHeight="1"/>
    <row r="5" spans="1:10" ht="23.25" customHeight="1">
      <c r="A5" s="1124" t="s">
        <v>257</v>
      </c>
      <c r="B5" s="1124"/>
      <c r="C5" s="1124"/>
      <c r="D5" s="1124"/>
      <c r="E5" s="1124"/>
    </row>
    <row r="6" spans="1:10" ht="18" customHeight="1">
      <c r="A6" s="1143" t="str">
        <f>$G$9&amp;"  năm  2015 "</f>
        <v xml:space="preserve">Quý I  năm  2015 </v>
      </c>
      <c r="B6" s="1143"/>
      <c r="C6" s="1143"/>
      <c r="D6" s="1143"/>
      <c r="E6" s="1143"/>
    </row>
    <row r="7" spans="1:10" ht="10.5" customHeight="1"/>
    <row r="8" spans="1:10" s="241" customFormat="1" ht="20.25" customHeight="1" thickBot="1">
      <c r="A8" s="1144" t="s">
        <v>1</v>
      </c>
      <c r="B8" s="1144"/>
      <c r="C8" s="1145" t="s">
        <v>0</v>
      </c>
      <c r="D8" s="1145" t="s">
        <v>258</v>
      </c>
      <c r="E8" s="1145" t="s">
        <v>259</v>
      </c>
      <c r="G8" s="190"/>
      <c r="H8" s="162"/>
      <c r="I8" s="1105" t="s">
        <v>242</v>
      </c>
      <c r="J8" s="1105"/>
    </row>
    <row r="9" spans="1:10" s="489" customFormat="1" ht="33" customHeight="1" thickBot="1">
      <c r="A9" s="432" t="s">
        <v>20</v>
      </c>
      <c r="B9" s="432" t="s">
        <v>39</v>
      </c>
      <c r="C9" s="1145"/>
      <c r="D9" s="1145"/>
      <c r="E9" s="1145"/>
      <c r="G9" s="490" t="s">
        <v>360</v>
      </c>
      <c r="H9" s="491"/>
      <c r="I9" s="492">
        <f>IF(G9="Quý I",1,IF(G9="Quý II",4,IF(G9="Quý III",7,IF(G9="Quý IV",10,""))))</f>
        <v>1</v>
      </c>
      <c r="J9" s="493">
        <f>IF(G9="Quý I",3,IF(G9="Quý II",6,IF(G9="Quý III",9,IF(G9="Quý IV",12,""))))</f>
        <v>3</v>
      </c>
    </row>
    <row r="10" spans="1:10" s="245" customFormat="1" ht="11.25" customHeight="1">
      <c r="A10" s="242" t="s">
        <v>2</v>
      </c>
      <c r="B10" s="243" t="s">
        <v>3</v>
      </c>
      <c r="C10" s="243" t="s">
        <v>4</v>
      </c>
      <c r="D10" s="244" t="s">
        <v>260</v>
      </c>
      <c r="E10" s="244" t="s">
        <v>261</v>
      </c>
    </row>
    <row r="11" spans="1:10" s="245" customFormat="1" ht="18" customHeight="1">
      <c r="A11" s="246"/>
      <c r="B11" s="247"/>
      <c r="C11" s="248" t="s">
        <v>262</v>
      </c>
      <c r="D11" s="249">
        <f>IF($L$9="All",CDPS!$C$16,CDPS!$C$16+SUMIF(_N133,"x",TH)-SUMIF(_C133,"x",TH))</f>
        <v>452614594</v>
      </c>
      <c r="E11" s="249"/>
    </row>
    <row r="12" spans="1:10" s="245" customFormat="1" ht="18" customHeight="1">
      <c r="A12" s="250"/>
      <c r="B12" s="251"/>
      <c r="C12" s="252" t="s">
        <v>263</v>
      </c>
      <c r="D12" s="253"/>
      <c r="E12" s="253"/>
    </row>
    <row r="13" spans="1:10" ht="18" customHeight="1">
      <c r="A13" s="265" t="str">
        <f ca="1">IF(ROWS($1:1)&gt;COUNT(Dong3),"",OFFSET(TH!D$1,SMALL(Dong3,ROWS($1:1)),))</f>
        <v>CTGS</v>
      </c>
      <c r="B13" s="254">
        <f ca="1">IF(ROWS($1:1)&gt;COUNT(Dong3),"",OFFSET(TH!E$1,SMALL(Dong3,ROWS($1:1)),))</f>
        <v>42370</v>
      </c>
      <c r="C13" s="264" t="str">
        <f ca="1">IF(ROWS($1:1)&gt;COUNT(Dong3),"",OFFSET(TH!F$1,SMALL(Dong3,ROWS($1:1)),))</f>
        <v>VAT Gas</v>
      </c>
      <c r="D13" s="266">
        <f ca="1">IF(ROWS($1:1)&gt;COUNT(Dong3),"",OFFSET(TH!M$1,SMALL(Dong3,ROWS($1:1)),))</f>
        <v>1049088</v>
      </c>
      <c r="E13" s="255"/>
    </row>
    <row r="14" spans="1:10" ht="18" customHeight="1">
      <c r="A14" s="265" t="str">
        <f ca="1">IF(ROWS($1:2)&gt;COUNT(Dong3),"",OFFSET(TH!D$1,SMALL(Dong3,ROWS($1:2)),))</f>
        <v>C01</v>
      </c>
      <c r="B14" s="254">
        <f ca="1">IF(ROWS($1:2)&gt;COUNT(Dong3),"",OFFSET(TH!E$1,SMALL(Dong3,ROWS($1:2)),))</f>
        <v>42371</v>
      </c>
      <c r="C14" s="264" t="str">
        <f ca="1">IF(ROWS($1:2)&gt;COUNT(Dong3),"",OFFSET(TH!F$1,SMALL(Dong3,ROWS($1:2)),))</f>
        <v>VAT Bàn Inox 80x230</v>
      </c>
      <c r="D14" s="266">
        <f ca="1">IF(ROWS($1:2)&gt;COUNT(Dong3),"",OFFSET(TH!M$1,SMALL(Dong3,ROWS($1:2)),))</f>
        <v>450000</v>
      </c>
      <c r="E14" s="255"/>
    </row>
    <row r="15" spans="1:10" ht="18" customHeight="1">
      <c r="A15" s="265" t="str">
        <f ca="1">IF(ROWS($1:3)&gt;COUNT(Dong3),"",OFFSET(TH!D$1,SMALL(Dong3,ROWS($1:3)),))</f>
        <v>C02</v>
      </c>
      <c r="B15" s="254">
        <f ca="1">IF(ROWS($1:3)&gt;COUNT(Dong3),"",OFFSET(TH!E$1,SMALL(Dong3,ROWS($1:3)),))</f>
        <v>42373</v>
      </c>
      <c r="C15" s="264" t="str">
        <f ca="1">IF(ROWS($1:3)&gt;COUNT(Dong3),"",OFFSET(TH!F$1,SMALL(Dong3,ROWS($1:3)),))</f>
        <v>VAT Bàn Inox 80x230</v>
      </c>
      <c r="D15" s="266">
        <f ca="1">IF(ROWS($1:3)&gt;COUNT(Dong3),"",OFFSET(TH!M$1,SMALL(Dong3,ROWS($1:3)),))</f>
        <v>1800000</v>
      </c>
      <c r="E15" s="255"/>
    </row>
    <row r="16" spans="1:10" ht="18" customHeight="1">
      <c r="A16" s="265" t="str">
        <f ca="1">IF(ROWS($1:4)&gt;COUNT(Dong3),"",OFFSET(TH!D$1,SMALL(Dong3,ROWS($1:4)),))</f>
        <v>GBN</v>
      </c>
      <c r="B16" s="254">
        <f ca="1">IF(ROWS($1:4)&gt;COUNT(Dong3),"",OFFSET(TH!E$1,SMALL(Dong3,ROWS($1:4)),))</f>
        <v>42374</v>
      </c>
      <c r="C16" s="264" t="str">
        <f ca="1">IF(ROWS($1:4)&gt;COUNT(Dong3),"",OFFSET(TH!F$1,SMALL(Dong3,ROWS($1:4)),))</f>
        <v xml:space="preserve">VAT Phí chuyển tiền </v>
      </c>
      <c r="D16" s="266">
        <f ca="1">IF(ROWS($1:4)&gt;COUNT(Dong3),"",OFFSET(TH!M$1,SMALL(Dong3,ROWS($1:4)),))</f>
        <v>15000</v>
      </c>
      <c r="E16" s="255"/>
    </row>
    <row r="17" spans="1:5" ht="18" customHeight="1">
      <c r="A17" s="265" t="str">
        <f ca="1">IF(ROWS($1:5)&gt;COUNT(Dong3),"",OFFSET(TH!D$1,SMALL(Dong3,ROWS($1:5)),))</f>
        <v>C03</v>
      </c>
      <c r="B17" s="254">
        <f ca="1">IF(ROWS($1:5)&gt;COUNT(Dong3),"",OFFSET(TH!E$1,SMALL(Dong3,ROWS($1:5)),))</f>
        <v>42374</v>
      </c>
      <c r="C17" s="264" t="str">
        <f ca="1">IF(ROWS($1:5)&gt;COUNT(Dong3),"",OFFSET(TH!F$1,SMALL(Dong3,ROWS($1:5)),))</f>
        <v>VAT La bàn, que hàn</v>
      </c>
      <c r="D17" s="266">
        <f ca="1">IF(ROWS($1:5)&gt;COUNT(Dong3),"",OFFSET(TH!M$1,SMALL(Dong3,ROWS($1:5)),))</f>
        <v>165359</v>
      </c>
      <c r="E17" s="255"/>
    </row>
    <row r="18" spans="1:5" ht="18" customHeight="1">
      <c r="A18" s="265" t="str">
        <f ca="1">IF(ROWS($1:6)&gt;COUNT(Dong3),"",OFFSET(TH!D$1,SMALL(Dong3,ROWS($1:6)),))</f>
        <v>CTGS</v>
      </c>
      <c r="B18" s="254">
        <f ca="1">IF(ROWS($1:6)&gt;COUNT(Dong3),"",OFFSET(TH!E$1,SMALL(Dong3,ROWS($1:6)),))</f>
        <v>42374</v>
      </c>
      <c r="C18" s="264" t="str">
        <f ca="1">IF(ROWS($1:6)&gt;COUNT(Dong3),"",OFFSET(TH!F$1,SMALL(Dong3,ROWS($1:6)),))</f>
        <v>VAT Chi phí nhân công, máy</v>
      </c>
      <c r="D18" s="266">
        <f ca="1">IF(ROWS($1:6)&gt;COUNT(Dong3),"",OFFSET(TH!M$1,SMALL(Dong3,ROWS($1:6)),))</f>
        <v>80909091</v>
      </c>
      <c r="E18" s="255"/>
    </row>
    <row r="19" spans="1:5" ht="18" customHeight="1">
      <c r="A19" s="265" t="str">
        <f ca="1">IF(ROWS($1:7)&gt;COUNT(Dong3),"",OFFSET(TH!D$1,SMALL(Dong3,ROWS($1:7)),))</f>
        <v>GBN</v>
      </c>
      <c r="B19" s="254">
        <f ca="1">IF(ROWS($1:7)&gt;COUNT(Dong3),"",OFFSET(TH!E$1,SMALL(Dong3,ROWS($1:7)),))</f>
        <v>42375</v>
      </c>
      <c r="C19" s="264" t="str">
        <f ca="1">IF(ROWS($1:7)&gt;COUNT(Dong3),"",OFFSET(TH!F$1,SMALL(Dong3,ROWS($1:7)),))</f>
        <v xml:space="preserve">VAT Phí chuyển tiền </v>
      </c>
      <c r="D19" s="266">
        <f ca="1">IF(ROWS($1:7)&gt;COUNT(Dong3),"",OFFSET(TH!M$1,SMALL(Dong3,ROWS($1:7)),))</f>
        <v>15748</v>
      </c>
      <c r="E19" s="255"/>
    </row>
    <row r="20" spans="1:5" ht="18" customHeight="1">
      <c r="A20" s="265" t="str">
        <f ca="1">IF(ROWS($1:8)&gt;COUNT(Dong3),"",OFFSET(TH!D$1,SMALL(Dong3,ROWS($1:8)),))</f>
        <v>CTGS</v>
      </c>
      <c r="B20" s="254">
        <f ca="1">IF(ROWS($1:8)&gt;COUNT(Dong3),"",OFFSET(TH!E$1,SMALL(Dong3,ROWS($1:8)),))</f>
        <v>42375</v>
      </c>
      <c r="C20" s="264" t="str">
        <f ca="1">IF(ROWS($1:8)&gt;COUNT(Dong3),"",OFFSET(TH!F$1,SMALL(Dong3,ROWS($1:8)),))</f>
        <v>VAT Tiển công trình đường dây trung thế</v>
      </c>
      <c r="D20" s="266">
        <f ca="1">IF(ROWS($1:8)&gt;COUNT(Dong3),"",OFFSET(TH!M$1,SMALL(Dong3,ROWS($1:8)),))</f>
        <v>15545455</v>
      </c>
      <c r="E20" s="255"/>
    </row>
    <row r="21" spans="1:5" ht="18" customHeight="1">
      <c r="A21" s="265" t="str">
        <f ca="1">IF(ROWS($1:9)&gt;COUNT(Dong3),"",OFFSET(TH!D$1,SMALL(Dong3,ROWS($1:9)),))</f>
        <v>C04</v>
      </c>
      <c r="B21" s="254">
        <f ca="1">IF(ROWS($1:9)&gt;COUNT(Dong3),"",OFFSET(TH!E$1,SMALL(Dong3,ROWS($1:9)),))</f>
        <v>42379</v>
      </c>
      <c r="C21" s="264" t="str">
        <f ca="1">IF(ROWS($1:9)&gt;COUNT(Dong3),"",OFFSET(TH!F$1,SMALL(Dong3,ROWS($1:9)),))</f>
        <v>VAT Phí dịch vụ bảo vệ T12/2015</v>
      </c>
      <c r="D21" s="266">
        <f ca="1">IF(ROWS($1:9)&gt;COUNT(Dong3),"",OFFSET(TH!M$1,SMALL(Dong3,ROWS($1:9)),))</f>
        <v>681818</v>
      </c>
      <c r="E21" s="255"/>
    </row>
    <row r="22" spans="1:5" ht="18" customHeight="1">
      <c r="A22" s="265" t="str">
        <f ca="1">IF(ROWS($1:10)&gt;COUNT(Dong3),"",OFFSET(TH!D$1,SMALL(Dong3,ROWS($1:10)),))</f>
        <v>C05</v>
      </c>
      <c r="B22" s="254">
        <f ca="1">IF(ROWS($1:10)&gt;COUNT(Dong3),"",OFFSET(TH!E$1,SMALL(Dong3,ROWS($1:10)),))</f>
        <v>42380</v>
      </c>
      <c r="C22" s="264" t="str">
        <f ca="1">IF(ROWS($1:10)&gt;COUNT(Dong3),"",OFFSET(TH!F$1,SMALL(Dong3,ROWS($1:10)),))</f>
        <v>VAT Cước điện thoại + Internet T11/2015</v>
      </c>
      <c r="D22" s="266">
        <f ca="1">IF(ROWS($1:10)&gt;COUNT(Dong3),"",OFFSET(TH!M$1,SMALL(Dong3,ROWS($1:10)),))</f>
        <v>49755</v>
      </c>
      <c r="E22" s="255"/>
    </row>
    <row r="23" spans="1:5" ht="18" customHeight="1">
      <c r="A23" s="265" t="str">
        <f ca="1">IF(ROWS($1:11)&gt;COUNT(Dong3),"",OFFSET(TH!D$1,SMALL(Dong3,ROWS($1:11)),))</f>
        <v>CTGS</v>
      </c>
      <c r="B23" s="254">
        <f ca="1">IF(ROWS($1:11)&gt;COUNT(Dong3),"",OFFSET(TH!E$1,SMALL(Dong3,ROWS($1:11)),))</f>
        <v>42380</v>
      </c>
      <c r="C23" s="264" t="str">
        <f ca="1">IF(ROWS($1:11)&gt;COUNT(Dong3),"",OFFSET(TH!F$1,SMALL(Dong3,ROWS($1:11)),))</f>
        <v>VAT Tiền điện kỳ 1 T1/2016</v>
      </c>
      <c r="D23" s="266">
        <f ca="1">IF(ROWS($1:11)&gt;COUNT(Dong3),"",OFFSET(TH!M$1,SMALL(Dong3,ROWS($1:11)),))</f>
        <v>2828010</v>
      </c>
      <c r="E23" s="255"/>
    </row>
    <row r="24" spans="1:5" ht="18" customHeight="1">
      <c r="A24" s="265" t="str">
        <f ca="1">IF(ROWS($1:12)&gt;COUNT(Dong3),"",OFFSET(TH!D$1,SMALL(Dong3,ROWS($1:12)),))</f>
        <v>CTGS</v>
      </c>
      <c r="B24" s="254">
        <f ca="1">IF(ROWS($1:12)&gt;COUNT(Dong3),"",OFFSET(TH!E$1,SMALL(Dong3,ROWS($1:12)),))</f>
        <v>42395</v>
      </c>
      <c r="C24" s="264" t="str">
        <f ca="1">IF(ROWS($1:12)&gt;COUNT(Dong3),"",OFFSET(TH!F$1,SMALL(Dong3,ROWS($1:12)),))</f>
        <v>VAT Tiền điện kỳ 2 T1/2016</v>
      </c>
      <c r="D24" s="266">
        <f ca="1">IF(ROWS($1:12)&gt;COUNT(Dong3),"",OFFSET(TH!M$1,SMALL(Dong3,ROWS($1:12)),))</f>
        <v>3756290</v>
      </c>
      <c r="E24" s="255"/>
    </row>
    <row r="25" spans="1:5" ht="18" customHeight="1">
      <c r="A25" s="265" t="str">
        <f ca="1">IF(ROWS($1:13)&gt;COUNT(Dong3),"",OFFSET(TH!D$1,SMALL(Dong3,ROWS($1:13)),))</f>
        <v>CTGS</v>
      </c>
      <c r="B25" s="254">
        <f ca="1">IF(ROWS($1:13)&gt;COUNT(Dong3),"",OFFSET(TH!E$1,SMALL(Dong3,ROWS($1:13)),))</f>
        <v>42381</v>
      </c>
      <c r="C25" s="264" t="str">
        <f ca="1">IF(ROWS($1:13)&gt;COUNT(Dong3),"",OFFSET(TH!F$1,SMALL(Dong3,ROWS($1:13)),))</f>
        <v>VAT Lắp đặt hệ thống PCCC</v>
      </c>
      <c r="D25" s="266">
        <f ca="1">IF(ROWS($1:13)&gt;COUNT(Dong3),"",OFFSET(TH!M$1,SMALL(Dong3,ROWS($1:13)),))</f>
        <v>35827273</v>
      </c>
      <c r="E25" s="255"/>
    </row>
    <row r="26" spans="1:5" ht="18" customHeight="1">
      <c r="A26" s="265" t="str">
        <f ca="1">IF(ROWS($1:14)&gt;COUNT(Dong3),"",OFFSET(TH!D$1,SMALL(Dong3,ROWS($1:14)),))</f>
        <v>GBN</v>
      </c>
      <c r="B26" s="254">
        <f ca="1">IF(ROWS($1:14)&gt;COUNT(Dong3),"",OFFSET(TH!E$1,SMALL(Dong3,ROWS($1:14)),))</f>
        <v>42381</v>
      </c>
      <c r="C26" s="264" t="str">
        <f ca="1">IF(ROWS($1:14)&gt;COUNT(Dong3),"",OFFSET(TH!F$1,SMALL(Dong3,ROWS($1:14)),))</f>
        <v xml:space="preserve">VAT Phí chuyển tiền </v>
      </c>
      <c r="D26" s="266">
        <f ca="1">IF(ROWS($1:14)&gt;COUNT(Dong3),"",OFFSET(TH!M$1,SMALL(Dong3,ROWS($1:14)),))</f>
        <v>6000</v>
      </c>
      <c r="E26" s="255"/>
    </row>
    <row r="27" spans="1:5" ht="18" customHeight="1">
      <c r="A27" s="265" t="str">
        <f ca="1">IF(ROWS($1:15)&gt;COUNT(Dong3),"",OFFSET(TH!D$1,SMALL(Dong3,ROWS($1:15)),))</f>
        <v>C06</v>
      </c>
      <c r="B27" s="254">
        <f ca="1">IF(ROWS($1:15)&gt;COUNT(Dong3),"",OFFSET(TH!E$1,SMALL(Dong3,ROWS($1:15)),))</f>
        <v>42381</v>
      </c>
      <c r="C27" s="264" t="str">
        <f ca="1">IF(ROWS($1:15)&gt;COUNT(Dong3),"",OFFSET(TH!F$1,SMALL(Dong3,ROWS($1:15)),))</f>
        <v>VAT Van đạp chân, máng rửa tay</v>
      </c>
      <c r="D27" s="266">
        <f ca="1">IF(ROWS($1:15)&gt;COUNT(Dong3),"",OFFSET(TH!M$1,SMALL(Dong3,ROWS($1:15)),))</f>
        <v>1215000</v>
      </c>
      <c r="E27" s="255"/>
    </row>
    <row r="28" spans="1:5" ht="18" customHeight="1">
      <c r="A28" s="265" t="str">
        <f ca="1">IF(ROWS($1:16)&gt;COUNT(Dong3),"",OFFSET(TH!D$1,SMALL(Dong3,ROWS($1:16)),))</f>
        <v>CTGS</v>
      </c>
      <c r="B28" s="254">
        <f ca="1">IF(ROWS($1:16)&gt;COUNT(Dong3),"",OFFSET(TH!E$1,SMALL(Dong3,ROWS($1:16)),))</f>
        <v>42382</v>
      </c>
      <c r="C28" s="264" t="str">
        <f ca="1">IF(ROWS($1:16)&gt;COUNT(Dong3),"",OFFSET(TH!F$1,SMALL(Dong3,ROWS($1:16)),))</f>
        <v>VAT Lắp đặt thiết bị và vận hành hệ thống xử lý nước thải</v>
      </c>
      <c r="D28" s="266">
        <f ca="1">IF(ROWS($1:16)&gt;COUNT(Dong3),"",OFFSET(TH!M$1,SMALL(Dong3,ROWS($1:16)),))</f>
        <v>38909091</v>
      </c>
      <c r="E28" s="255"/>
    </row>
    <row r="29" spans="1:5" ht="18" customHeight="1">
      <c r="A29" s="265" t="str">
        <f ca="1">IF(ROWS($1:17)&gt;COUNT(Dong3),"",OFFSET(TH!D$1,SMALL(Dong3,ROWS($1:17)),))</f>
        <v>C09</v>
      </c>
      <c r="B29" s="254">
        <f ca="1">IF(ROWS($1:17)&gt;COUNT(Dong3),"",OFFSET(TH!E$1,SMALL(Dong3,ROWS($1:17)),))</f>
        <v>42385</v>
      </c>
      <c r="C29" s="264" t="str">
        <f ca="1">IF(ROWS($1:17)&gt;COUNT(Dong3),"",OFFSET(TH!F$1,SMALL(Dong3,ROWS($1:17)),))</f>
        <v>VAT Bình MT5</v>
      </c>
      <c r="D29" s="266">
        <f ca="1">IF(ROWS($1:17)&gt;COUNT(Dong3),"",OFFSET(TH!M$1,SMALL(Dong3,ROWS($1:17)),))</f>
        <v>1275000</v>
      </c>
      <c r="E29" s="255"/>
    </row>
    <row r="30" spans="1:5" ht="18" customHeight="1">
      <c r="A30" s="265" t="str">
        <f ca="1">IF(ROWS($1:18)&gt;COUNT(Dong3),"",OFFSET(TH!D$1,SMALL(Dong3,ROWS($1:18)),))</f>
        <v>C10</v>
      </c>
      <c r="B30" s="254">
        <f ca="1">IF(ROWS($1:18)&gt;COUNT(Dong3),"",OFFSET(TH!E$1,SMALL(Dong3,ROWS($1:18)),))</f>
        <v>42387</v>
      </c>
      <c r="C30" s="264" t="str">
        <f ca="1">IF(ROWS($1:18)&gt;COUNT(Dong3),"",OFFSET(TH!F$1,SMALL(Dong3,ROWS($1:18)),))</f>
        <v>VAT Bình MFZ35, MFZ8</v>
      </c>
      <c r="D30" s="266">
        <f ca="1">IF(ROWS($1:18)&gt;COUNT(Dong3),"",OFFSET(TH!M$1,SMALL(Dong3,ROWS($1:18)),))</f>
        <v>1660000</v>
      </c>
      <c r="E30" s="255"/>
    </row>
    <row r="31" spans="1:5" ht="18" customHeight="1">
      <c r="A31" s="265" t="str">
        <f ca="1">IF(ROWS($1:19)&gt;COUNT(Dong3),"",OFFSET(TH!D$1,SMALL(Dong3,ROWS($1:19)),))</f>
        <v>C11</v>
      </c>
      <c r="B31" s="254">
        <f ca="1">IF(ROWS($1:19)&gt;COUNT(Dong3),"",OFFSET(TH!E$1,SMALL(Dong3,ROWS($1:19)),))</f>
        <v>42388</v>
      </c>
      <c r="C31" s="264" t="str">
        <f ca="1">IF(ROWS($1:19)&gt;COUNT(Dong3),"",OFFSET(TH!F$1,SMALL(Dong3,ROWS($1:19)),))</f>
        <v>VAT Bình MFZ8, MT5, Nối quy tiêu lệnh, đế bình</v>
      </c>
      <c r="D31" s="266">
        <f ca="1">IF(ROWS($1:19)&gt;COUNT(Dong3),"",OFFSET(TH!M$1,SMALL(Dong3,ROWS($1:19)),))</f>
        <v>1620000</v>
      </c>
      <c r="E31" s="255"/>
    </row>
    <row r="32" spans="1:5" ht="18" customHeight="1">
      <c r="A32" s="265" t="str">
        <f ca="1">IF(ROWS($1:20)&gt;COUNT(Dong3),"",OFFSET(TH!D$1,SMALL(Dong3,ROWS($1:20)),))</f>
        <v>C14</v>
      </c>
      <c r="B32" s="254">
        <f ca="1">IF(ROWS($1:20)&gt;COUNT(Dong3),"",OFFSET(TH!E$1,SMALL(Dong3,ROWS($1:20)),))</f>
        <v>42343</v>
      </c>
      <c r="C32" s="264" t="str">
        <f ca="1">IF(ROWS($1:20)&gt;COUNT(Dong3),"",OFFSET(TH!F$1,SMALL(Dong3,ROWS($1:20)),))</f>
        <v>VAT Thép không gỉ</v>
      </c>
      <c r="D32" s="266">
        <f ca="1">IF(ROWS($1:20)&gt;COUNT(Dong3),"",OFFSET(TH!M$1,SMALL(Dong3,ROWS($1:20)),))</f>
        <v>1380400</v>
      </c>
      <c r="E32" s="255"/>
    </row>
    <row r="33" spans="1:5" ht="18" customHeight="1">
      <c r="A33" s="265" t="str">
        <f ca="1">IF(ROWS($1:21)&gt;COUNT(Dong3),"",OFFSET(TH!D$1,SMALL(Dong3,ROWS($1:21)),))</f>
        <v>C16</v>
      </c>
      <c r="B33" s="254">
        <f ca="1">IF(ROWS($1:21)&gt;COUNT(Dong3),"",OFFSET(TH!E$1,SMALL(Dong3,ROWS($1:21)),))</f>
        <v>42390</v>
      </c>
      <c r="C33" s="264" t="str">
        <f ca="1">IF(ROWS($1:21)&gt;COUNT(Dong3),"",OFFSET(TH!F$1,SMALL(Dong3,ROWS($1:21)),))</f>
        <v>VAT Tiền nước tháng 1/2016</v>
      </c>
      <c r="D33" s="266">
        <f ca="1">IF(ROWS($1:21)&gt;COUNT(Dong3),"",OFFSET(TH!M$1,SMALL(Dong3,ROWS($1:21)),))</f>
        <v>366670</v>
      </c>
      <c r="E33" s="255"/>
    </row>
    <row r="34" spans="1:5" ht="18" customHeight="1">
      <c r="A34" s="265" t="str">
        <f ca="1">IF(ROWS($1:22)&gt;COUNT(Dong3),"",OFFSET(TH!D$1,SMALL(Dong3,ROWS($1:22)),))</f>
        <v>GBN</v>
      </c>
      <c r="B34" s="254">
        <f ca="1">IF(ROWS($1:22)&gt;COUNT(Dong3),"",OFFSET(TH!E$1,SMALL(Dong3,ROWS($1:22)),))</f>
        <v>42399</v>
      </c>
      <c r="C34" s="264" t="str">
        <f ca="1">IF(ROWS($1:22)&gt;COUNT(Dong3),"",OFFSET(TH!F$1,SMALL(Dong3,ROWS($1:22)),))</f>
        <v xml:space="preserve">VAT Phí chuyển tiền </v>
      </c>
      <c r="D34" s="266">
        <f ca="1">IF(ROWS($1:22)&gt;COUNT(Dong3),"",OFFSET(TH!M$1,SMALL(Dong3,ROWS($1:22)),))</f>
        <v>12651</v>
      </c>
      <c r="E34" s="255"/>
    </row>
    <row r="35" spans="1:5" ht="18" customHeight="1">
      <c r="A35" s="265" t="str">
        <f ca="1">IF(ROWS($1:23)&gt;COUNT(Dong3),"",OFFSET(TH!D$1,SMALL(Dong3,ROWS($1:23)),))</f>
        <v>GBN</v>
      </c>
      <c r="B35" s="254">
        <f ca="1">IF(ROWS($1:23)&gt;COUNT(Dong3),"",OFFSET(TH!E$1,SMALL(Dong3,ROWS($1:23)),))</f>
        <v>42399</v>
      </c>
      <c r="C35" s="264" t="str">
        <f ca="1">IF(ROWS($1:23)&gt;COUNT(Dong3),"",OFFSET(TH!F$1,SMALL(Dong3,ROWS($1:23)),))</f>
        <v xml:space="preserve">VAT Phí chuyển tiền </v>
      </c>
      <c r="D35" s="266">
        <f ca="1">IF(ROWS($1:23)&gt;COUNT(Dong3),"",OFFSET(TH!M$1,SMALL(Dong3,ROWS($1:23)),))</f>
        <v>16000</v>
      </c>
      <c r="E35" s="255"/>
    </row>
    <row r="36" spans="1:5" ht="18" customHeight="1">
      <c r="A36" s="265" t="str">
        <f ca="1">IF(ROWS($1:24)&gt;COUNT(Dong3),"",OFFSET(TH!D$1,SMALL(Dong3,ROWS($1:24)),))</f>
        <v>GBN</v>
      </c>
      <c r="B36" s="254">
        <f ca="1">IF(ROWS($1:24)&gt;COUNT(Dong3),"",OFFSET(TH!E$1,SMALL(Dong3,ROWS($1:24)),))</f>
        <v>42399</v>
      </c>
      <c r="C36" s="264" t="str">
        <f ca="1">IF(ROWS($1:24)&gt;COUNT(Dong3),"",OFFSET(TH!F$1,SMALL(Dong3,ROWS($1:24)),))</f>
        <v xml:space="preserve">VAT Phí chuyển tiền </v>
      </c>
      <c r="D36" s="266">
        <f ca="1">IF(ROWS($1:24)&gt;COUNT(Dong3),"",OFFSET(TH!M$1,SMALL(Dong3,ROWS($1:24)),))</f>
        <v>4500</v>
      </c>
      <c r="E36" s="255"/>
    </row>
    <row r="37" spans="1:5" ht="18" customHeight="1">
      <c r="A37" s="265" t="str">
        <f ca="1">IF(ROWS($1:25)&gt;COUNT(Dong3),"",OFFSET(TH!D$1,SMALL(Dong3,ROWS($1:25)),))</f>
        <v>C24</v>
      </c>
      <c r="B37" s="254">
        <f ca="1">IF(ROWS($1:25)&gt;COUNT(Dong3),"",OFFSET(TH!E$1,SMALL(Dong3,ROWS($1:25)),))</f>
        <v>42400</v>
      </c>
      <c r="C37" s="264" t="str">
        <f ca="1">IF(ROWS($1:25)&gt;COUNT(Dong3),"",OFFSET(TH!F$1,SMALL(Dong3,ROWS($1:25)),))</f>
        <v>VAT Vận chuyển hàng hóa</v>
      </c>
      <c r="D37" s="266">
        <f ca="1">IF(ROWS($1:25)&gt;COUNT(Dong3),"",OFFSET(TH!M$1,SMALL(Dong3,ROWS($1:25)),))</f>
        <v>145455</v>
      </c>
      <c r="E37" s="255"/>
    </row>
    <row r="38" spans="1:5" ht="18" customHeight="1">
      <c r="A38" s="265" t="str">
        <f ca="1">IF(ROWS($1:26)&gt;COUNT(Dong3),"",OFFSET(TH!D$1,SMALL(Dong3,ROWS($1:26)),))</f>
        <v>GBN</v>
      </c>
      <c r="B38" s="254">
        <f ca="1">IF(ROWS($1:26)&gt;COUNT(Dong3),"",OFFSET(TH!E$1,SMALL(Dong3,ROWS($1:26)),))</f>
        <v>42403</v>
      </c>
      <c r="C38" s="264" t="str">
        <f ca="1">IF(ROWS($1:26)&gt;COUNT(Dong3),"",OFFSET(TH!F$1,SMALL(Dong3,ROWS($1:26)),))</f>
        <v xml:space="preserve">VAT Phí chuyển tiền </v>
      </c>
      <c r="D38" s="266">
        <f ca="1">IF(ROWS($1:26)&gt;COUNT(Dong3),"",OFFSET(TH!M$1,SMALL(Dong3,ROWS($1:26)),))</f>
        <v>4500</v>
      </c>
      <c r="E38" s="255"/>
    </row>
    <row r="39" spans="1:5" ht="18" customHeight="1">
      <c r="A39" s="265" t="str">
        <f ca="1">IF(ROWS($1:27)&gt;COUNT(Dong3),"",OFFSET(TH!D$1,SMALL(Dong3,ROWS($1:27)),))</f>
        <v>GBN</v>
      </c>
      <c r="B39" s="254">
        <f ca="1">IF(ROWS($1:27)&gt;COUNT(Dong3),"",OFFSET(TH!E$1,SMALL(Dong3,ROWS($1:27)),))</f>
        <v>42403</v>
      </c>
      <c r="C39" s="264" t="str">
        <f ca="1">IF(ROWS($1:27)&gt;COUNT(Dong3),"",OFFSET(TH!F$1,SMALL(Dong3,ROWS($1:27)),))</f>
        <v xml:space="preserve">VAT Phí chuyển tiền </v>
      </c>
      <c r="D39" s="266">
        <f ca="1">IF(ROWS($1:27)&gt;COUNT(Dong3),"",OFFSET(TH!M$1,SMALL(Dong3,ROWS($1:27)),))</f>
        <v>4500</v>
      </c>
      <c r="E39" s="255"/>
    </row>
    <row r="40" spans="1:5" ht="18" customHeight="1">
      <c r="A40" s="265" t="str">
        <f ca="1">IF(ROWS($1:28)&gt;COUNT(Dong3),"",OFFSET(TH!D$1,SMALL(Dong3,ROWS($1:28)),))</f>
        <v>GBN</v>
      </c>
      <c r="B40" s="254">
        <f ca="1">IF(ROWS($1:28)&gt;COUNT(Dong3),"",OFFSET(TH!E$1,SMALL(Dong3,ROWS($1:28)),))</f>
        <v>42403</v>
      </c>
      <c r="C40" s="264" t="str">
        <f ca="1">IF(ROWS($1:28)&gt;COUNT(Dong3),"",OFFSET(TH!F$1,SMALL(Dong3,ROWS($1:28)),))</f>
        <v xml:space="preserve">VAT Phí chuyển tiền </v>
      </c>
      <c r="D40" s="266">
        <f ca="1">IF(ROWS($1:28)&gt;COUNT(Dong3),"",OFFSET(TH!M$1,SMALL(Dong3,ROWS($1:28)),))</f>
        <v>4500</v>
      </c>
      <c r="E40" s="255"/>
    </row>
    <row r="41" spans="1:5" ht="18" customHeight="1">
      <c r="A41" s="265" t="str">
        <f ca="1">IF(ROWS($1:29)&gt;COUNT(Dong3),"",OFFSET(TH!D$1,SMALL(Dong3,ROWS($1:29)),))</f>
        <v>GBN</v>
      </c>
      <c r="B41" s="254">
        <f ca="1">IF(ROWS($1:29)&gt;COUNT(Dong3),"",OFFSET(TH!E$1,SMALL(Dong3,ROWS($1:29)),))</f>
        <v>42403</v>
      </c>
      <c r="C41" s="264" t="str">
        <f ca="1">IF(ROWS($1:29)&gt;COUNT(Dong3),"",OFFSET(TH!F$1,SMALL(Dong3,ROWS($1:29)),))</f>
        <v xml:space="preserve">VAT Phí chuyển tiền </v>
      </c>
      <c r="D41" s="266">
        <f ca="1">IF(ROWS($1:29)&gt;COUNT(Dong3),"",OFFSET(TH!M$1,SMALL(Dong3,ROWS($1:29)),))</f>
        <v>5000</v>
      </c>
      <c r="E41" s="255"/>
    </row>
    <row r="42" spans="1:5" ht="18" customHeight="1">
      <c r="A42" s="265" t="str">
        <f ca="1">IF(ROWS($1:30)&gt;COUNT(Dong3),"",OFFSET(TH!D$1,SMALL(Dong3,ROWS($1:30)),))</f>
        <v>GBN</v>
      </c>
      <c r="B42" s="254">
        <f ca="1">IF(ROWS($1:30)&gt;COUNT(Dong3),"",OFFSET(TH!E$1,SMALL(Dong3,ROWS($1:30)),))</f>
        <v>42403</v>
      </c>
      <c r="C42" s="264" t="str">
        <f ca="1">IF(ROWS($1:30)&gt;COUNT(Dong3),"",OFFSET(TH!F$1,SMALL(Dong3,ROWS($1:30)),))</f>
        <v xml:space="preserve">VAT Phí chuyển tiền </v>
      </c>
      <c r="D42" s="266">
        <f ca="1">IF(ROWS($1:30)&gt;COUNT(Dong3),"",OFFSET(TH!M$1,SMALL(Dong3,ROWS($1:30)),))</f>
        <v>24000</v>
      </c>
      <c r="E42" s="255"/>
    </row>
    <row r="43" spans="1:5" ht="18" customHeight="1">
      <c r="A43" s="265" t="str">
        <f ca="1">IF(ROWS($1:31)&gt;COUNT(Dong3),"",OFFSET(TH!D$1,SMALL(Dong3,ROWS($1:31)),))</f>
        <v>GBN</v>
      </c>
      <c r="B43" s="254">
        <f ca="1">IF(ROWS($1:31)&gt;COUNT(Dong3),"",OFFSET(TH!E$1,SMALL(Dong3,ROWS($1:31)),))</f>
        <v>42403</v>
      </c>
      <c r="C43" s="264" t="str">
        <f ca="1">IF(ROWS($1:31)&gt;COUNT(Dong3),"",OFFSET(TH!F$1,SMALL(Dong3,ROWS($1:31)),))</f>
        <v xml:space="preserve">VAT Phí chuyển tiền </v>
      </c>
      <c r="D43" s="266">
        <f ca="1">IF(ROWS($1:31)&gt;COUNT(Dong3),"",OFFSET(TH!M$1,SMALL(Dong3,ROWS($1:31)),))</f>
        <v>3300</v>
      </c>
      <c r="E43" s="255"/>
    </row>
    <row r="44" spans="1:5" ht="18" customHeight="1">
      <c r="A44" s="265" t="str">
        <f ca="1">IF(ROWS($1:32)&gt;COUNT(Dong3),"",OFFSET(TH!D$1,SMALL(Dong3,ROWS($1:32)),))</f>
        <v>C27</v>
      </c>
      <c r="B44" s="254">
        <f ca="1">IF(ROWS($1:32)&gt;COUNT(Dong3),"",OFFSET(TH!E$1,SMALL(Dong3,ROWS($1:32)),))</f>
        <v>42410</v>
      </c>
      <c r="C44" s="264" t="str">
        <f ca="1">IF(ROWS($1:32)&gt;COUNT(Dong3),"",OFFSET(TH!F$1,SMALL(Dong3,ROWS($1:32)),))</f>
        <v>VAT Phí dịch vụ bảo vệ T1/2016</v>
      </c>
      <c r="D44" s="266">
        <f ca="1">IF(ROWS($1:32)&gt;COUNT(Dong3),"",OFFSET(TH!M$1,SMALL(Dong3,ROWS($1:32)),))</f>
        <v>681818</v>
      </c>
      <c r="E44" s="255"/>
    </row>
    <row r="45" spans="1:5" ht="18" customHeight="1">
      <c r="A45" s="265" t="str">
        <f ca="1">IF(ROWS($1:33)&gt;COUNT(Dong3),"",OFFSET(TH!D$1,SMALL(Dong3,ROWS($1:33)),))</f>
        <v>C28</v>
      </c>
      <c r="B45" s="254">
        <f ca="1">IF(ROWS($1:33)&gt;COUNT(Dong3),"",OFFSET(TH!E$1,SMALL(Dong3,ROWS($1:33)),))</f>
        <v>42419</v>
      </c>
      <c r="C45" s="264" t="str">
        <f ca="1">IF(ROWS($1:33)&gt;COUNT(Dong3),"",OFFSET(TH!F$1,SMALL(Dong3,ROWS($1:33)),))</f>
        <v>VAT Cước điện thoại + Internet T1/2016</v>
      </c>
      <c r="D45" s="266">
        <f ca="1">IF(ROWS($1:33)&gt;COUNT(Dong3),"",OFFSET(TH!M$1,SMALL(Dong3,ROWS($1:33)),))</f>
        <v>51408</v>
      </c>
      <c r="E45" s="255"/>
    </row>
    <row r="46" spans="1:5" ht="18" customHeight="1">
      <c r="A46" s="265" t="str">
        <f ca="1">IF(ROWS($1:34)&gt;COUNT(Dong3),"",OFFSET(TH!D$1,SMALL(Dong3,ROWS($1:34)),))</f>
        <v>C31</v>
      </c>
      <c r="B46" s="254">
        <f ca="1">IF(ROWS($1:34)&gt;COUNT(Dong3),"",OFFSET(TH!E$1,SMALL(Dong3,ROWS($1:34)),))</f>
        <v>42425</v>
      </c>
      <c r="C46" s="264" t="str">
        <f ca="1">IF(ROWS($1:34)&gt;COUNT(Dong3),"",OFFSET(TH!F$1,SMALL(Dong3,ROWS($1:34)),))</f>
        <v>VAT Tiền xử lý mước thải</v>
      </c>
      <c r="D46" s="266">
        <f ca="1">IF(ROWS($1:34)&gt;COUNT(Dong3),"",OFFSET(TH!M$1,SMALL(Dong3,ROWS($1:34)),))</f>
        <v>432436</v>
      </c>
      <c r="E46" s="255"/>
    </row>
    <row r="47" spans="1:5" ht="18" customHeight="1">
      <c r="A47" s="265" t="str">
        <f ca="1">IF(ROWS($1:35)&gt;COUNT(Dong3),"",OFFSET(TH!D$1,SMALL(Dong3,ROWS($1:35)),))</f>
        <v>C32</v>
      </c>
      <c r="B47" s="254">
        <f ca="1">IF(ROWS($1:35)&gt;COUNT(Dong3),"",OFFSET(TH!E$1,SMALL(Dong3,ROWS($1:35)),))</f>
        <v>42425</v>
      </c>
      <c r="C47" s="264" t="str">
        <f ca="1">IF(ROWS($1:35)&gt;COUNT(Dong3),"",OFFSET(TH!F$1,SMALL(Dong3,ROWS($1:35)),))</f>
        <v>VAT Thu gom rác thải 11/15 - 1/17</v>
      </c>
      <c r="D47" s="266">
        <f ca="1">IF(ROWS($1:35)&gt;COUNT(Dong3),"",OFFSET(TH!M$1,SMALL(Dong3,ROWS($1:35)),))</f>
        <v>300000</v>
      </c>
      <c r="E47" s="255"/>
    </row>
    <row r="48" spans="1:5" ht="18" customHeight="1">
      <c r="A48" s="265" t="str">
        <f ca="1">IF(ROWS($1:36)&gt;COUNT(Dong3),"",OFFSET(TH!D$1,SMALL(Dong3,ROWS($1:36)),))</f>
        <v>C33</v>
      </c>
      <c r="B48" s="254">
        <f ca="1">IF(ROWS($1:36)&gt;COUNT(Dong3),"",OFFSET(TH!E$1,SMALL(Dong3,ROWS($1:36)),))</f>
        <v>42425</v>
      </c>
      <c r="C48" s="264" t="str">
        <f ca="1">IF(ROWS($1:36)&gt;COUNT(Dong3),"",OFFSET(TH!F$1,SMALL(Dong3,ROWS($1:36)),))</f>
        <v>VAT Tiền nước tháng 2/2016</v>
      </c>
      <c r="D48" s="266">
        <f ca="1">IF(ROWS($1:36)&gt;COUNT(Dong3),"",OFFSET(TH!M$1,SMALL(Dong3,ROWS($1:36)),))</f>
        <v>351130</v>
      </c>
      <c r="E48" s="255"/>
    </row>
    <row r="49" spans="1:5" ht="18" customHeight="1">
      <c r="A49" s="265" t="str">
        <f ca="1">IF(ROWS($1:37)&gt;COUNT(Dong3),"",OFFSET(TH!D$1,SMALL(Dong3,ROWS($1:37)),))</f>
        <v>GBN</v>
      </c>
      <c r="B49" s="254">
        <f ca="1">IF(ROWS($1:37)&gt;COUNT(Dong3),"",OFFSET(TH!E$1,SMALL(Dong3,ROWS($1:37)),))</f>
        <v>42430</v>
      </c>
      <c r="C49" s="264" t="str">
        <f ca="1">IF(ROWS($1:37)&gt;COUNT(Dong3),"",OFFSET(TH!F$1,SMALL(Dong3,ROWS($1:37)),))</f>
        <v xml:space="preserve">VAT Phí chuyển tiền </v>
      </c>
      <c r="D49" s="266">
        <f ca="1">IF(ROWS($1:37)&gt;COUNT(Dong3),"",OFFSET(TH!M$1,SMALL(Dong3,ROWS($1:37)),))</f>
        <v>4500</v>
      </c>
      <c r="E49" s="255"/>
    </row>
    <row r="50" spans="1:5" ht="18" customHeight="1">
      <c r="A50" s="265" t="str">
        <f ca="1">IF(ROWS($1:38)&gt;COUNT(Dong3),"",OFFSET(TH!D$1,SMALL(Dong3,ROWS($1:38)),))</f>
        <v>GBN</v>
      </c>
      <c r="B50" s="254">
        <f ca="1">IF(ROWS($1:38)&gt;COUNT(Dong3),"",OFFSET(TH!E$1,SMALL(Dong3,ROWS($1:38)),))</f>
        <v>42432</v>
      </c>
      <c r="C50" s="264" t="str">
        <f ca="1">IF(ROWS($1:38)&gt;COUNT(Dong3),"",OFFSET(TH!F$1,SMALL(Dong3,ROWS($1:38)),))</f>
        <v>VAT Phí nộp thuế điện tử</v>
      </c>
      <c r="D50" s="266">
        <f ca="1">IF(ROWS($1:38)&gt;COUNT(Dong3),"",OFFSET(TH!M$1,SMALL(Dong3,ROWS($1:38)),))</f>
        <v>1000</v>
      </c>
      <c r="E50" s="255"/>
    </row>
    <row r="51" spans="1:5" ht="18" customHeight="1">
      <c r="A51" s="265" t="str">
        <f ca="1">IF(ROWS($1:39)&gt;COUNT(Dong3),"",OFFSET(TH!D$1,SMALL(Dong3,ROWS($1:39)),))</f>
        <v>C37</v>
      </c>
      <c r="B51" s="254">
        <f ca="1">IF(ROWS($1:39)&gt;COUNT(Dong3),"",OFFSET(TH!E$1,SMALL(Dong3,ROWS($1:39)),))</f>
        <v>42439</v>
      </c>
      <c r="C51" s="264" t="str">
        <f ca="1">IF(ROWS($1:39)&gt;COUNT(Dong3),"",OFFSET(TH!F$1,SMALL(Dong3,ROWS($1:39)),))</f>
        <v>VAT Phí dịch vụ bảo vệ T2/2016</v>
      </c>
      <c r="D51" s="266">
        <f ca="1">IF(ROWS($1:39)&gt;COUNT(Dong3),"",OFFSET(TH!M$1,SMALL(Dong3,ROWS($1:39)),))</f>
        <v>681818</v>
      </c>
      <c r="E51" s="255"/>
    </row>
    <row r="52" spans="1:5" ht="18" customHeight="1">
      <c r="A52" s="265" t="str">
        <f ca="1">IF(ROWS($1:40)&gt;COUNT(Dong3),"",OFFSET(TH!D$1,SMALL(Dong3,ROWS($1:40)),))</f>
        <v>VL/N01</v>
      </c>
      <c r="B52" s="254">
        <f ca="1">IF(ROWS($1:40)&gt;COUNT(Dong3),"",OFFSET(TH!E$1,SMALL(Dong3,ROWS($1:40)),))</f>
        <v>42441</v>
      </c>
      <c r="C52" s="264" t="str">
        <f ca="1">IF(ROWS($1:40)&gt;COUNT(Dong3),"",OFFSET(TH!F$1,SMALL(Dong3,ROWS($1:40)),))</f>
        <v>VAT Túi PE</v>
      </c>
      <c r="D52" s="266">
        <f ca="1">IF(ROWS($1:40)&gt;COUNT(Dong3),"",OFFSET(TH!M$1,SMALL(Dong3,ROWS($1:40)),))</f>
        <v>3300000</v>
      </c>
      <c r="E52" s="255"/>
    </row>
    <row r="53" spans="1:5" ht="18" customHeight="1">
      <c r="A53" s="265" t="str">
        <f ca="1">IF(ROWS($1:41)&gt;COUNT(Dong3),"",OFFSET(TH!D$1,SMALL(Dong3,ROWS($1:41)),))</f>
        <v>C38</v>
      </c>
      <c r="B53" s="254">
        <f ca="1">IF(ROWS($1:41)&gt;COUNT(Dong3),"",OFFSET(TH!E$1,SMALL(Dong3,ROWS($1:41)),))</f>
        <v>42444</v>
      </c>
      <c r="C53" s="264" t="str">
        <f ca="1">IF(ROWS($1:41)&gt;COUNT(Dong3),"",OFFSET(TH!F$1,SMALL(Dong3,ROWS($1:41)),))</f>
        <v>VAT Cước điện thoại + Internet T1/2016</v>
      </c>
      <c r="D53" s="266">
        <f ca="1">IF(ROWS($1:41)&gt;COUNT(Dong3),"",OFFSET(TH!M$1,SMALL(Dong3,ROWS($1:41)),))</f>
        <v>42942</v>
      </c>
      <c r="E53" s="255"/>
    </row>
    <row r="54" spans="1:5" ht="18" customHeight="1">
      <c r="A54" s="265" t="str">
        <f ca="1">IF(ROWS($1:42)&gt;COUNT(Dong3),"",OFFSET(TH!D$1,SMALL(Dong3,ROWS($1:42)),))</f>
        <v>GBN</v>
      </c>
      <c r="B54" s="254">
        <f ca="1">IF(ROWS($1:42)&gt;COUNT(Dong3),"",OFFSET(TH!E$1,SMALL(Dong3,ROWS($1:42)),))</f>
        <v>42445</v>
      </c>
      <c r="C54" s="264" t="str">
        <f ca="1">IF(ROWS($1:42)&gt;COUNT(Dong3),"",OFFSET(TH!F$1,SMALL(Dong3,ROWS($1:42)),))</f>
        <v xml:space="preserve">VAT Phí chuyển tiền </v>
      </c>
      <c r="D54" s="266">
        <f ca="1">IF(ROWS($1:42)&gt;COUNT(Dong3),"",OFFSET(TH!M$1,SMALL(Dong3,ROWS($1:42)),))</f>
        <v>2500</v>
      </c>
      <c r="E54" s="255"/>
    </row>
    <row r="55" spans="1:5" ht="18" customHeight="1">
      <c r="A55" s="265" t="str">
        <f ca="1">IF(ROWS($1:43)&gt;COUNT(Dong3),"",OFFSET(TH!D$1,SMALL(Dong3,ROWS($1:43)),))</f>
        <v>GBN</v>
      </c>
      <c r="B55" s="254">
        <f ca="1">IF(ROWS($1:43)&gt;COUNT(Dong3),"",OFFSET(TH!E$1,SMALL(Dong3,ROWS($1:43)),))</f>
        <v>42445</v>
      </c>
      <c r="C55" s="264" t="str">
        <f ca="1">IF(ROWS($1:43)&gt;COUNT(Dong3),"",OFFSET(TH!F$1,SMALL(Dong3,ROWS($1:43)),))</f>
        <v>VAT Phí kiểm đếm</v>
      </c>
      <c r="D55" s="266">
        <f ca="1">IF(ROWS($1:43)&gt;COUNT(Dong3),"",OFFSET(TH!M$1,SMALL(Dong3,ROWS($1:43)),))</f>
        <v>2000</v>
      </c>
      <c r="E55" s="255"/>
    </row>
    <row r="56" spans="1:5" ht="18" customHeight="1">
      <c r="A56" s="265" t="str">
        <f ca="1">IF(ROWS($1:44)&gt;COUNT(Dong3),"",OFFSET(TH!D$1,SMALL(Dong3,ROWS($1:44)),))</f>
        <v>GBN</v>
      </c>
      <c r="B56" s="254">
        <f ca="1">IF(ROWS($1:44)&gt;COUNT(Dong3),"",OFFSET(TH!E$1,SMALL(Dong3,ROWS($1:44)),))</f>
        <v>42445</v>
      </c>
      <c r="C56" s="264" t="str">
        <f ca="1">IF(ROWS($1:44)&gt;COUNT(Dong3),"",OFFSET(TH!F$1,SMALL(Dong3,ROWS($1:44)),))</f>
        <v xml:space="preserve">VAT Phí chuyển tiền </v>
      </c>
      <c r="D56" s="266">
        <f ca="1">IF(ROWS($1:44)&gt;COUNT(Dong3),"",OFFSET(TH!M$1,SMALL(Dong3,ROWS($1:44)),))</f>
        <v>2500</v>
      </c>
      <c r="E56" s="255"/>
    </row>
    <row r="57" spans="1:5" ht="18" customHeight="1">
      <c r="A57" s="265" t="str">
        <f ca="1">IF(ROWS($1:45)&gt;COUNT(Dong3),"",OFFSET(TH!D$1,SMALL(Dong3,ROWS($1:45)),))</f>
        <v>GBN</v>
      </c>
      <c r="B57" s="254">
        <f ca="1">IF(ROWS($1:45)&gt;COUNT(Dong3),"",OFFSET(TH!E$1,SMALL(Dong3,ROWS($1:45)),))</f>
        <v>42445</v>
      </c>
      <c r="C57" s="264" t="str">
        <f ca="1">IF(ROWS($1:45)&gt;COUNT(Dong3),"",OFFSET(TH!F$1,SMALL(Dong3,ROWS($1:45)),))</f>
        <v>VAT Phí kiểm đếm</v>
      </c>
      <c r="D57" s="266">
        <f ca="1">IF(ROWS($1:45)&gt;COUNT(Dong3),"",OFFSET(TH!M$1,SMALL(Dong3,ROWS($1:45)),))</f>
        <v>2000</v>
      </c>
      <c r="E57" s="255"/>
    </row>
    <row r="58" spans="1:5" ht="18" customHeight="1">
      <c r="A58" s="265" t="str">
        <f ca="1">IF(ROWS($1:46)&gt;COUNT(Dong3),"",OFFSET(TH!D$1,SMALL(Dong3,ROWS($1:46)),))</f>
        <v>GBN</v>
      </c>
      <c r="B58" s="254">
        <f ca="1">IF(ROWS($1:46)&gt;COUNT(Dong3),"",OFFSET(TH!E$1,SMALL(Dong3,ROWS($1:46)),))</f>
        <v>42445</v>
      </c>
      <c r="C58" s="264" t="str">
        <f ca="1">IF(ROWS($1:46)&gt;COUNT(Dong3),"",OFFSET(TH!F$1,SMALL(Dong3,ROWS($1:46)),))</f>
        <v xml:space="preserve">VAT Phí chuyển tiền </v>
      </c>
      <c r="D58" s="266">
        <f ca="1">IF(ROWS($1:46)&gt;COUNT(Dong3),"",OFFSET(TH!M$1,SMALL(Dong3,ROWS($1:46)),))</f>
        <v>2500</v>
      </c>
      <c r="E58" s="255"/>
    </row>
    <row r="59" spans="1:5" ht="18" customHeight="1">
      <c r="A59" s="265" t="str">
        <f ca="1">IF(ROWS($1:47)&gt;COUNT(Dong3),"",OFFSET(TH!D$1,SMALL(Dong3,ROWS($1:47)),))</f>
        <v>GBN</v>
      </c>
      <c r="B59" s="254">
        <f ca="1">IF(ROWS($1:47)&gt;COUNT(Dong3),"",OFFSET(TH!E$1,SMALL(Dong3,ROWS($1:47)),))</f>
        <v>42445</v>
      </c>
      <c r="C59" s="264" t="str">
        <f ca="1">IF(ROWS($1:47)&gt;COUNT(Dong3),"",OFFSET(TH!F$1,SMALL(Dong3,ROWS($1:47)),))</f>
        <v>VAT Phí kiểm đếm</v>
      </c>
      <c r="D59" s="266">
        <f ca="1">IF(ROWS($1:47)&gt;COUNT(Dong3),"",OFFSET(TH!M$1,SMALL(Dong3,ROWS($1:47)),))</f>
        <v>2000</v>
      </c>
      <c r="E59" s="255"/>
    </row>
    <row r="60" spans="1:5" ht="18" customHeight="1">
      <c r="A60" s="265" t="str">
        <f ca="1">IF(ROWS($1:48)&gt;COUNT(Dong3),"",OFFSET(TH!D$1,SMALL(Dong3,ROWS($1:48)),))</f>
        <v>GBN</v>
      </c>
      <c r="B60" s="254">
        <f ca="1">IF(ROWS($1:48)&gt;COUNT(Dong3),"",OFFSET(TH!E$1,SMALL(Dong3,ROWS($1:48)),))</f>
        <v>42445</v>
      </c>
      <c r="C60" s="264" t="str">
        <f ca="1">IF(ROWS($1:48)&gt;COUNT(Dong3),"",OFFSET(TH!F$1,SMALL(Dong3,ROWS($1:48)),))</f>
        <v xml:space="preserve">VAT Phí chuyển tiền </v>
      </c>
      <c r="D60" s="266">
        <f ca="1">IF(ROWS($1:48)&gt;COUNT(Dong3),"",OFFSET(TH!M$1,SMALL(Dong3,ROWS($1:48)),))</f>
        <v>4615</v>
      </c>
      <c r="E60" s="255"/>
    </row>
    <row r="61" spans="1:5" ht="18" customHeight="1">
      <c r="A61" s="265" t="str">
        <f ca="1">IF(ROWS($1:49)&gt;COUNT(Dong3),"",OFFSET(TH!D$1,SMALL(Dong3,ROWS($1:49)),))</f>
        <v>GBN</v>
      </c>
      <c r="B61" s="254">
        <f ca="1">IF(ROWS($1:49)&gt;COUNT(Dong3),"",OFFSET(TH!E$1,SMALL(Dong3,ROWS($1:49)),))</f>
        <v>42445</v>
      </c>
      <c r="C61" s="264" t="str">
        <f ca="1">IF(ROWS($1:49)&gt;COUNT(Dong3),"",OFFSET(TH!F$1,SMALL(Dong3,ROWS($1:49)),))</f>
        <v>VAT Phí kiểm đếm</v>
      </c>
      <c r="D61" s="266">
        <f ca="1">IF(ROWS($1:49)&gt;COUNT(Dong3),"",OFFSET(TH!M$1,SMALL(Dong3,ROWS($1:49)),))</f>
        <v>2769</v>
      </c>
      <c r="E61" s="255"/>
    </row>
    <row r="62" spans="1:5" ht="18" customHeight="1">
      <c r="A62" s="265" t="str">
        <f ca="1">IF(ROWS($1:50)&gt;COUNT(Dong3),"",OFFSET(TH!D$1,SMALL(Dong3,ROWS($1:50)),))</f>
        <v>C41</v>
      </c>
      <c r="B62" s="254">
        <f ca="1">IF(ROWS($1:50)&gt;COUNT(Dong3),"",OFFSET(TH!E$1,SMALL(Dong3,ROWS($1:50)),))</f>
        <v>42450</v>
      </c>
      <c r="C62" s="264" t="str">
        <f ca="1">IF(ROWS($1:50)&gt;COUNT(Dong3),"",OFFSET(TH!F$1,SMALL(Dong3,ROWS($1:50)),))</f>
        <v>VAT Dịch vụ thoát nước thải</v>
      </c>
      <c r="D62" s="266">
        <f ca="1">IF(ROWS($1:50)&gt;COUNT(Dong3),"",OFFSET(TH!M$1,SMALL(Dong3,ROWS($1:50)),))</f>
        <v>414109</v>
      </c>
      <c r="E62" s="255"/>
    </row>
    <row r="63" spans="1:5" ht="18" customHeight="1">
      <c r="A63" s="265" t="str">
        <f ca="1">IF(ROWS($1:51)&gt;COUNT(Dong3),"",OFFSET(TH!D$1,SMALL(Dong3,ROWS($1:51)),))</f>
        <v>C44</v>
      </c>
      <c r="B63" s="254">
        <f ca="1">IF(ROWS($1:51)&gt;COUNT(Dong3),"",OFFSET(TH!E$1,SMALL(Dong3,ROWS($1:51)),))</f>
        <v>42453</v>
      </c>
      <c r="C63" s="264" t="str">
        <f ca="1">IF(ROWS($1:51)&gt;COUNT(Dong3),"",OFFSET(TH!F$1,SMALL(Dong3,ROWS($1:51)),))</f>
        <v>VAT Thiết bị</v>
      </c>
      <c r="D63" s="266">
        <f ca="1">IF(ROWS($1:51)&gt;COUNT(Dong3),"",OFFSET(TH!M$1,SMALL(Dong3,ROWS($1:51)),))</f>
        <v>1705089</v>
      </c>
      <c r="E63" s="255"/>
    </row>
    <row r="64" spans="1:5" ht="18" customHeight="1">
      <c r="A64" s="265" t="str">
        <f ca="1">IF(ROWS($1:52)&gt;COUNT(Dong3),"",OFFSET(TH!D$1,SMALL(Dong3,ROWS($1:52)),))</f>
        <v>CTGS</v>
      </c>
      <c r="B64" s="254">
        <f ca="1">IF(ROWS($1:52)&gt;COUNT(Dong3),"",OFFSET(TH!E$1,SMALL(Dong3,ROWS($1:52)),))</f>
        <v>42446</v>
      </c>
      <c r="C64" s="264" t="str">
        <f ca="1">IF(ROWS($1:52)&gt;COUNT(Dong3),"",OFFSET(TH!F$1,SMALL(Dong3,ROWS($1:52)),))</f>
        <v>VAT Phí hạ tầng từ 15/9/15 đến 15/9/16</v>
      </c>
      <c r="D64" s="266">
        <f ca="1">IF(ROWS($1:52)&gt;COUNT(Dong3),"",OFFSET(TH!M$1,SMALL(Dong3,ROWS($1:52)),))</f>
        <v>3128000</v>
      </c>
      <c r="E64" s="255"/>
    </row>
    <row r="65" spans="1:5" ht="18" customHeight="1">
      <c r="A65" s="265" t="str">
        <f ca="1">IF(ROWS($1:53)&gt;COUNT(Dong3),"",OFFSET(TH!D$1,SMALL(Dong3,ROWS($1:53)),))</f>
        <v>CTGS</v>
      </c>
      <c r="B65" s="254">
        <f ca="1">IF(ROWS($1:53)&gt;COUNT(Dong3),"",OFFSET(TH!E$1,SMALL(Dong3,ROWS($1:53)),))</f>
        <v>42414</v>
      </c>
      <c r="C65" s="264" t="str">
        <f ca="1">IF(ROWS($1:53)&gt;COUNT(Dong3),"",OFFSET(TH!F$1,SMALL(Dong3,ROWS($1:53)),))</f>
        <v>VAT Tiền điện kỳ 1 T2/2016</v>
      </c>
      <c r="D65" s="266">
        <f ca="1">IF(ROWS($1:53)&gt;COUNT(Dong3),"",OFFSET(TH!M$1,SMALL(Dong3,ROWS($1:53)),))</f>
        <v>3675980</v>
      </c>
      <c r="E65" s="255"/>
    </row>
    <row r="66" spans="1:5" ht="18" customHeight="1">
      <c r="A66" s="265"/>
      <c r="B66" s="254"/>
      <c r="C66" s="415"/>
      <c r="D66" s="416"/>
      <c r="E66" s="417"/>
    </row>
    <row r="67" spans="1:5" s="245" customFormat="1" ht="18" customHeight="1">
      <c r="A67" s="256"/>
      <c r="B67" s="257"/>
      <c r="C67" s="258" t="s">
        <v>264</v>
      </c>
      <c r="D67" s="259">
        <f ca="1">SUM(D13:D66)</f>
        <v>204540568</v>
      </c>
      <c r="E67" s="259">
        <f>SUM(E13:E65)</f>
        <v>0</v>
      </c>
    </row>
    <row r="68" spans="1:5" s="245" customFormat="1" ht="18" customHeight="1">
      <c r="A68" s="260"/>
      <c r="B68" s="261"/>
      <c r="C68" s="258" t="s">
        <v>265</v>
      </c>
      <c r="D68" s="259">
        <f ca="1">IF(D67+D11-E67&gt;0,D11+D67-E67,0)</f>
        <v>657155162</v>
      </c>
      <c r="E68" s="259"/>
    </row>
    <row r="70" spans="1:5">
      <c r="B70" s="262" t="s">
        <v>266</v>
      </c>
    </row>
    <row r="71" spans="1:5">
      <c r="B71" s="263" t="str">
        <f ca="1">IF(YEAR($B$13)&lt;&gt;2015,"- Ngày mở sổ: 01/01/2015","- Ngày mở sổ: "&amp;DAY($B$13)&amp;"/"&amp;MONTH($B$13)&amp;"/ 2015")</f>
        <v>- Ngày mở sổ: 01/01/2015</v>
      </c>
    </row>
    <row r="72" spans="1:5">
      <c r="D72" s="186" t="str">
        <f>"Trà Vinh, Ngày "&amp;IF(OR($J$9=3,$J$9=12),"31","30")&amp;" tháng "&amp;$J$9&amp;"  năm  2015 "</f>
        <v xml:space="preserve">Trà Vinh, Ngày 31 tháng 3  năm  2015 </v>
      </c>
    </row>
    <row r="73" spans="1:5" s="240" customFormat="1">
      <c r="A73" s="4"/>
      <c r="B73" s="240" t="s">
        <v>14</v>
      </c>
      <c r="D73" s="240" t="s">
        <v>15</v>
      </c>
    </row>
    <row r="74" spans="1:5" s="240" customFormat="1">
      <c r="A74" s="4"/>
      <c r="B74" s="240" t="s">
        <v>16</v>
      </c>
      <c r="D74" s="240"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tabSelected="1" workbookViewId="0">
      <pane ySplit="3" topLeftCell="A4" activePane="bottomLeft" state="frozen"/>
      <selection pane="bottomLeft" activeCell="A21" sqref="A21:XFD21"/>
    </sheetView>
  </sheetViews>
  <sheetFormatPr defaultColWidth="8" defaultRowHeight="13.5"/>
  <cols>
    <col min="1" max="1" width="5.5703125" style="267" customWidth="1"/>
    <col min="2" max="2" width="59.140625" style="267" customWidth="1"/>
    <col min="3" max="8" width="16.42578125" style="267" customWidth="1"/>
    <col min="9" max="16384" width="8" style="267"/>
  </cols>
  <sheetData>
    <row r="1" spans="1:8" ht="27" customHeight="1">
      <c r="A1" s="1120" t="s">
        <v>182</v>
      </c>
      <c r="B1" s="1120"/>
      <c r="C1" s="1120"/>
      <c r="D1" s="1120"/>
      <c r="E1" s="1120"/>
      <c r="F1" s="1120"/>
      <c r="G1" s="1120"/>
      <c r="H1" s="1120"/>
    </row>
    <row r="2" spans="1:8" s="10" customFormat="1" ht="14.25" customHeight="1">
      <c r="A2" s="1148" t="s">
        <v>46</v>
      </c>
      <c r="B2" s="1150" t="s">
        <v>47</v>
      </c>
      <c r="C2" s="1146" t="s">
        <v>48</v>
      </c>
      <c r="D2" s="1147"/>
      <c r="E2" s="1146" t="s">
        <v>49</v>
      </c>
      <c r="F2" s="1147"/>
      <c r="G2" s="1146" t="s">
        <v>60</v>
      </c>
      <c r="H2" s="1147"/>
    </row>
    <row r="3" spans="1:8" s="10" customFormat="1" ht="14.25" customHeight="1">
      <c r="A3" s="1149"/>
      <c r="B3" s="1151"/>
      <c r="C3" s="374" t="s">
        <v>61</v>
      </c>
      <c r="D3" s="374" t="s">
        <v>62</v>
      </c>
      <c r="E3" s="374" t="s">
        <v>61</v>
      </c>
      <c r="F3" s="374" t="s">
        <v>62</v>
      </c>
      <c r="G3" s="374" t="s">
        <v>61</v>
      </c>
      <c r="H3" s="374" t="s">
        <v>62</v>
      </c>
    </row>
    <row r="4" spans="1:8" s="10" customFormat="1" ht="16.5" customHeight="1">
      <c r="A4" s="6">
        <f>IF(B4&lt;&gt;"",ROW()-3,"")</f>
        <v>1</v>
      </c>
      <c r="B4" s="7" t="s">
        <v>50</v>
      </c>
      <c r="C4" s="8">
        <v>0</v>
      </c>
      <c r="D4" s="8">
        <v>0</v>
      </c>
      <c r="E4" s="8">
        <f t="array" ref="E4">SUM(IF("331"&amp;B4=KHN&amp;KH,TH))</f>
        <v>34408000</v>
      </c>
      <c r="F4" s="8">
        <f t="array" ref="F4">SUM(IF("331"&amp;B4=KHC&amp;KH,TH))</f>
        <v>34408000</v>
      </c>
      <c r="G4" s="92">
        <f t="shared" ref="G4:G10" si="0">ROUND(MAX(C4+E4-D4-F4,0),2)</f>
        <v>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163</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2">
        <f>ROUND(MAX(C13+E13-D13-F13,0),2)</f>
        <v>0</v>
      </c>
      <c r="H13" s="92">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2">
        <f t="shared" si="3"/>
        <v>0</v>
      </c>
      <c r="H17" s="92">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2">
        <f t="shared" si="3"/>
        <v>0</v>
      </c>
      <c r="H19" s="92">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222</v>
      </c>
      <c r="C21" s="8">
        <v>0</v>
      </c>
      <c r="D21" s="8">
        <v>0</v>
      </c>
      <c r="E21" s="8">
        <f t="array" ref="E21">SUM(IF("331"&amp;B21=KHN&amp;KH,TH))</f>
        <v>388165910</v>
      </c>
      <c r="F21" s="8">
        <f t="array" ref="F21">SUM(IF("331"&amp;B21=KHC&amp;KH,TH))</f>
        <v>388165910</v>
      </c>
      <c r="G21" s="92">
        <f t="shared" si="3"/>
        <v>0</v>
      </c>
      <c r="H21" s="92">
        <f t="shared" si="4"/>
        <v>0</v>
      </c>
    </row>
    <row r="22" spans="1:8" s="10" customFormat="1" ht="16.5" customHeight="1">
      <c r="A22" s="6">
        <f t="shared" si="2"/>
        <v>19</v>
      </c>
      <c r="B22" s="7" t="s">
        <v>317</v>
      </c>
      <c r="C22" s="8">
        <v>0</v>
      </c>
      <c r="D22" s="8">
        <v>0</v>
      </c>
      <c r="E22" s="8">
        <f t="array" ref="E22">SUM(IF("331"&amp;B22=KHN&amp;KH,TH))</f>
        <v>11539968</v>
      </c>
      <c r="F22" s="8">
        <f t="array" ref="F22">SUM(IF("331"&amp;B22=KHC&amp;KH,TH))</f>
        <v>19683840</v>
      </c>
      <c r="G22" s="92">
        <f t="shared" si="3"/>
        <v>0</v>
      </c>
      <c r="H22" s="92">
        <f t="shared" si="4"/>
        <v>8143872</v>
      </c>
    </row>
    <row r="23" spans="1:8" s="10" customFormat="1" ht="16.5" customHeight="1">
      <c r="A23" s="6">
        <f t="shared" si="2"/>
        <v>20</v>
      </c>
      <c r="B23" s="67" t="s">
        <v>770</v>
      </c>
      <c r="C23" s="8">
        <v>0</v>
      </c>
      <c r="D23" s="8">
        <v>0</v>
      </c>
      <c r="E23" s="8">
        <f t="array" ref="E23">SUM(IF("331"&amp;B23=KHN&amp;KH,TH))</f>
        <v>0</v>
      </c>
      <c r="F23" s="8">
        <f t="array" ref="F23">SUM(IF("331"&amp;B23=KHC&amp;KH,TH))</f>
        <v>40920000</v>
      </c>
      <c r="G23" s="92">
        <f t="shared" ref="G23:G25" si="5">ROUND(MAX(C23+E23-D23-F23,0),2)</f>
        <v>0</v>
      </c>
      <c r="H23" s="92">
        <f t="shared" ref="H23:H25" si="6">ROUND(MAX(D23+F23-C23-E23,0),2)</f>
        <v>40920000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2770342344</v>
      </c>
      <c r="F27" s="13">
        <f t="shared" si="7"/>
        <v>8677221539</v>
      </c>
      <c r="G27" s="13">
        <f t="shared" si="7"/>
        <v>1630000000</v>
      </c>
      <c r="H27" s="13">
        <f t="shared" si="7"/>
        <v>3226847431</v>
      </c>
    </row>
    <row r="29" spans="1:8">
      <c r="E29" s="15">
        <f>CDPS!E33</f>
        <v>2770342344</v>
      </c>
      <c r="F29" s="15">
        <f>CDPS!F33</f>
        <v>8677221539</v>
      </c>
    </row>
    <row r="31" spans="1:8">
      <c r="E31" s="274">
        <f>E27-E29</f>
        <v>0</v>
      </c>
      <c r="F31" s="274">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D15" sqref="D15"/>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2" t="s">
        <v>86</v>
      </c>
      <c r="I1" s="1152"/>
      <c r="J1" s="1152"/>
    </row>
    <row r="2" spans="1:10" s="3" customFormat="1" ht="14.25" customHeight="1">
      <c r="A2" s="1" t="s">
        <v>18</v>
      </c>
      <c r="B2" s="16"/>
      <c r="C2" s="16"/>
      <c r="G2" s="17"/>
      <c r="H2" s="1153" t="s">
        <v>87</v>
      </c>
      <c r="I2" s="1153"/>
      <c r="J2" s="1153"/>
    </row>
    <row r="3" spans="1:10" s="3" customFormat="1" ht="14.25" customHeight="1">
      <c r="A3" s="4"/>
      <c r="B3" s="16"/>
      <c r="C3" s="16"/>
      <c r="G3" s="17"/>
      <c r="H3" s="1153"/>
      <c r="I3" s="1153"/>
      <c r="J3" s="1153"/>
    </row>
    <row r="4" spans="1:10" s="5" customFormat="1" ht="28.5" customHeight="1">
      <c r="A4" s="1159" t="s">
        <v>33</v>
      </c>
      <c r="B4" s="1159"/>
      <c r="C4" s="1159"/>
      <c r="D4" s="1159"/>
      <c r="E4" s="1159"/>
      <c r="F4" s="1159"/>
      <c r="G4" s="1159"/>
      <c r="H4" s="1159"/>
      <c r="I4" s="1159"/>
      <c r="J4" s="1159"/>
    </row>
    <row r="5" spans="1:10" s="18" customFormat="1" ht="14.25" customHeight="1">
      <c r="E5" s="19" t="s">
        <v>34</v>
      </c>
    </row>
    <row r="6" spans="1:10" s="18" customFormat="1" ht="14.25" customHeight="1">
      <c r="E6" s="19" t="s">
        <v>35</v>
      </c>
    </row>
    <row r="7" spans="1:10" s="18" customFormat="1" ht="14.25" customHeight="1">
      <c r="D7" s="20" t="s">
        <v>85</v>
      </c>
      <c r="E7" s="1154" t="s">
        <v>166</v>
      </c>
      <c r="F7" s="1154"/>
      <c r="G7" s="1154"/>
      <c r="H7" s="1154"/>
    </row>
    <row r="8" spans="1:10" s="18" customFormat="1" ht="14.25" customHeight="1">
      <c r="E8" s="19" t="s">
        <v>36</v>
      </c>
    </row>
    <row r="9" spans="1:10" s="18" customFormat="1" ht="6.75" customHeight="1">
      <c r="B9" s="19"/>
      <c r="C9" s="1155"/>
      <c r="D9" s="1155"/>
      <c r="E9" s="1155"/>
      <c r="F9" s="1155"/>
      <c r="G9" s="1155"/>
      <c r="H9" s="1155"/>
      <c r="I9" s="1155"/>
      <c r="J9" s="1155"/>
    </row>
    <row r="10" spans="1:10" s="18" customFormat="1" ht="14.25" customHeight="1">
      <c r="A10" s="1102" t="s">
        <v>27</v>
      </c>
      <c r="B10" s="1156" t="s">
        <v>1</v>
      </c>
      <c r="C10" s="1156"/>
      <c r="D10" s="1102" t="s">
        <v>0</v>
      </c>
      <c r="E10" s="1102" t="s">
        <v>19</v>
      </c>
      <c r="F10" s="1102" t="s">
        <v>37</v>
      </c>
      <c r="G10" s="1157" t="s">
        <v>28</v>
      </c>
      <c r="H10" s="1158"/>
      <c r="I10" s="1157" t="s">
        <v>38</v>
      </c>
      <c r="J10" s="1158"/>
    </row>
    <row r="11" spans="1:10" s="18" customFormat="1" ht="24.75" customHeight="1">
      <c r="A11" s="1102"/>
      <c r="B11" s="30" t="s">
        <v>20</v>
      </c>
      <c r="C11" s="30" t="s">
        <v>39</v>
      </c>
      <c r="D11" s="1102"/>
      <c r="E11" s="1102"/>
      <c r="F11" s="1102"/>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1750000000</v>
      </c>
      <c r="J13" s="80">
        <f>VLOOKUP($E$7,'331'!$B$4:$H$26,3,0)</f>
        <v>0</v>
      </c>
    </row>
    <row r="14" spans="1:10" s="18" customFormat="1" ht="18" customHeight="1">
      <c r="A14" s="9">
        <f ca="1">IF(C14&lt;&gt;"",C14,"")</f>
        <v>42374</v>
      </c>
      <c r="B14" s="9" t="str">
        <f ca="1">IF(ROWS($1:1)&gt;COUNT(Dong),"",OFFSET(TH!D$1,SMALL(Dong,ROWS($1:1)),))</f>
        <v>GBN</v>
      </c>
      <c r="C14" s="9">
        <f ca="1">IF(ROWS($1:1)&gt;COUNT(Dong),"",OFFSET(TH!E$1,SMALL(Dong,ROWS($1:1)),))</f>
        <v>42374</v>
      </c>
      <c r="D14" s="440" t="str">
        <f ca="1">IF(ROWS($1:1)&gt;COUNT(Dong),"",OFFSET(TH!F$1,SMALL(Dong,ROWS($1:1)),))</f>
        <v>Thanh toán tiền công trình</v>
      </c>
      <c r="E14" s="79" t="str">
        <f ca="1">IF(ROWS($1:1)&gt;COUNT(Dong),"",IF(OFFSET(TH!N$1,SMALL(Dong,ROWS($1:1)),)="331",OFFSET(TH!O$1,SMALL(Dong,ROWS($1:1)),),OFFSET(TH!N$1,SMALL(Dong,ROWS($1:1)),)))</f>
        <v>1121</v>
      </c>
      <c r="F14" s="79"/>
      <c r="G14" s="101">
        <f ca="1">IF(ROWS($1:1)&gt;COUNT(Dong),"",IF(OFFSET(TH!N$1,SMALL(Dong,ROWS($1:1)),)="331",OFFSET(TH!M$1,SMALL(Dong,ROWS($1:1)),),0))</f>
        <v>300000000</v>
      </c>
      <c r="H14" s="101">
        <f ca="1">IF(ROWS($1:1)&gt;COUNT(Dong),"",IF(OFFSET(TH!O$1,SMALL(Dong,ROWS($1:1)),)="331",OFFSET(TH!M$1,SMALL(Dong,ROWS($1:1)),),0))</f>
        <v>0</v>
      </c>
      <c r="I14" s="25">
        <f ca="1">IF(D14&lt;&gt;"",MAX(I13+G14-H14-J13,0),0)</f>
        <v>2050000000</v>
      </c>
      <c r="J14" s="25">
        <f ca="1">IF(D14&lt;&gt;"",MAX(J13+H14-I13-G14,0),0)</f>
        <v>0</v>
      </c>
    </row>
    <row r="15" spans="1:10" s="18" customFormat="1" ht="18" customHeight="1">
      <c r="A15" s="9">
        <f t="shared" ref="A15:A30" ca="1" si="0">IF(C15&lt;&gt;"",C15,"")</f>
        <v>42458</v>
      </c>
      <c r="B15" s="9" t="str">
        <f ca="1">IF(ROWS($1:2)&gt;COUNT(Dong),"",OFFSET(TH!D$1,SMALL(Dong,ROWS($1:2)),))</f>
        <v>GBN</v>
      </c>
      <c r="C15" s="9">
        <f ca="1">IF(ROWS($1:2)&gt;COUNT(Dong),"",OFFSET(TH!E$1,SMALL(Dong,ROWS($1:2)),))</f>
        <v>42458</v>
      </c>
      <c r="D15" s="440" t="str">
        <f ca="1">IF(ROWS($1:2)&gt;COUNT(Dong),"",OFFSET(TH!F$1,SMALL(Dong,ROWS($1:2)),))</f>
        <v>Thanh toán tiền công trình</v>
      </c>
      <c r="E15" s="79" t="str">
        <f ca="1">IF(ROWS($1:2)&gt;COUNT(Dong),"",IF(OFFSET(TH!N$1,SMALL(Dong,ROWS($1:2)),)="331",OFFSET(TH!O$1,SMALL(Dong,ROWS($1:2)),),OFFSET(TH!N$1,SMALL(Dong,ROWS($1:2)),)))</f>
        <v>1121</v>
      </c>
      <c r="F15" s="79"/>
      <c r="G15" s="101">
        <f ca="1">IF(ROWS($1:2)&gt;COUNT(Dong),"",IF(OFFSET(TH!N$1,SMALL(Dong,ROWS($1:2)),)="331",OFFSET(TH!M$1,SMALL(Dong,ROWS($1:2)),),0))</f>
        <v>50000000</v>
      </c>
      <c r="H15" s="101">
        <f ca="1">IF(ROWS($1:2)&gt;COUNT(Dong),"",IF(OFFSET(TH!O$1,SMALL(Dong,ROWS($1:2)),)="331",OFFSET(TH!M$1,SMALL(Dong,ROWS($1:2)),),0))</f>
        <v>0</v>
      </c>
      <c r="I15" s="25">
        <f t="shared" ref="I15:I30" ca="1" si="1">IF(D15&lt;&gt;"",MAX(I14+G15-H15-J14,0),0)</f>
        <v>2100000000</v>
      </c>
      <c r="J15" s="25">
        <f t="shared" ref="J15:J30" ca="1" si="2">IF(D15&lt;&gt;"",MAX(J14+H15-I14-G15,0),0)</f>
        <v>0</v>
      </c>
    </row>
    <row r="16" spans="1:10" s="18" customFormat="1" ht="18" customHeight="1">
      <c r="A16" s="9">
        <f t="shared" ca="1" si="0"/>
        <v>42443</v>
      </c>
      <c r="B16" s="9" t="str">
        <f ca="1">IF(ROWS($1:3)&gt;COUNT(Dong),"",OFFSET(TH!D$1,SMALL(Dong,ROWS($1:3)),))</f>
        <v>CTGS</v>
      </c>
      <c r="C16" s="9">
        <f ca="1">IF(ROWS($1:3)&gt;COUNT(Dong),"",OFFSET(TH!E$1,SMALL(Dong,ROWS($1:3)),))</f>
        <v>42443</v>
      </c>
      <c r="D16" s="440" t="str">
        <f ca="1">IF(ROWS($1:3)&gt;COUNT(Dong),"",OFFSET(TH!F$1,SMALL(Dong,ROWS($1:3)),))</f>
        <v>Lần một HĐKT: 1606/HĐKT/M&amp;E/2015</v>
      </c>
      <c r="E16" s="79" t="str">
        <f ca="1">IF(ROWS($1:3)&gt;COUNT(Dong),"",IF(OFFSET(TH!N$1,SMALL(Dong,ROWS($1:3)),)="331",OFFSET(TH!O$1,SMALL(Dong,ROWS($1:3)),),OFFSET(TH!N$1,SMALL(Dong,ROWS($1:3)),)))</f>
        <v>2412</v>
      </c>
      <c r="F16" s="79"/>
      <c r="G16" s="101">
        <f ca="1">IF(ROWS($1:3)&gt;COUNT(Dong),"",IF(OFFSET(TH!N$1,SMALL(Dong,ROWS($1:3)),)="331",OFFSET(TH!M$1,SMALL(Dong,ROWS($1:3)),),0))</f>
        <v>0</v>
      </c>
      <c r="H16" s="101">
        <f ca="1">IF(ROWS($1:3)&gt;COUNT(Dong),"",IF(OFFSET(TH!O$1,SMALL(Dong,ROWS($1:3)),)="331",OFFSET(TH!M$1,SMALL(Dong,ROWS($1:3)),),0))</f>
        <v>2050000000</v>
      </c>
      <c r="I16" s="25">
        <f t="shared" ca="1" si="1"/>
        <v>50000000</v>
      </c>
      <c r="J16" s="25">
        <f t="shared" ca="1" si="2"/>
        <v>0</v>
      </c>
    </row>
    <row r="17" spans="1:10" s="18" customFormat="1" ht="18" customHeight="1">
      <c r="A17" s="9">
        <f t="shared" ca="1" si="0"/>
        <v>42443</v>
      </c>
      <c r="B17" s="9" t="str">
        <f ca="1">IF(ROWS($1:4)&gt;COUNT(Dong),"",OFFSET(TH!D$1,SMALL(Dong,ROWS($1:4)),))</f>
        <v>CTGS</v>
      </c>
      <c r="C17" s="9">
        <f ca="1">IF(ROWS($1:4)&gt;COUNT(Dong),"",OFFSET(TH!E$1,SMALL(Dong,ROWS($1:4)),))</f>
        <v>42443</v>
      </c>
      <c r="D17" s="440" t="str">
        <f ca="1">IF(ROWS($1:4)&gt;COUNT(Dong),"",OFFSET(TH!F$1,SMALL(Dong,ROWS($1:4)),))</f>
        <v>VAT Lần một HĐKT: 1606/HĐKT/M&amp;E/2015</v>
      </c>
      <c r="E17" s="79" t="str">
        <f ca="1">IF(ROWS($1:4)&gt;COUNT(Dong),"",IF(OFFSET(TH!N$1,SMALL(Dong,ROWS($1:4)),)="331",OFFSET(TH!O$1,SMALL(Dong,ROWS($1:4)),),OFFSET(TH!N$1,SMALL(Dong,ROWS($1:4)),)))</f>
        <v>1331</v>
      </c>
      <c r="F17" s="79"/>
      <c r="G17" s="101">
        <f ca="1">IF(ROWS($1:4)&gt;COUNT(Dong),"",IF(OFFSET(TH!N$1,SMALL(Dong,ROWS($1:4)),)="331",OFFSET(TH!M$1,SMALL(Dong,ROWS($1:4)),),0))</f>
        <v>0</v>
      </c>
      <c r="H17" s="101">
        <f ca="1">IF(ROWS($1:4)&gt;COUNT(Dong),"",IF(OFFSET(TH!O$1,SMALL(Dong,ROWS($1:4)),)="331",OFFSET(TH!M$1,SMALL(Dong,ROWS($1:4)),),0))</f>
        <v>205000000</v>
      </c>
      <c r="I17" s="25">
        <f t="shared" ca="1" si="1"/>
        <v>0</v>
      </c>
      <c r="J17" s="25">
        <f t="shared" ca="1" si="2"/>
        <v>155000000</v>
      </c>
    </row>
    <row r="18" spans="1:10" s="18" customFormat="1" ht="18" customHeight="1">
      <c r="A18" s="9" t="str">
        <f t="shared" ca="1" si="0"/>
        <v/>
      </c>
      <c r="B18" s="9" t="str">
        <f ca="1">IF(ROWS($1:5)&gt;COUNT(Dong),"",OFFSET(TH!D$1,SMALL(Dong,ROWS($1:5)),))</f>
        <v/>
      </c>
      <c r="C18" s="9" t="str">
        <f ca="1">IF(ROWS($1:5)&gt;COUNT(Dong),"",OFFSET(TH!E$1,SMALL(Dong,ROWS($1:5)),))</f>
        <v/>
      </c>
      <c r="D18" s="440" t="str">
        <f ca="1">IF(ROWS($1:5)&gt;COUNT(Dong),"",OFFSET(TH!F$1,SMALL(Dong,ROWS($1:5)),))</f>
        <v/>
      </c>
      <c r="E18" s="79" t="str">
        <f ca="1">IF(ROWS($1:5)&gt;COUNT(Dong),"",IF(OFFSET(TH!N$1,SMALL(Dong,ROWS($1:5)),)="331",OFFSET(TH!O$1,SMALL(Dong,ROWS($1:5)),),OFFSET(TH!N$1,SMALL(Dong,ROWS($1:5)),)))</f>
        <v/>
      </c>
      <c r="F18" s="79"/>
      <c r="G18" s="101" t="str">
        <f ca="1">IF(ROWS($1:5)&gt;COUNT(Dong),"",IF(OFFSET(TH!N$1,SMALL(Dong,ROWS($1:5)),)="331",OFFSET(TH!M$1,SMALL(Dong,ROWS($1:5)),),0))</f>
        <v/>
      </c>
      <c r="H18" s="101"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0" t="str">
        <f ca="1">IF(ROWS($1:6)&gt;COUNT(Dong),"",OFFSET(TH!F$1,SMALL(Dong,ROWS($1:6)),))</f>
        <v/>
      </c>
      <c r="E19" s="79" t="str">
        <f ca="1">IF(ROWS($1:6)&gt;COUNT(Dong),"",IF(OFFSET(TH!N$1,SMALL(Dong,ROWS($1:6)),)="331",OFFSET(TH!O$1,SMALL(Dong,ROWS($1:6)),),OFFSET(TH!N$1,SMALL(Dong,ROWS($1:6)),)))</f>
        <v/>
      </c>
      <c r="F19" s="79"/>
      <c r="G19" s="101" t="str">
        <f ca="1">IF(ROWS($1:6)&gt;COUNT(Dong),"",IF(OFFSET(TH!N$1,SMALL(Dong,ROWS($1:6)),)="331",OFFSET(TH!M$1,SMALL(Dong,ROWS($1:6)),),0))</f>
        <v/>
      </c>
      <c r="H19" s="101"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0" t="str">
        <f ca="1">IF(ROWS($1:7)&gt;COUNT(Dong),"",OFFSET(TH!F$1,SMALL(Dong,ROWS($1:7)),))</f>
        <v/>
      </c>
      <c r="E20" s="79" t="str">
        <f ca="1">IF(ROWS($1:7)&gt;COUNT(Dong),"",IF(OFFSET(TH!N$1,SMALL(Dong,ROWS($1:7)),)="331",OFFSET(TH!O$1,SMALL(Dong,ROWS($1:7)),),OFFSET(TH!N$1,SMALL(Dong,ROWS($1:7)),)))</f>
        <v/>
      </c>
      <c r="F20" s="79"/>
      <c r="G20" s="101" t="str">
        <f ca="1">IF(ROWS($1:7)&gt;COUNT(Dong),"",IF(OFFSET(TH!N$1,SMALL(Dong,ROWS($1:7)),)="331",OFFSET(TH!M$1,SMALL(Dong,ROWS($1:7)),),0))</f>
        <v/>
      </c>
      <c r="H20" s="101"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0" t="str">
        <f ca="1">IF(ROWS($1:8)&gt;COUNT(Dong),"",OFFSET(TH!F$1,SMALL(Dong,ROWS($1:8)),))</f>
        <v/>
      </c>
      <c r="E21" s="79" t="str">
        <f ca="1">IF(ROWS($1:8)&gt;COUNT(Dong),"",IF(OFFSET(TH!N$1,SMALL(Dong,ROWS($1:8)),)="331",OFFSET(TH!O$1,SMALL(Dong,ROWS($1:8)),),OFFSET(TH!N$1,SMALL(Dong,ROWS($1:8)),)))</f>
        <v/>
      </c>
      <c r="F21" s="79"/>
      <c r="G21" s="101" t="str">
        <f ca="1">IF(ROWS($1:8)&gt;COUNT(Dong),"",IF(OFFSET(TH!N$1,SMALL(Dong,ROWS($1:8)),)="331",OFFSET(TH!M$1,SMALL(Dong,ROWS($1:8)),),0))</f>
        <v/>
      </c>
      <c r="H21" s="101"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0" t="str">
        <f ca="1">IF(ROWS($1:9)&gt;COUNT(Dong),"",OFFSET(TH!F$1,SMALL(Dong,ROWS($1:9)),))</f>
        <v/>
      </c>
      <c r="E22" s="79" t="str">
        <f ca="1">IF(ROWS($1:9)&gt;COUNT(Dong),"",IF(OFFSET(TH!N$1,SMALL(Dong,ROWS($1:9)),)="331",OFFSET(TH!O$1,SMALL(Dong,ROWS($1:9)),),OFFSET(TH!N$1,SMALL(Dong,ROWS($1:9)),)))</f>
        <v/>
      </c>
      <c r="F22" s="79"/>
      <c r="G22" s="101" t="str">
        <f ca="1">IF(ROWS($1:9)&gt;COUNT(Dong),"",IF(OFFSET(TH!N$1,SMALL(Dong,ROWS($1:9)),)="331",OFFSET(TH!M$1,SMALL(Dong,ROWS($1:9)),),0))</f>
        <v/>
      </c>
      <c r="H22" s="101"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0" t="str">
        <f ca="1">IF(ROWS($1:10)&gt;COUNT(Dong),"",OFFSET(TH!F$1,SMALL(Dong,ROWS($1:10)),))</f>
        <v/>
      </c>
      <c r="E23" s="79" t="str">
        <f ca="1">IF(ROWS($1:10)&gt;COUNT(Dong),"",IF(OFFSET(TH!N$1,SMALL(Dong,ROWS($1:10)),)="331",OFFSET(TH!O$1,SMALL(Dong,ROWS($1:10)),),OFFSET(TH!N$1,SMALL(Dong,ROWS($1:10)),)))</f>
        <v/>
      </c>
      <c r="F23" s="79"/>
      <c r="G23" s="101" t="str">
        <f ca="1">IF(ROWS($1:10)&gt;COUNT(Dong),"",IF(OFFSET(TH!N$1,SMALL(Dong,ROWS($1:10)),)="331",OFFSET(TH!M$1,SMALL(Dong,ROWS($1:10)),),0))</f>
        <v/>
      </c>
      <c r="H23" s="101"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0" t="str">
        <f ca="1">IF(ROWS($1:11)&gt;COUNT(Dong),"",OFFSET(TH!F$1,SMALL(Dong,ROWS($1:11)),))</f>
        <v/>
      </c>
      <c r="E24" s="79" t="str">
        <f ca="1">IF(ROWS($1:11)&gt;COUNT(Dong),"",IF(OFFSET(TH!N$1,SMALL(Dong,ROWS($1:11)),)="331",OFFSET(TH!O$1,SMALL(Dong,ROWS($1:11)),),OFFSET(TH!N$1,SMALL(Dong,ROWS($1:11)),)))</f>
        <v/>
      </c>
      <c r="F24" s="79"/>
      <c r="G24" s="101" t="str">
        <f ca="1">IF(ROWS($1:11)&gt;COUNT(Dong),"",IF(OFFSET(TH!N$1,SMALL(Dong,ROWS($1:11)),)="331",OFFSET(TH!M$1,SMALL(Dong,ROWS($1:11)),),0))</f>
        <v/>
      </c>
      <c r="H24" s="101"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0" t="str">
        <f ca="1">IF(ROWS($1:12)&gt;COUNT(Dong),"",OFFSET(TH!F$1,SMALL(Dong,ROWS($1:12)),))</f>
        <v/>
      </c>
      <c r="E25" s="79" t="str">
        <f ca="1">IF(ROWS($1:12)&gt;COUNT(Dong),"",IF(OFFSET(TH!N$1,SMALL(Dong,ROWS($1:12)),)="331",OFFSET(TH!O$1,SMALL(Dong,ROWS($1:12)),),OFFSET(TH!N$1,SMALL(Dong,ROWS($1:12)),)))</f>
        <v/>
      </c>
      <c r="F25" s="79"/>
      <c r="G25" s="101" t="str">
        <f ca="1">IF(ROWS($1:12)&gt;COUNT(Dong),"",IF(OFFSET(TH!N$1,SMALL(Dong,ROWS($1:12)),)="331",OFFSET(TH!M$1,SMALL(Dong,ROWS($1:12)),),0))</f>
        <v/>
      </c>
      <c r="H25" s="101"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101" t="str">
        <f ca="1">IF(ROWS($1:13)&gt;COUNT(Dong),"",IF(OFFSET(TH!N$1,SMALL(Dong,ROWS($1:13)),)="331",OFFSET(TH!M$1,SMALL(Dong,ROWS($1:13)),),0))</f>
        <v/>
      </c>
      <c r="H26" s="101"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101" t="str">
        <f ca="1">IF(ROWS($1:14)&gt;COUNT(Dong),"",IF(OFFSET(TH!N$1,SMALL(Dong,ROWS($1:14)),)="331",OFFSET(TH!M$1,SMALL(Dong,ROWS($1:14)),),0))</f>
        <v/>
      </c>
      <c r="H27" s="101"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101" t="str">
        <f ca="1">IF(ROWS($1:15)&gt;COUNT(Dong),"",IF(OFFSET(TH!N$1,SMALL(Dong,ROWS($1:15)),)="331",OFFSET(TH!M$1,SMALL(Dong,ROWS($1:15)),),0))</f>
        <v/>
      </c>
      <c r="H28" s="101"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101" t="str">
        <f ca="1">IF(ROWS($1:16)&gt;COUNT(Dong),"",IF(OFFSET(TH!N$1,SMALL(Dong,ROWS($1:16)),)="331",OFFSET(TH!M$1,SMALL(Dong,ROWS($1:16)),),0))</f>
        <v/>
      </c>
      <c r="H29" s="101"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101" t="str">
        <f ca="1">IF(ROWS($1:17)&gt;COUNT(Dong),"",IF(OFFSET(TH!N$1,SMALL(Dong,ROWS($1:17)),)="331",OFFSET(TH!M$1,SMALL(Dong,ROWS($1:17)),),0))</f>
        <v/>
      </c>
      <c r="H30" s="101"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4"/>
      <c r="B39" s="434"/>
      <c r="C39" s="434"/>
      <c r="D39" s="435"/>
      <c r="E39" s="436"/>
      <c r="F39" s="436"/>
      <c r="G39" s="437"/>
      <c r="H39" s="437"/>
      <c r="I39" s="438"/>
      <c r="J39" s="438"/>
    </row>
    <row r="40" spans="1:11" s="18" customFormat="1" ht="18" customHeight="1">
      <c r="A40" s="24"/>
      <c r="B40" s="21"/>
      <c r="C40" s="26"/>
      <c r="D40" s="23" t="s">
        <v>43</v>
      </c>
      <c r="E40" s="21" t="s">
        <v>26</v>
      </c>
      <c r="F40" s="21" t="s">
        <v>26</v>
      </c>
      <c r="G40" s="27">
        <f ca="1">SUM(G14:G30)</f>
        <v>350000000</v>
      </c>
      <c r="H40" s="27">
        <f ca="1">SUM(H14:H30)</f>
        <v>2255000000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155000000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90" t="s">
        <v>267</v>
      </c>
      <c r="F45" s="1090"/>
      <c r="G45" s="1090"/>
      <c r="H45" s="1090"/>
      <c r="I45" s="1090"/>
      <c r="J45" s="1090"/>
    </row>
    <row r="46" spans="1:11" s="18" customFormat="1" ht="14.25" customHeight="1">
      <c r="C46" s="423" t="s">
        <v>14</v>
      </c>
      <c r="E46" s="1090" t="s">
        <v>15</v>
      </c>
      <c r="F46" s="1090"/>
      <c r="G46" s="1090"/>
      <c r="H46" s="1090"/>
      <c r="I46" s="1090"/>
      <c r="J46" s="1090"/>
    </row>
    <row r="47" spans="1:11" s="18" customFormat="1" ht="14.25" customHeight="1">
      <c r="C47" s="423" t="s">
        <v>16</v>
      </c>
      <c r="E47" s="1090" t="s">
        <v>16</v>
      </c>
      <c r="F47" s="1090"/>
      <c r="G47" s="1090"/>
      <c r="H47" s="1090"/>
      <c r="I47" s="1090"/>
      <c r="J47" s="1090"/>
    </row>
    <row r="48" spans="1:11" s="29" customFormat="1"/>
    <row r="54" spans="3:3" ht="15">
      <c r="C54" s="439"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7" customWidth="1"/>
    <col min="2" max="2" width="21.85546875" style="267" customWidth="1"/>
    <col min="3" max="4" width="8.7109375" style="267" customWidth="1"/>
    <col min="5" max="5" width="8.140625" style="267" customWidth="1"/>
    <col min="6" max="6" width="11" style="267" customWidth="1"/>
    <col min="7" max="7" width="8.140625" style="267" customWidth="1"/>
    <col min="8" max="8" width="13.7109375" style="267" customWidth="1"/>
    <col min="9" max="9" width="7.85546875" style="267" customWidth="1"/>
    <col min="10" max="10" width="12.42578125" style="267" customWidth="1"/>
    <col min="11" max="11" width="8.140625" style="267" customWidth="1"/>
    <col min="12" max="12" width="13.7109375" style="267" customWidth="1"/>
    <col min="13" max="13" width="8.140625" style="267" customWidth="1"/>
    <col min="14" max="14" width="10.140625" style="267" customWidth="1"/>
    <col min="15" max="15" width="8.140625" style="267" customWidth="1"/>
    <col min="16" max="16" width="14" style="267" customWidth="1"/>
    <col min="17" max="16384" width="8" style="267"/>
  </cols>
  <sheetData>
    <row r="1" spans="1:16" ht="21.75" customHeight="1">
      <c r="A1" s="1120" t="s">
        <v>268</v>
      </c>
      <c r="B1" s="1120"/>
      <c r="C1" s="1120"/>
      <c r="D1" s="1120"/>
      <c r="E1" s="1120"/>
      <c r="F1" s="1120"/>
      <c r="G1" s="1120"/>
      <c r="H1" s="1120"/>
      <c r="I1" s="1120"/>
      <c r="J1" s="1120"/>
      <c r="K1" s="1120"/>
      <c r="L1" s="1120"/>
      <c r="M1" s="1120"/>
      <c r="N1" s="1120"/>
      <c r="O1" s="1120"/>
      <c r="P1" s="1120"/>
    </row>
    <row r="2" spans="1:16" s="10" customFormat="1" ht="15.75" customHeight="1">
      <c r="A2" s="1148" t="s">
        <v>46</v>
      </c>
      <c r="B2" s="1150" t="s">
        <v>269</v>
      </c>
      <c r="C2" s="1150" t="s">
        <v>270</v>
      </c>
      <c r="D2" s="1150" t="s">
        <v>272</v>
      </c>
      <c r="E2" s="1122" t="s">
        <v>48</v>
      </c>
      <c r="F2" s="1122"/>
      <c r="G2" s="1122"/>
      <c r="H2" s="1122"/>
      <c r="I2" s="1122" t="s">
        <v>49</v>
      </c>
      <c r="J2" s="1122"/>
      <c r="K2" s="1122"/>
      <c r="L2" s="1122"/>
      <c r="M2" s="1146" t="s">
        <v>60</v>
      </c>
      <c r="N2" s="1160"/>
      <c r="O2" s="1160"/>
      <c r="P2" s="1147"/>
    </row>
    <row r="3" spans="1:16" s="10" customFormat="1" ht="15.75" customHeight="1">
      <c r="A3" s="1149"/>
      <c r="B3" s="1151"/>
      <c r="C3" s="1151"/>
      <c r="D3" s="1151"/>
      <c r="E3" s="1122" t="s">
        <v>61</v>
      </c>
      <c r="F3" s="1122"/>
      <c r="G3" s="1122" t="s">
        <v>62</v>
      </c>
      <c r="H3" s="1122"/>
      <c r="I3" s="1122" t="s">
        <v>61</v>
      </c>
      <c r="J3" s="1122"/>
      <c r="K3" s="1122" t="s">
        <v>62</v>
      </c>
      <c r="L3" s="1122"/>
      <c r="M3" s="1122" t="s">
        <v>61</v>
      </c>
      <c r="N3" s="1122"/>
      <c r="O3" s="1122" t="s">
        <v>62</v>
      </c>
      <c r="P3" s="1122"/>
    </row>
    <row r="4" spans="1:16" s="10" customFormat="1" ht="15.75" customHeight="1">
      <c r="A4" s="1149"/>
      <c r="B4" s="1151"/>
      <c r="C4" s="1151"/>
      <c r="D4" s="1151"/>
      <c r="E4" s="392" t="s">
        <v>335</v>
      </c>
      <c r="F4" s="392" t="s">
        <v>336</v>
      </c>
      <c r="G4" s="392" t="s">
        <v>335</v>
      </c>
      <c r="H4" s="392" t="s">
        <v>336</v>
      </c>
      <c r="I4" s="392" t="s">
        <v>335</v>
      </c>
      <c r="J4" s="392" t="s">
        <v>336</v>
      </c>
      <c r="K4" s="392" t="s">
        <v>335</v>
      </c>
      <c r="L4" s="392" t="s">
        <v>336</v>
      </c>
      <c r="M4" s="392" t="s">
        <v>335</v>
      </c>
      <c r="N4" s="392" t="s">
        <v>336</v>
      </c>
      <c r="O4" s="392" t="s">
        <v>335</v>
      </c>
      <c r="P4" s="392" t="s">
        <v>336</v>
      </c>
    </row>
    <row r="5" spans="1:16" s="10" customFormat="1" ht="18" customHeight="1">
      <c r="A5" s="6">
        <f>IF(B5&lt;&gt;"",ROW()-4,"")</f>
        <v>1</v>
      </c>
      <c r="B5" s="7" t="s">
        <v>167</v>
      </c>
      <c r="C5" s="268">
        <v>41870</v>
      </c>
      <c r="D5" s="268">
        <v>46253</v>
      </c>
      <c r="E5" s="393">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1">
        <f>ROUND(MAX(E5+I5-G5-K5,0),2)</f>
        <v>0</v>
      </c>
      <c r="N5" s="271">
        <f t="shared" ref="N5:N18" si="0">ROUND(MAX(F5+J5-H5-L5,0),2)</f>
        <v>0</v>
      </c>
      <c r="O5" s="271">
        <f t="shared" ref="O5:P19" si="1">ROUND(MAX(G5+K5-E5-I5,0),2)</f>
        <v>0</v>
      </c>
      <c r="P5" s="271">
        <f t="shared" si="1"/>
        <v>1000000000</v>
      </c>
    </row>
    <row r="6" spans="1:16" s="10" customFormat="1" ht="18" customHeight="1">
      <c r="A6" s="6">
        <f t="shared" ref="A6:A22" si="2">IF(B6&lt;&gt;"",ROW()-4,"")</f>
        <v>2</v>
      </c>
      <c r="B6" s="7" t="s">
        <v>168</v>
      </c>
      <c r="C6" s="268">
        <v>41905</v>
      </c>
      <c r="D6" s="268">
        <v>46253</v>
      </c>
      <c r="E6" s="268">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1">
        <f t="shared" ref="M6:M19" si="3">ROUND(MAX(E6+I6-G6-K6,0),2)</f>
        <v>0</v>
      </c>
      <c r="N6" s="271">
        <f t="shared" si="0"/>
        <v>0</v>
      </c>
      <c r="O6" s="271">
        <f t="shared" si="1"/>
        <v>0</v>
      </c>
      <c r="P6" s="271">
        <f t="shared" si="1"/>
        <v>2000000000</v>
      </c>
    </row>
    <row r="7" spans="1:16" s="10" customFormat="1" ht="18" customHeight="1">
      <c r="A7" s="6">
        <f t="shared" si="2"/>
        <v>3</v>
      </c>
      <c r="B7" s="7" t="s">
        <v>170</v>
      </c>
      <c r="C7" s="268">
        <v>41934</v>
      </c>
      <c r="D7" s="268">
        <v>46253</v>
      </c>
      <c r="E7" s="268">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1">
        <f t="shared" si="3"/>
        <v>0</v>
      </c>
      <c r="N7" s="271">
        <f t="shared" si="0"/>
        <v>0</v>
      </c>
      <c r="O7" s="271">
        <f t="shared" si="1"/>
        <v>0</v>
      </c>
      <c r="P7" s="271">
        <f t="shared" si="1"/>
        <v>1600000000</v>
      </c>
    </row>
    <row r="8" spans="1:16" s="10" customFormat="1" ht="18" customHeight="1">
      <c r="A8" s="6">
        <f t="shared" si="2"/>
        <v>4</v>
      </c>
      <c r="B8" s="7" t="s">
        <v>169</v>
      </c>
      <c r="C8" s="268">
        <v>41963</v>
      </c>
      <c r="D8" s="268">
        <v>46253</v>
      </c>
      <c r="E8" s="268">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1">
        <f t="shared" si="3"/>
        <v>0</v>
      </c>
      <c r="N8" s="271">
        <f t="shared" si="0"/>
        <v>0</v>
      </c>
      <c r="O8" s="271">
        <f t="shared" si="1"/>
        <v>0</v>
      </c>
      <c r="P8" s="271">
        <f t="shared" si="1"/>
        <v>1500000000</v>
      </c>
    </row>
    <row r="9" spans="1:16" s="10" customFormat="1" ht="18" customHeight="1">
      <c r="A9" s="6">
        <f t="shared" si="2"/>
        <v>5</v>
      </c>
      <c r="B9" s="7" t="s">
        <v>171</v>
      </c>
      <c r="C9" s="268">
        <v>41984</v>
      </c>
      <c r="D9" s="268">
        <v>46253</v>
      </c>
      <c r="E9" s="268">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1">
        <f t="shared" si="3"/>
        <v>0</v>
      </c>
      <c r="N9" s="271">
        <f t="shared" si="0"/>
        <v>0</v>
      </c>
      <c r="O9" s="271">
        <f t="shared" si="1"/>
        <v>0</v>
      </c>
      <c r="P9" s="271">
        <f t="shared" si="1"/>
        <v>1000000000</v>
      </c>
    </row>
    <row r="10" spans="1:16" s="10" customFormat="1" ht="18" customHeight="1">
      <c r="A10" s="6">
        <f t="shared" si="2"/>
        <v>6</v>
      </c>
      <c r="B10" s="7" t="s">
        <v>172</v>
      </c>
      <c r="C10" s="268">
        <v>42033</v>
      </c>
      <c r="D10" s="268">
        <v>46253</v>
      </c>
      <c r="E10" s="268">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1">
        <f t="shared" si="3"/>
        <v>0</v>
      </c>
      <c r="N10" s="271">
        <f t="shared" si="0"/>
        <v>0</v>
      </c>
      <c r="O10" s="271">
        <f t="shared" si="1"/>
        <v>0</v>
      </c>
      <c r="P10" s="271">
        <f t="shared" si="1"/>
        <v>1500000000</v>
      </c>
    </row>
    <row r="11" spans="1:16" s="10" customFormat="1" ht="18" customHeight="1">
      <c r="A11" s="6">
        <f t="shared" si="2"/>
        <v>7</v>
      </c>
      <c r="B11" s="7" t="s">
        <v>173</v>
      </c>
      <c r="C11" s="268">
        <v>42088</v>
      </c>
      <c r="D11" s="268">
        <v>46253</v>
      </c>
      <c r="E11" s="268">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1">
        <f t="shared" si="3"/>
        <v>0</v>
      </c>
      <c r="N11" s="271">
        <f t="shared" si="0"/>
        <v>0</v>
      </c>
      <c r="O11" s="271">
        <f t="shared" si="1"/>
        <v>0</v>
      </c>
      <c r="P11" s="271">
        <f t="shared" si="1"/>
        <v>2000000000</v>
      </c>
    </row>
    <row r="12" spans="1:16" s="10" customFormat="1" ht="18" customHeight="1">
      <c r="A12" s="6">
        <f t="shared" si="2"/>
        <v>8</v>
      </c>
      <c r="B12" s="7" t="s">
        <v>174</v>
      </c>
      <c r="C12" s="268">
        <v>42114</v>
      </c>
      <c r="D12" s="268">
        <v>46253</v>
      </c>
      <c r="E12" s="268">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1">
        <f t="shared" si="3"/>
        <v>0</v>
      </c>
      <c r="N12" s="271">
        <f t="shared" si="0"/>
        <v>0</v>
      </c>
      <c r="O12" s="271">
        <f t="shared" si="1"/>
        <v>0</v>
      </c>
      <c r="P12" s="271">
        <f t="shared" si="1"/>
        <v>1400000000</v>
      </c>
    </row>
    <row r="13" spans="1:16" s="10" customFormat="1" ht="18" customHeight="1">
      <c r="A13" s="6">
        <f t="shared" si="2"/>
        <v>9</v>
      </c>
      <c r="B13" s="7" t="s">
        <v>175</v>
      </c>
      <c r="C13" s="268">
        <v>42138</v>
      </c>
      <c r="D13" s="268">
        <v>46253</v>
      </c>
      <c r="E13" s="268">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1">
        <f t="shared" si="3"/>
        <v>0</v>
      </c>
      <c r="N13" s="271">
        <f t="shared" si="0"/>
        <v>0</v>
      </c>
      <c r="O13" s="271">
        <f t="shared" si="1"/>
        <v>0</v>
      </c>
      <c r="P13" s="271">
        <f t="shared" si="1"/>
        <v>1500000000</v>
      </c>
    </row>
    <row r="14" spans="1:16" s="10" customFormat="1" ht="18" customHeight="1">
      <c r="A14" s="6">
        <f t="shared" si="2"/>
        <v>10</v>
      </c>
      <c r="B14" s="7" t="s">
        <v>176</v>
      </c>
      <c r="C14" s="268">
        <v>42164</v>
      </c>
      <c r="D14" s="268">
        <v>46253</v>
      </c>
      <c r="E14" s="268">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1">
        <f t="shared" si="3"/>
        <v>0</v>
      </c>
      <c r="N14" s="271">
        <f t="shared" si="0"/>
        <v>0</v>
      </c>
      <c r="O14" s="271">
        <f t="shared" si="1"/>
        <v>0</v>
      </c>
      <c r="P14" s="271">
        <f t="shared" si="1"/>
        <v>1500000000</v>
      </c>
    </row>
    <row r="15" spans="1:16" s="10" customFormat="1" ht="18" customHeight="1">
      <c r="A15" s="6">
        <f t="shared" si="2"/>
        <v>11</v>
      </c>
      <c r="B15" s="7" t="s">
        <v>177</v>
      </c>
      <c r="C15" s="268">
        <v>42187</v>
      </c>
      <c r="D15" s="268">
        <v>46253</v>
      </c>
      <c r="E15" s="268">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1">
        <f t="shared" si="3"/>
        <v>0</v>
      </c>
      <c r="N15" s="271">
        <f t="shared" si="0"/>
        <v>0</v>
      </c>
      <c r="O15" s="271">
        <f t="shared" si="1"/>
        <v>0</v>
      </c>
      <c r="P15" s="271">
        <f t="shared" si="1"/>
        <v>1500000000</v>
      </c>
    </row>
    <row r="16" spans="1:16" s="10" customFormat="1" ht="18" customHeight="1">
      <c r="A16" s="6">
        <f t="shared" si="2"/>
        <v>12</v>
      </c>
      <c r="B16" s="7" t="s">
        <v>180</v>
      </c>
      <c r="C16" s="268">
        <v>42195</v>
      </c>
      <c r="D16" s="268">
        <v>46253</v>
      </c>
      <c r="E16" s="268">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1">
        <f t="shared" si="3"/>
        <v>0</v>
      </c>
      <c r="N16" s="271">
        <f t="shared" si="0"/>
        <v>0</v>
      </c>
      <c r="O16" s="271">
        <f t="shared" si="1"/>
        <v>0</v>
      </c>
      <c r="P16" s="271">
        <f t="shared" si="1"/>
        <v>1500000000</v>
      </c>
    </row>
    <row r="17" spans="1:16" s="10" customFormat="1" ht="18" customHeight="1">
      <c r="A17" s="6">
        <f t="shared" si="2"/>
        <v>13</v>
      </c>
      <c r="B17" s="7" t="s">
        <v>181</v>
      </c>
      <c r="C17" s="268">
        <v>42215</v>
      </c>
      <c r="D17" s="268">
        <v>46253</v>
      </c>
      <c r="E17" s="268">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1">
        <f t="shared" si="3"/>
        <v>0</v>
      </c>
      <c r="N17" s="271">
        <f t="shared" si="0"/>
        <v>0</v>
      </c>
      <c r="O17" s="271">
        <f t="shared" si="1"/>
        <v>0</v>
      </c>
      <c r="P17" s="271">
        <f t="shared" si="1"/>
        <v>1000000000</v>
      </c>
    </row>
    <row r="18" spans="1:16" s="10" customFormat="1" ht="18" customHeight="1">
      <c r="A18" s="6">
        <f t="shared" si="2"/>
        <v>14</v>
      </c>
      <c r="B18" s="7" t="s">
        <v>185</v>
      </c>
      <c r="C18" s="268">
        <v>42229</v>
      </c>
      <c r="D18" s="268">
        <v>46253</v>
      </c>
      <c r="E18" s="268">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1">
        <f t="shared" si="3"/>
        <v>0</v>
      </c>
      <c r="N18" s="271">
        <f t="shared" si="0"/>
        <v>0</v>
      </c>
      <c r="O18" s="271">
        <f t="shared" si="1"/>
        <v>0</v>
      </c>
      <c r="P18" s="271">
        <f t="shared" si="1"/>
        <v>1000000000</v>
      </c>
    </row>
    <row r="19" spans="1:16" s="10" customFormat="1" ht="18" customHeight="1">
      <c r="A19" s="6">
        <f t="shared" si="2"/>
        <v>15</v>
      </c>
      <c r="B19" s="7" t="s">
        <v>333</v>
      </c>
      <c r="C19" s="268">
        <v>42362</v>
      </c>
      <c r="D19" s="268">
        <v>42545</v>
      </c>
      <c r="E19" s="268">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71">
        <f t="shared" si="3"/>
        <v>0</v>
      </c>
      <c r="N19" s="271">
        <f>ROUND(MAX(F19+J19-H19-L19,0),2)</f>
        <v>0</v>
      </c>
      <c r="O19" s="271">
        <f t="shared" si="1"/>
        <v>0</v>
      </c>
      <c r="P19" s="271">
        <f>ROUND(MAX(H19+L19-F19-J19,0),2)</f>
        <v>0</v>
      </c>
    </row>
    <row r="20" spans="1:16" s="10" customFormat="1" ht="18" customHeight="1">
      <c r="A20" s="6">
        <f t="shared" si="2"/>
        <v>16</v>
      </c>
      <c r="B20" s="7" t="s">
        <v>978</v>
      </c>
      <c r="C20" s="268">
        <v>42543</v>
      </c>
      <c r="D20" s="268">
        <v>42726</v>
      </c>
      <c r="E20" s="268"/>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71">
        <f>ROUND(MAX(E20+I20-G20-K20,0),2)</f>
        <v>0</v>
      </c>
      <c r="N20" s="271">
        <f>ROUND(MAX(F20+J20-H20-L20,0),2)</f>
        <v>0</v>
      </c>
      <c r="O20" s="271">
        <f>ROUND(MAX(G20+K20-E20-I20,0),2)</f>
        <v>88000</v>
      </c>
      <c r="P20" s="271">
        <f>ROUND(MAX(H20+L20-F20-J20,0),2)</f>
        <v>1961520000</v>
      </c>
    </row>
    <row r="21" spans="1:16" s="10" customFormat="1" ht="18" customHeight="1">
      <c r="A21" s="6" t="str">
        <f t="shared" si="2"/>
        <v/>
      </c>
      <c r="B21" s="7"/>
      <c r="C21" s="268"/>
      <c r="D21" s="268"/>
      <c r="E21" s="268"/>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1">
        <f>ROUND(MAX(E21+I21-G21-K21,0),2)</f>
        <v>0</v>
      </c>
      <c r="N21" s="271">
        <f>ROUND(MAX(F21+J21-H21-L21,0),2)</f>
        <v>0</v>
      </c>
      <c r="O21" s="271">
        <f>ROUND(MAX(G21+K21-E21-I21,0),2)</f>
        <v>0</v>
      </c>
      <c r="P21" s="271">
        <f>ROUND(MAX(H21+L21-F21-J21,0),2)</f>
        <v>0</v>
      </c>
    </row>
    <row r="22" spans="1:16" s="10" customFormat="1" ht="18" customHeight="1">
      <c r="A22" s="6" t="str">
        <f t="shared" si="2"/>
        <v/>
      </c>
      <c r="B22" s="272"/>
      <c r="C22" s="273"/>
      <c r="D22" s="273"/>
      <c r="E22" s="273"/>
      <c r="F22" s="269"/>
      <c r="G22" s="269"/>
      <c r="H22" s="269"/>
      <c r="I22" s="269"/>
      <c r="J22" s="269"/>
      <c r="K22" s="269"/>
      <c r="L22" s="269"/>
      <c r="M22" s="394"/>
      <c r="N22" s="270"/>
      <c r="O22" s="270"/>
      <c r="P22" s="270"/>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CDPS!H42</f>
        <v>23944160000</v>
      </c>
    </row>
    <row r="25" spans="1:16">
      <c r="P25" s="274">
        <f>P23-P24</f>
        <v>-1982640000</v>
      </c>
    </row>
    <row r="27" spans="1:16">
      <c r="B27" s="267">
        <v>1</v>
      </c>
      <c r="C27" s="267">
        <v>2</v>
      </c>
      <c r="D27" s="267">
        <v>3</v>
      </c>
      <c r="E27" s="267">
        <v>4</v>
      </c>
      <c r="F27" s="267">
        <v>5</v>
      </c>
      <c r="G27" s="267">
        <v>6</v>
      </c>
      <c r="H27" s="267">
        <v>7</v>
      </c>
      <c r="I27" s="267">
        <v>8</v>
      </c>
      <c r="J27" s="267">
        <v>9</v>
      </c>
      <c r="K27" s="267">
        <v>10</v>
      </c>
      <c r="L27" s="267">
        <v>11</v>
      </c>
      <c r="M27" s="267">
        <v>12</v>
      </c>
      <c r="N27" s="267">
        <v>13</v>
      </c>
      <c r="O27" s="267">
        <v>14</v>
      </c>
      <c r="P27" s="26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1" customWidth="1"/>
    <col min="2" max="2" width="7" style="281" customWidth="1"/>
    <col min="3" max="3" width="8.140625" style="281" customWidth="1"/>
    <col min="4" max="4" width="35.42578125" style="281" customWidth="1"/>
    <col min="5" max="5" width="6.5703125" style="281" customWidth="1"/>
    <col min="6" max="6" width="9.140625" style="281"/>
    <col min="7" max="7" width="9.7109375" style="281" customWidth="1"/>
    <col min="8" max="8" width="12" style="281" customWidth="1"/>
    <col min="9" max="9" width="9.7109375" style="281" customWidth="1"/>
    <col min="10" max="10" width="12.42578125" style="281" customWidth="1"/>
    <col min="11" max="11" width="9.28515625" style="281" customWidth="1"/>
    <col min="12" max="12" width="11" style="281" customWidth="1"/>
    <col min="13" max="13" width="10.85546875" style="281" customWidth="1"/>
    <col min="14" max="14" width="14" style="281" customWidth="1"/>
    <col min="15" max="16384" width="9.140625" style="281"/>
  </cols>
  <sheetData>
    <row r="1" spans="1:14" s="276" customFormat="1" ht="16.5" customHeight="1">
      <c r="A1" s="282" t="s">
        <v>17</v>
      </c>
      <c r="B1" s="275"/>
      <c r="C1" s="275"/>
      <c r="H1" s="275"/>
      <c r="I1" s="275"/>
      <c r="J1" s="1152" t="s">
        <v>346</v>
      </c>
      <c r="K1" s="1152"/>
      <c r="L1" s="1152"/>
      <c r="M1" s="1152"/>
      <c r="N1" s="1152"/>
    </row>
    <row r="2" spans="1:14" s="276" customFormat="1" ht="16.5" customHeight="1">
      <c r="A2" s="283" t="s">
        <v>271</v>
      </c>
      <c r="B2" s="424"/>
      <c r="C2" s="424"/>
      <c r="H2" s="277"/>
      <c r="I2" s="277"/>
      <c r="J2" s="1153" t="s">
        <v>347</v>
      </c>
      <c r="K2" s="1153"/>
      <c r="L2" s="1153"/>
      <c r="M2" s="1153"/>
      <c r="N2" s="1153"/>
    </row>
    <row r="3" spans="1:14" s="276" customFormat="1" ht="16.5" customHeight="1">
      <c r="A3" s="424"/>
      <c r="B3" s="424"/>
      <c r="C3" s="424"/>
      <c r="H3" s="277"/>
      <c r="I3" s="277"/>
      <c r="J3" s="1153"/>
      <c r="K3" s="1153"/>
      <c r="L3" s="1153"/>
      <c r="M3" s="1153"/>
      <c r="N3" s="1153"/>
    </row>
    <row r="4" spans="1:14" s="276" customFormat="1" ht="16.5" customHeight="1">
      <c r="A4" s="424"/>
      <c r="B4" s="424"/>
      <c r="C4" s="424"/>
      <c r="H4" s="277"/>
      <c r="I4" s="277"/>
      <c r="J4" s="425"/>
      <c r="K4" s="425"/>
      <c r="L4" s="425"/>
      <c r="M4" s="425"/>
      <c r="N4" s="425"/>
    </row>
    <row r="5" spans="1:14" s="18" customFormat="1" ht="23.25" customHeight="1">
      <c r="A5" s="1124" t="s">
        <v>348</v>
      </c>
      <c r="B5" s="1124"/>
      <c r="C5" s="1124"/>
      <c r="D5" s="1124"/>
      <c r="E5" s="1124"/>
      <c r="F5" s="1124"/>
      <c r="G5" s="1124"/>
      <c r="H5" s="1124"/>
      <c r="I5" s="1124"/>
      <c r="J5" s="1124"/>
      <c r="K5" s="1124"/>
      <c r="L5" s="1124"/>
      <c r="M5" s="1124"/>
      <c r="N5" s="1124"/>
    </row>
    <row r="6" spans="1:14" s="18" customFormat="1">
      <c r="A6" s="1090" t="s">
        <v>349</v>
      </c>
      <c r="B6" s="1090"/>
      <c r="C6" s="1090"/>
      <c r="D6" s="1090"/>
      <c r="E6" s="1090"/>
      <c r="F6" s="1090"/>
      <c r="G6" s="1090"/>
      <c r="H6" s="1090"/>
      <c r="I6" s="1090"/>
      <c r="J6" s="1090"/>
      <c r="K6" s="1090"/>
      <c r="L6" s="1090"/>
      <c r="M6" s="1090"/>
      <c r="N6" s="1090"/>
    </row>
    <row r="7" spans="1:14" s="18" customFormat="1">
      <c r="A7" s="1090" t="s">
        <v>350</v>
      </c>
      <c r="B7" s="1090"/>
      <c r="C7" s="1090"/>
      <c r="D7" s="1090"/>
      <c r="E7" s="1090"/>
      <c r="F7" s="1090"/>
      <c r="G7" s="1090"/>
      <c r="H7" s="1090"/>
      <c r="I7" s="1090"/>
      <c r="J7" s="1090"/>
      <c r="K7" s="1090"/>
      <c r="L7" s="1090"/>
      <c r="M7" s="1090"/>
      <c r="N7" s="1090"/>
    </row>
    <row r="8" spans="1:14" s="18" customFormat="1" ht="15" customHeight="1">
      <c r="A8" s="1090" t="str">
        <f>IF(MID($H$9,4,4)="1015","Đối tượng cho vay: NH Eximbank CN Q11","Đối tượng cho vay: NH Eximbank CN Q4")</f>
        <v>Đối tượng cho vay: NH Eximbank CN Q4</v>
      </c>
      <c r="B8" s="1090"/>
      <c r="C8" s="1090"/>
      <c r="D8" s="1090"/>
      <c r="E8" s="1090"/>
      <c r="F8" s="1090"/>
      <c r="G8" s="1090"/>
      <c r="H8" s="1090"/>
      <c r="I8" s="1090"/>
      <c r="J8" s="1090"/>
      <c r="K8" s="1090"/>
      <c r="L8" s="1090"/>
      <c r="M8" s="1090"/>
      <c r="N8" s="1090"/>
    </row>
    <row r="9" spans="1:14" s="18" customFormat="1">
      <c r="A9" s="423"/>
      <c r="B9" s="423"/>
      <c r="C9" s="423"/>
      <c r="D9" s="423"/>
      <c r="E9" s="423"/>
      <c r="F9" s="423"/>
      <c r="G9" s="20" t="s">
        <v>351</v>
      </c>
      <c r="H9" s="1163" t="s">
        <v>333</v>
      </c>
      <c r="I9" s="1163"/>
      <c r="J9" s="426" t="str">
        <f>"ngày "&amp; TEXT(VLOOKUP($H$9,'341'!$B$5:$P$22,2,0),"dd/MM/yy")</f>
        <v>ngày 24/12/15</v>
      </c>
      <c r="K9" s="423"/>
      <c r="L9" s="423"/>
      <c r="M9" s="423"/>
      <c r="N9" s="423"/>
    </row>
    <row r="10" spans="1:14" s="18" customFormat="1">
      <c r="A10" s="1090" t="s">
        <v>352</v>
      </c>
      <c r="B10" s="1090"/>
      <c r="C10" s="1090"/>
      <c r="D10" s="1090"/>
      <c r="E10" s="1090"/>
      <c r="F10" s="1090"/>
      <c r="G10" s="1090"/>
      <c r="H10" s="1090"/>
      <c r="I10" s="1090"/>
      <c r="J10" s="1090"/>
      <c r="K10" s="1090"/>
      <c r="L10" s="1090"/>
      <c r="M10" s="1090"/>
      <c r="N10" s="1090"/>
    </row>
    <row r="11" spans="1:14" s="18" customFormat="1">
      <c r="C11" s="1155"/>
      <c r="D11" s="1155"/>
      <c r="E11" s="1155"/>
      <c r="F11" s="1155"/>
      <c r="G11" s="1155"/>
      <c r="H11" s="1155"/>
      <c r="I11" s="1155"/>
      <c r="J11" s="1155"/>
      <c r="K11" s="1155"/>
      <c r="L11" s="1155"/>
      <c r="M11" s="1155"/>
      <c r="N11" s="1155"/>
    </row>
    <row r="12" spans="1:14" s="18" customFormat="1" ht="15.75" customHeight="1">
      <c r="A12" s="1164" t="s">
        <v>27</v>
      </c>
      <c r="B12" s="1157" t="s">
        <v>1</v>
      </c>
      <c r="C12" s="1158"/>
      <c r="D12" s="1164" t="s">
        <v>0</v>
      </c>
      <c r="E12" s="1164" t="s">
        <v>19</v>
      </c>
      <c r="F12" s="1164" t="s">
        <v>353</v>
      </c>
      <c r="G12" s="1157" t="s">
        <v>28</v>
      </c>
      <c r="H12" s="1169"/>
      <c r="I12" s="1169"/>
      <c r="J12" s="1162"/>
      <c r="K12" s="1157" t="s">
        <v>38</v>
      </c>
      <c r="L12" s="1169"/>
      <c r="M12" s="1169"/>
      <c r="N12" s="1162"/>
    </row>
    <row r="13" spans="1:14" s="18" customFormat="1" ht="15.75" customHeight="1">
      <c r="A13" s="1165"/>
      <c r="B13" s="1170" t="s">
        <v>20</v>
      </c>
      <c r="C13" s="1170" t="s">
        <v>39</v>
      </c>
      <c r="D13" s="1165"/>
      <c r="E13" s="1165"/>
      <c r="F13" s="1167"/>
      <c r="G13" s="1161" t="s">
        <v>29</v>
      </c>
      <c r="H13" s="1162"/>
      <c r="I13" s="1161" t="s">
        <v>30</v>
      </c>
      <c r="J13" s="1162"/>
      <c r="K13" s="1161" t="s">
        <v>29</v>
      </c>
      <c r="L13" s="1162"/>
      <c r="M13" s="1161" t="s">
        <v>30</v>
      </c>
      <c r="N13" s="1162"/>
    </row>
    <row r="14" spans="1:14" s="18" customFormat="1" ht="32.25" customHeight="1">
      <c r="A14" s="1166"/>
      <c r="B14" s="1171"/>
      <c r="C14" s="1171"/>
      <c r="D14" s="1166"/>
      <c r="E14" s="1166"/>
      <c r="F14" s="1168"/>
      <c r="G14" s="30" t="s">
        <v>354</v>
      </c>
      <c r="H14" s="30" t="s">
        <v>355</v>
      </c>
      <c r="I14" s="30" t="s">
        <v>354</v>
      </c>
      <c r="J14" s="30" t="s">
        <v>355</v>
      </c>
      <c r="K14" s="30" t="s">
        <v>354</v>
      </c>
      <c r="L14" s="30" t="s">
        <v>355</v>
      </c>
      <c r="M14" s="30" t="s">
        <v>354</v>
      </c>
      <c r="N14" s="30" t="s">
        <v>355</v>
      </c>
    </row>
    <row r="15" spans="1:14" s="423" customFormat="1">
      <c r="A15" s="427" t="s">
        <v>2</v>
      </c>
      <c r="B15" s="428" t="s">
        <v>3</v>
      </c>
      <c r="C15" s="427" t="s">
        <v>4</v>
      </c>
      <c r="D15" s="427" t="s">
        <v>5</v>
      </c>
      <c r="E15" s="427" t="s">
        <v>6</v>
      </c>
      <c r="F15" s="427">
        <v>1</v>
      </c>
      <c r="G15" s="427">
        <v>2</v>
      </c>
      <c r="H15" s="427">
        <v>3</v>
      </c>
      <c r="I15" s="427">
        <v>4</v>
      </c>
      <c r="J15" s="427">
        <v>5</v>
      </c>
      <c r="K15" s="427">
        <v>6</v>
      </c>
      <c r="L15" s="427">
        <v>7</v>
      </c>
      <c r="M15" s="427">
        <v>8</v>
      </c>
      <c r="N15" s="427">
        <v>9</v>
      </c>
    </row>
    <row r="16" spans="1:14" s="18" customFormat="1" ht="19.5" customHeight="1">
      <c r="A16" s="453"/>
      <c r="B16" s="453"/>
      <c r="C16" s="453"/>
      <c r="D16" s="454" t="s">
        <v>7</v>
      </c>
      <c r="E16" s="455"/>
      <c r="F16" s="455"/>
      <c r="G16" s="453"/>
      <c r="H16" s="453"/>
      <c r="I16" s="453"/>
      <c r="J16" s="453"/>
      <c r="K16" s="456">
        <f>VLOOKUP($H$9,'341'!$B$5:$P$22,4,0)</f>
        <v>0</v>
      </c>
      <c r="L16" s="457">
        <f>VLOOKUP($H$9,'341'!$B$5:$P$22,5,0)</f>
        <v>0</v>
      </c>
      <c r="M16" s="456">
        <f>VLOOKUP($H$9,'341'!$B$5:$P$22,6,0)</f>
        <v>88000</v>
      </c>
      <c r="N16" s="457">
        <f>VLOOKUP($H$9,'341'!$B$5:$P$22,7,0)</f>
        <v>1982640000</v>
      </c>
    </row>
    <row r="17" spans="1:14" s="18" customFormat="1" ht="19.5" customHeight="1">
      <c r="A17" s="388">
        <f ca="1">IF(ROWS($1:1)&gt;COUNT(Dong4),"",OFFSET(TH!C$1,SMALL(Dong4,ROWS($1:1)),))</f>
        <v>42538</v>
      </c>
      <c r="B17" s="278" t="str">
        <f ca="1">IF(ROWS($1:1)&gt;COUNT(Dong4),"",OFFSET(TH!D$1,SMALL(Dong4,ROWS($1:1)),))</f>
        <v>GBN</v>
      </c>
      <c r="C17" s="278">
        <f ca="1">IF(ROWS($1:1)&gt;COUNT(Dong4),"",OFFSET(TH!E$1,SMALL(Dong4,ROWS($1:1)),))</f>
        <v>42538</v>
      </c>
      <c r="D17" s="458" t="str">
        <f ca="1">IF(ROWS($1:1)&gt;COUNT(Dong4),"",OFFSET(TH!F$1,SMALL(Dong4,ROWS($1:1)),))</f>
        <v>Thu vốn vay</v>
      </c>
      <c r="E17" s="278" t="str">
        <f ca="1">IF(ROWS($1:1)&gt;COUNT(Dong4),"",IF(LEFT(OFFSET(TH!O$1,SMALL(Dong4,ROWS($1:1)),),3)="341",OFFSET(TH!N$1,SMALL(Dong4,ROWS($1:1)),),OFFSET(TH!O$1,SMALL(Dong4,ROWS($1:1)),)))</f>
        <v>1122</v>
      </c>
      <c r="F17" s="459"/>
      <c r="G17" s="460">
        <f ca="1">IF(ROWS($1:1)&gt;COUNT(Dong4),"",IF(LEFT(OFFSET(TH!N$1,SMALL(Dong4,ROWS($1:1)),),3)="341",OFFSET(TH!K$1,SMALL(Dong4,ROWS($1:1)),),0))</f>
        <v>88000</v>
      </c>
      <c r="H17" s="459">
        <f ca="1">IF(ROWS($1:1)&gt;COUNT(Dong4),"",IF(LEFT(OFFSET(TH!N$1,SMALL(Dong4,ROWS($1:1)),),3)="341",OFFSET(TH!M$1,SMALL(Dong4,ROWS($1:1)),),0))</f>
        <v>1962840000</v>
      </c>
      <c r="I17" s="460">
        <f ca="1">IF(ROWS($1:1)&gt;COUNT(Dong4),"",IF(LEFT(OFFSET(TH!O$1,SMALL(Dong4,ROWS($1:1)),),3)="341",OFFSET(TH!K$1,SMALL(Dong4,ROWS($1:1)),),0))</f>
        <v>0</v>
      </c>
      <c r="J17" s="459">
        <f ca="1">IF(ROWS($1:1)&gt;COUNT(Dong4),"",IF(LEFT(OFFSET(TH!O$1,SMALL(Dong4,ROWS($1:1)),),3)="341",OFFSET(TH!M$1,SMALL(Dong4,ROWS($1:1)),),0))</f>
        <v>0</v>
      </c>
      <c r="K17" s="269">
        <f ca="1">IF(C17&lt;&gt;"",ROUND(MAX(K16+G17-I17-M16,0),2),0)</f>
        <v>0</v>
      </c>
      <c r="L17" s="8">
        <f ca="1">IF(C17&lt;&gt;"",MAX(L16-N16+H17-J17,0),0)</f>
        <v>0</v>
      </c>
      <c r="M17" s="269">
        <f ca="1">IF(C17&lt;&gt;"",ROUND(MAX(M16+I17-G17-K16,0),2),0)</f>
        <v>0</v>
      </c>
      <c r="N17" s="8">
        <f ca="1">IF(C17&lt;&gt;"",MAX(N16-L16+J17-H17,0),0)</f>
        <v>19800000</v>
      </c>
    </row>
    <row r="18" spans="1:14" s="461" customFormat="1" ht="19.5" customHeight="1">
      <c r="A18" s="388">
        <f ca="1">IF(ROWS($1:2)&gt;COUNT(Dong4),"",OFFSET(TH!C$1,SMALL(Dong4,ROWS($1:2)),))</f>
        <v>42538</v>
      </c>
      <c r="B18" s="278" t="str">
        <f ca="1">IF(ROWS($1:2)&gt;COUNT(Dong4),"",OFFSET(TH!D$1,SMALL(Dong4,ROWS($1:2)),))</f>
        <v>CTGS</v>
      </c>
      <c r="C18" s="278">
        <f ca="1">IF(ROWS($1:2)&gt;COUNT(Dong4),"",OFFSET(TH!E$1,SMALL(Dong4,ROWS($1:2)),))</f>
        <v>42538</v>
      </c>
      <c r="D18" s="458" t="str">
        <f ca="1">IF(ROWS($1:2)&gt;COUNT(Dong4),"",OFFSET(TH!F$1,SMALL(Dong4,ROWS($1:2)),))</f>
        <v>Chênh lệch tỷ giá vay</v>
      </c>
      <c r="E18" s="278" t="str">
        <f ca="1">IF(ROWS($1:2)&gt;COUNT(Dong4),"",IF(LEFT(OFFSET(TH!O$1,SMALL(Dong4,ROWS($1:2)),),3)="341",OFFSET(TH!N$1,SMALL(Dong4,ROWS($1:2)),),OFFSET(TH!O$1,SMALL(Dong4,ROWS($1:2)),)))</f>
        <v>515</v>
      </c>
      <c r="F18" s="459"/>
      <c r="G18" s="460">
        <f ca="1">IF(ROWS($1:2)&gt;COUNT(Dong4),"",IF(LEFT(OFFSET(TH!N$1,SMALL(Dong4,ROWS($1:2)),),3)="341",OFFSET(TH!K$1,SMALL(Dong4,ROWS($1:2)),),0))</f>
        <v>0</v>
      </c>
      <c r="H18" s="459">
        <f ca="1">IF(ROWS($1:2)&gt;COUNT(Dong4),"",IF(LEFT(OFFSET(TH!N$1,SMALL(Dong4,ROWS($1:2)),),3)="341",OFFSET(TH!M$1,SMALL(Dong4,ROWS($1:2)),),0))</f>
        <v>19800000</v>
      </c>
      <c r="I18" s="460">
        <f ca="1">IF(ROWS($1:2)&gt;COUNT(Dong4),"",IF(LEFT(OFFSET(TH!O$1,SMALL(Dong4,ROWS($1:2)),),3)="341",OFFSET(TH!K$1,SMALL(Dong4,ROWS($1:2)),),0))</f>
        <v>0</v>
      </c>
      <c r="J18" s="459">
        <f ca="1">IF(ROWS($1:2)&gt;COUNT(Dong4),"",IF(LEFT(OFFSET(TH!O$1,SMALL(Dong4,ROWS($1:2)),),3)="341",OFFSET(TH!M$1,SMALL(Dong4,ROWS($1:2)),),0))</f>
        <v>0</v>
      </c>
      <c r="K18" s="269">
        <f ca="1">IF(C18&lt;&gt;"",ROUND(MAX(K17+G18-I18-M17,0),2),0)</f>
        <v>0</v>
      </c>
      <c r="L18" s="8">
        <f ca="1">IF(C18&lt;&gt;"",MAX(L17-N17+H18-J18,0),0)</f>
        <v>0</v>
      </c>
      <c r="M18" s="269">
        <f ca="1">IF(C18&lt;&gt;"",ROUND(MAX(M17+I18-G18-K17,0),2),0)</f>
        <v>0</v>
      </c>
      <c r="N18" s="8">
        <f ca="1">IF(C18&lt;&gt;"",MAX(N17-L17+J18-H18,0),0)</f>
        <v>0</v>
      </c>
    </row>
    <row r="19" spans="1:14" s="461" customFormat="1" ht="19.5" customHeight="1">
      <c r="A19" s="388" t="str">
        <f ca="1">IF(ROWS($1:3)&gt;COUNT(Dong4),"",OFFSET(TH!C$1,SMALL(Dong4,ROWS($1:3)),))</f>
        <v/>
      </c>
      <c r="B19" s="278" t="str">
        <f ca="1">IF(ROWS($1:3)&gt;COUNT(Dong4),"",OFFSET(TH!D$1,SMALL(Dong4,ROWS($1:3)),))</f>
        <v/>
      </c>
      <c r="C19" s="278" t="str">
        <f ca="1">IF(ROWS($1:3)&gt;COUNT(Dong4),"",OFFSET(TH!E$1,SMALL(Dong4,ROWS($1:3)),))</f>
        <v/>
      </c>
      <c r="D19" s="458" t="str">
        <f ca="1">IF(ROWS($1:3)&gt;COUNT(Dong4),"",OFFSET(TH!F$1,SMALL(Dong4,ROWS($1:3)),))</f>
        <v/>
      </c>
      <c r="E19" s="278" t="str">
        <f ca="1">IF(ROWS($1:3)&gt;COUNT(Dong4),"",IF(LEFT(OFFSET(TH!O$1,SMALL(Dong4,ROWS($1:3)),),3)="341",OFFSET(TH!N$1,SMALL(Dong4,ROWS($1:3)),),OFFSET(TH!O$1,SMALL(Dong4,ROWS($1:3)),)))</f>
        <v/>
      </c>
      <c r="F19" s="459"/>
      <c r="G19" s="460" t="str">
        <f ca="1">IF(ROWS($1:3)&gt;COUNT(Dong4),"",IF(LEFT(OFFSET(TH!N$1,SMALL(Dong4,ROWS($1:3)),),3)="341",OFFSET(TH!K$1,SMALL(Dong4,ROWS($1:3)),),0))</f>
        <v/>
      </c>
      <c r="H19" s="459" t="str">
        <f ca="1">IF(ROWS($1:3)&gt;COUNT(Dong4),"",IF(LEFT(OFFSET(TH!N$1,SMALL(Dong4,ROWS($1:3)),),3)="341",OFFSET(TH!M$1,SMALL(Dong4,ROWS($1:3)),),0))</f>
        <v/>
      </c>
      <c r="I19" s="460" t="str">
        <f ca="1">IF(ROWS($1:3)&gt;COUNT(Dong4),"",IF(LEFT(OFFSET(TH!O$1,SMALL(Dong4,ROWS($1:3)),),3)="341",OFFSET(TH!K$1,SMALL(Dong4,ROWS($1:3)),),0))</f>
        <v/>
      </c>
      <c r="J19" s="459" t="str">
        <f ca="1">IF(ROWS($1:3)&gt;COUNT(Dong4),"",IF(LEFT(OFFSET(TH!O$1,SMALL(Dong4,ROWS($1:3)),),3)="341",OFFSET(TH!M$1,SMALL(Dong4,ROWS($1:3)),),0))</f>
        <v/>
      </c>
      <c r="K19" s="269">
        <f ca="1">IF(C19&lt;&gt;"",ROUND(MAX(K18+G19-I19-M18,0),2),0)</f>
        <v>0</v>
      </c>
      <c r="L19" s="8">
        <f ca="1">IF(C19&lt;&gt;"",MAX(L18-N18+H19-J19,0),0)</f>
        <v>0</v>
      </c>
      <c r="M19" s="269">
        <f ca="1">IF(C19&lt;&gt;"",ROUND(MAX(M18+I19-G19-K18,0),2),0)</f>
        <v>0</v>
      </c>
      <c r="N19" s="8">
        <f ca="1">IF(C19&lt;&gt;"",MAX(N18-L18+J19-H19,0),0)</f>
        <v>0</v>
      </c>
    </row>
    <row r="20" spans="1:14" s="461" customFormat="1" ht="19.5" customHeight="1">
      <c r="A20" s="462"/>
      <c r="B20" s="462"/>
      <c r="C20" s="462"/>
      <c r="D20" s="463"/>
      <c r="E20" s="464"/>
      <c r="F20" s="465"/>
      <c r="G20" s="466"/>
      <c r="H20" s="466"/>
      <c r="I20" s="466"/>
      <c r="J20" s="467"/>
      <c r="K20" s="269"/>
      <c r="L20" s="8"/>
      <c r="M20" s="269"/>
      <c r="N20" s="8"/>
    </row>
    <row r="21" spans="1:14" s="18" customFormat="1" ht="19.5" customHeight="1">
      <c r="A21" s="278"/>
      <c r="B21" s="278"/>
      <c r="C21" s="278"/>
      <c r="D21" s="468" t="s">
        <v>43</v>
      </c>
      <c r="E21" s="389" t="s">
        <v>26</v>
      </c>
      <c r="F21" s="389" t="s">
        <v>26</v>
      </c>
      <c r="G21" s="469">
        <f ca="1">SUM(G17:G18)</f>
        <v>88000</v>
      </c>
      <c r="H21" s="470">
        <f ca="1">SUM(H17:H18)</f>
        <v>1982640000</v>
      </c>
      <c r="I21" s="469">
        <f ca="1">SUM(I17:I18)</f>
        <v>0</v>
      </c>
      <c r="J21" s="470">
        <f ca="1">SUM(J17:J18)</f>
        <v>0</v>
      </c>
      <c r="K21" s="470" t="s">
        <v>26</v>
      </c>
      <c r="L21" s="470" t="s">
        <v>26</v>
      </c>
      <c r="M21" s="470" t="s">
        <v>26</v>
      </c>
      <c r="N21" s="470" t="s">
        <v>26</v>
      </c>
    </row>
    <row r="22" spans="1:14" s="18" customFormat="1" ht="19.5" customHeight="1">
      <c r="A22" s="471"/>
      <c r="B22" s="471"/>
      <c r="C22" s="471"/>
      <c r="D22" s="472" t="s">
        <v>13</v>
      </c>
      <c r="E22" s="473" t="s">
        <v>26</v>
      </c>
      <c r="F22" s="473" t="s">
        <v>26</v>
      </c>
      <c r="G22" s="473" t="s">
        <v>26</v>
      </c>
      <c r="H22" s="473" t="s">
        <v>26</v>
      </c>
      <c r="I22" s="473" t="s">
        <v>26</v>
      </c>
      <c r="J22" s="473" t="s">
        <v>26</v>
      </c>
      <c r="K22" s="474">
        <f ca="1">MAX(K16+G21-M16-I21,0)</f>
        <v>0</v>
      </c>
      <c r="L22" s="475">
        <f ca="1">MAX(L16+H21-N16-J21,0)</f>
        <v>0</v>
      </c>
      <c r="M22" s="474">
        <f ca="1">MAX(M16+I21-K16-G21,0)</f>
        <v>0</v>
      </c>
      <c r="N22" s="475">
        <f ca="1">MAX(N16+J21-L16-H21,0)</f>
        <v>0</v>
      </c>
    </row>
    <row r="23" spans="1:14" s="18" customFormat="1">
      <c r="E23" s="423"/>
      <c r="F23" s="423"/>
    </row>
    <row r="24" spans="1:14" s="18" customFormat="1">
      <c r="A24" s="279" t="s">
        <v>356</v>
      </c>
      <c r="E24" s="423"/>
      <c r="F24" s="423"/>
    </row>
    <row r="25" spans="1:14" s="18" customFormat="1">
      <c r="A25" s="279" t="str">
        <f>"- Ngày mở sổ: "&amp; TEXT(VLOOKUP($H$9,'341'!$B$5:$P$22,2,0),"dd/MM/yy")</f>
        <v>- Ngày mở sổ: 24/12/15</v>
      </c>
      <c r="E25" s="423"/>
      <c r="F25" s="423"/>
    </row>
    <row r="26" spans="1:14" s="18" customFormat="1">
      <c r="E26" s="423"/>
      <c r="F26" s="423"/>
      <c r="L26" s="423" t="s">
        <v>357</v>
      </c>
    </row>
    <row r="27" spans="1:14" s="18" customFormat="1">
      <c r="C27" s="423" t="s">
        <v>14</v>
      </c>
      <c r="E27" s="423"/>
      <c r="F27" s="423"/>
      <c r="L27" s="423" t="s">
        <v>15</v>
      </c>
    </row>
    <row r="28" spans="1:14" s="18" customFormat="1">
      <c r="C28" s="423" t="s">
        <v>16</v>
      </c>
      <c r="E28" s="423"/>
      <c r="F28" s="423"/>
      <c r="L28" s="423" t="s">
        <v>16</v>
      </c>
    </row>
    <row r="29" spans="1:14" s="18" customFormat="1">
      <c r="E29" s="423"/>
      <c r="F29" s="423"/>
    </row>
    <row r="30" spans="1:14" s="18" customFormat="1">
      <c r="E30" s="423"/>
      <c r="F30" s="423"/>
    </row>
    <row r="31" spans="1:14" s="280" customFormat="1"/>
    <row r="32" spans="1:14" s="280" customFormat="1"/>
    <row r="33" spans="2:4" s="280" customFormat="1"/>
    <row r="34" spans="2:4" s="280" customFormat="1"/>
    <row r="35" spans="2:4" s="280" customFormat="1" ht="15">
      <c r="B35" s="476"/>
      <c r="C35" s="477" t="s">
        <v>358</v>
      </c>
      <c r="D35" s="476"/>
    </row>
    <row r="36" spans="2:4" s="280" customFormat="1"/>
    <row r="37" spans="2:4" s="280" customFormat="1"/>
    <row r="38" spans="2:4" s="280" customFormat="1"/>
    <row r="39" spans="2:4" s="280" customFormat="1"/>
    <row r="40" spans="2:4" s="280" customFormat="1"/>
    <row r="41" spans="2:4" s="280" customFormat="1"/>
    <row r="42" spans="2:4" s="280" customFormat="1"/>
    <row r="43" spans="2:4" s="280"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38" customWidth="1"/>
    <col min="2" max="2" width="7" style="538" customWidth="1"/>
    <col min="3" max="3" width="9.140625" style="538"/>
    <col min="4" max="4" width="25" style="538" customWidth="1"/>
    <col min="5" max="5" width="6.5703125" style="538" customWidth="1"/>
    <col min="6" max="10" width="10" style="538" customWidth="1"/>
    <col min="11" max="11" width="8.7109375" style="538" customWidth="1"/>
    <col min="12" max="12" width="15" style="538" customWidth="1"/>
    <col min="13" max="13" width="10" style="538" customWidth="1"/>
    <col min="14" max="14" width="9.42578125" style="538" customWidth="1"/>
    <col min="15" max="16384" width="9.140625" style="538"/>
  </cols>
  <sheetData>
    <row r="2" spans="1:14">
      <c r="A2" s="537" t="s">
        <v>273</v>
      </c>
      <c r="C2" s="539"/>
      <c r="F2" s="540"/>
      <c r="G2" s="540"/>
      <c r="H2" s="540"/>
      <c r="I2" s="540"/>
      <c r="J2" s="540"/>
      <c r="K2" s="540" t="s">
        <v>502</v>
      </c>
      <c r="L2" s="540"/>
      <c r="M2" s="540"/>
      <c r="N2" s="540"/>
    </row>
    <row r="3" spans="1:14">
      <c r="A3" s="537" t="s">
        <v>275</v>
      </c>
      <c r="C3" s="539"/>
      <c r="F3" s="541"/>
      <c r="G3" s="541"/>
      <c r="H3" s="541"/>
      <c r="I3" s="541"/>
      <c r="J3" s="541"/>
      <c r="K3" s="541" t="s">
        <v>344</v>
      </c>
      <c r="L3" s="541"/>
      <c r="M3" s="541"/>
      <c r="N3" s="541"/>
    </row>
    <row r="4" spans="1:14">
      <c r="F4" s="541"/>
      <c r="G4" s="541"/>
      <c r="H4" s="541"/>
      <c r="I4" s="541"/>
      <c r="J4" s="541"/>
      <c r="K4" s="541" t="s">
        <v>345</v>
      </c>
      <c r="L4" s="541"/>
      <c r="M4" s="541"/>
      <c r="N4" s="541"/>
    </row>
    <row r="5" spans="1:14" s="542" customFormat="1" ht="23.25" customHeight="1">
      <c r="A5" s="1180" t="s">
        <v>503</v>
      </c>
      <c r="B5" s="1180"/>
      <c r="C5" s="1180"/>
      <c r="D5" s="1180"/>
      <c r="E5" s="1180"/>
      <c r="F5" s="1180"/>
      <c r="G5" s="1180"/>
      <c r="H5" s="1180"/>
      <c r="I5" s="1180"/>
      <c r="J5" s="1180"/>
      <c r="K5" s="1180"/>
      <c r="L5" s="1180"/>
      <c r="M5" s="1180"/>
      <c r="N5" s="1180"/>
    </row>
    <row r="6" spans="1:14">
      <c r="A6" s="1181" t="s">
        <v>365</v>
      </c>
      <c r="B6" s="1181" t="s">
        <v>504</v>
      </c>
      <c r="C6" s="1181"/>
      <c r="D6" s="1181"/>
      <c r="E6" s="1181"/>
      <c r="F6" s="1181"/>
      <c r="G6" s="1181"/>
      <c r="H6" s="1181"/>
      <c r="I6" s="1181"/>
      <c r="J6" s="1181"/>
      <c r="K6" s="1181"/>
      <c r="L6" s="1181"/>
      <c r="M6" s="1181"/>
      <c r="N6" s="1181"/>
    </row>
    <row r="7" spans="1:14">
      <c r="C7" s="1182"/>
      <c r="D7" s="1182"/>
      <c r="E7" s="1182"/>
      <c r="F7" s="1182"/>
      <c r="G7" s="1182"/>
      <c r="H7" s="1182"/>
      <c r="I7" s="1182"/>
      <c r="J7" s="1182"/>
      <c r="K7" s="1182"/>
      <c r="L7" s="1182"/>
      <c r="M7" s="1182"/>
      <c r="N7" s="1182"/>
    </row>
    <row r="8" spans="1:14" ht="15.75" customHeight="1">
      <c r="A8" s="1174" t="s">
        <v>27</v>
      </c>
      <c r="B8" s="1183" t="s">
        <v>1</v>
      </c>
      <c r="C8" s="1184"/>
      <c r="D8" s="1174" t="s">
        <v>0</v>
      </c>
      <c r="E8" s="1174" t="s">
        <v>19</v>
      </c>
      <c r="F8" s="1173" t="s">
        <v>28</v>
      </c>
      <c r="G8" s="1173"/>
      <c r="H8" s="1173"/>
      <c r="I8" s="1173"/>
      <c r="J8" s="1173"/>
      <c r="K8" s="1173"/>
      <c r="L8" s="1173" t="s">
        <v>38</v>
      </c>
      <c r="M8" s="1173"/>
      <c r="N8" s="1173"/>
    </row>
    <row r="9" spans="1:14" ht="15.75" customHeight="1">
      <c r="A9" s="1174"/>
      <c r="B9" s="1185"/>
      <c r="C9" s="1186"/>
      <c r="D9" s="1174"/>
      <c r="E9" s="1174"/>
      <c r="F9" s="1173" t="s">
        <v>505</v>
      </c>
      <c r="G9" s="1173"/>
      <c r="H9" s="1173"/>
      <c r="I9" s="1173" t="s">
        <v>506</v>
      </c>
      <c r="J9" s="1173"/>
      <c r="K9" s="1173"/>
      <c r="L9" s="1174" t="s">
        <v>507</v>
      </c>
      <c r="M9" s="1174" t="s">
        <v>508</v>
      </c>
      <c r="N9" s="1174" t="s">
        <v>509</v>
      </c>
    </row>
    <row r="10" spans="1:14" ht="15.75" customHeight="1">
      <c r="A10" s="1174"/>
      <c r="B10" s="1176" t="s">
        <v>20</v>
      </c>
      <c r="C10" s="1176" t="s">
        <v>39</v>
      </c>
      <c r="D10" s="1174"/>
      <c r="E10" s="1174"/>
      <c r="F10" s="1178" t="s">
        <v>507</v>
      </c>
      <c r="G10" s="1178" t="s">
        <v>508</v>
      </c>
      <c r="H10" s="1178" t="s">
        <v>509</v>
      </c>
      <c r="I10" s="1178" t="s">
        <v>507</v>
      </c>
      <c r="J10" s="1178" t="s">
        <v>508</v>
      </c>
      <c r="K10" s="1178" t="s">
        <v>509</v>
      </c>
      <c r="L10" s="1175"/>
      <c r="M10" s="1175"/>
      <c r="N10" s="1175"/>
    </row>
    <row r="11" spans="1:14">
      <c r="A11" s="1174"/>
      <c r="B11" s="1177"/>
      <c r="C11" s="1177"/>
      <c r="D11" s="1174"/>
      <c r="E11" s="1174"/>
      <c r="F11" s="1179"/>
      <c r="G11" s="1179"/>
      <c r="H11" s="1179"/>
      <c r="I11" s="1179"/>
      <c r="J11" s="1179"/>
      <c r="K11" s="1179"/>
      <c r="L11" s="1175"/>
      <c r="M11" s="1175"/>
      <c r="N11" s="1175"/>
    </row>
    <row r="12" spans="1:14" s="541" customFormat="1">
      <c r="A12" s="543" t="s">
        <v>2</v>
      </c>
      <c r="B12" s="544" t="s">
        <v>3</v>
      </c>
      <c r="C12" s="543" t="s">
        <v>4</v>
      </c>
      <c r="D12" s="543" t="s">
        <v>5</v>
      </c>
      <c r="E12" s="543" t="s">
        <v>6</v>
      </c>
      <c r="F12" s="543">
        <v>1</v>
      </c>
      <c r="G12" s="543"/>
      <c r="H12" s="543"/>
      <c r="I12" s="543"/>
      <c r="J12" s="543"/>
      <c r="K12" s="543"/>
      <c r="L12" s="543"/>
      <c r="M12" s="543"/>
      <c r="N12" s="543"/>
    </row>
    <row r="13" spans="1:14">
      <c r="A13" s="545"/>
      <c r="B13" s="545"/>
      <c r="C13" s="545"/>
      <c r="D13" s="546" t="s">
        <v>7</v>
      </c>
      <c r="E13" s="545"/>
      <c r="F13" s="545"/>
      <c r="G13" s="545"/>
      <c r="H13" s="545"/>
      <c r="I13" s="545"/>
      <c r="J13" s="545"/>
      <c r="K13" s="545"/>
      <c r="L13" s="547">
        <f>CDPS!$D$44</f>
        <v>4000000000</v>
      </c>
      <c r="M13" s="545"/>
      <c r="N13" s="545"/>
    </row>
    <row r="14" spans="1:14">
      <c r="A14" s="548"/>
      <c r="B14" s="548"/>
      <c r="C14" s="548"/>
      <c r="D14" s="549" t="s">
        <v>510</v>
      </c>
      <c r="E14" s="548"/>
      <c r="F14" s="548"/>
      <c r="G14" s="548"/>
      <c r="H14" s="548"/>
      <c r="I14" s="548"/>
      <c r="J14" s="548"/>
      <c r="K14" s="548"/>
      <c r="L14" s="548"/>
      <c r="M14" s="548"/>
      <c r="N14" s="548"/>
    </row>
    <row r="15" spans="1:14">
      <c r="A15" s="548"/>
      <c r="B15" s="548"/>
      <c r="C15" s="548"/>
      <c r="D15" s="548"/>
      <c r="E15" s="548"/>
      <c r="F15" s="548"/>
      <c r="G15" s="548"/>
      <c r="H15" s="548"/>
      <c r="I15" s="548"/>
      <c r="J15" s="548"/>
      <c r="K15" s="548"/>
      <c r="L15" s="548"/>
      <c r="M15" s="548"/>
      <c r="N15" s="548"/>
    </row>
    <row r="16" spans="1:14">
      <c r="A16" s="548"/>
      <c r="B16" s="548"/>
      <c r="C16" s="548"/>
      <c r="D16" s="548"/>
      <c r="E16" s="548"/>
      <c r="F16" s="548"/>
      <c r="G16" s="548"/>
      <c r="H16" s="548"/>
      <c r="I16" s="548"/>
      <c r="J16" s="548"/>
      <c r="K16" s="548"/>
      <c r="L16" s="548"/>
      <c r="M16" s="548"/>
      <c r="N16" s="548"/>
    </row>
    <row r="17" spans="1:14">
      <c r="A17" s="548"/>
      <c r="B17" s="548"/>
      <c r="C17" s="548"/>
      <c r="D17" s="548"/>
      <c r="E17" s="548"/>
      <c r="F17" s="548"/>
      <c r="G17" s="548"/>
      <c r="H17" s="548"/>
      <c r="I17" s="548"/>
      <c r="J17" s="548"/>
      <c r="K17" s="548"/>
      <c r="L17" s="548"/>
      <c r="M17" s="548"/>
      <c r="N17" s="548"/>
    </row>
    <row r="18" spans="1:14">
      <c r="A18" s="548"/>
      <c r="B18" s="548"/>
      <c r="C18" s="548"/>
      <c r="D18" s="548"/>
      <c r="E18" s="548"/>
      <c r="F18" s="548"/>
      <c r="G18" s="548"/>
      <c r="H18" s="548"/>
      <c r="I18" s="548"/>
      <c r="J18" s="548"/>
      <c r="K18" s="548"/>
      <c r="L18" s="548"/>
      <c r="M18" s="548"/>
      <c r="N18" s="548"/>
    </row>
    <row r="19" spans="1:14">
      <c r="A19" s="548"/>
      <c r="B19" s="548"/>
      <c r="C19" s="548"/>
      <c r="D19" s="548"/>
      <c r="E19" s="548"/>
      <c r="F19" s="548"/>
      <c r="G19" s="548"/>
      <c r="H19" s="548"/>
      <c r="I19" s="548"/>
      <c r="J19" s="548"/>
      <c r="K19" s="548"/>
      <c r="L19" s="548"/>
      <c r="M19" s="548"/>
      <c r="N19" s="548"/>
    </row>
    <row r="20" spans="1:14">
      <c r="A20" s="548"/>
      <c r="B20" s="548"/>
      <c r="C20" s="548"/>
      <c r="D20" s="548"/>
      <c r="E20" s="548"/>
      <c r="F20" s="548"/>
      <c r="G20" s="548"/>
      <c r="H20" s="548"/>
      <c r="I20" s="548"/>
      <c r="J20" s="548"/>
      <c r="K20" s="548"/>
      <c r="L20" s="548"/>
      <c r="M20" s="548"/>
      <c r="N20" s="548"/>
    </row>
    <row r="21" spans="1:14">
      <c r="A21" s="548"/>
      <c r="B21" s="548"/>
      <c r="C21" s="548"/>
      <c r="D21" s="550"/>
      <c r="E21" s="550"/>
      <c r="F21" s="550"/>
      <c r="G21" s="550"/>
      <c r="H21" s="550"/>
      <c r="I21" s="550"/>
      <c r="J21" s="550"/>
      <c r="K21" s="550"/>
      <c r="L21" s="550"/>
      <c r="M21" s="550"/>
      <c r="N21" s="550"/>
    </row>
    <row r="22" spans="1:14">
      <c r="A22" s="548"/>
      <c r="B22" s="548"/>
      <c r="C22" s="548"/>
      <c r="D22" s="551" t="s">
        <v>238</v>
      </c>
      <c r="E22" s="552" t="s">
        <v>26</v>
      </c>
      <c r="F22" s="552"/>
      <c r="G22" s="552"/>
      <c r="H22" s="552"/>
      <c r="I22" s="552"/>
      <c r="J22" s="552"/>
      <c r="K22" s="552"/>
      <c r="L22" s="552"/>
      <c r="M22" s="552"/>
      <c r="N22" s="552"/>
    </row>
    <row r="23" spans="1:14">
      <c r="A23" s="553"/>
      <c r="B23" s="553"/>
      <c r="C23" s="553"/>
      <c r="D23" s="554" t="s">
        <v>13</v>
      </c>
      <c r="E23" s="553" t="s">
        <v>26</v>
      </c>
      <c r="F23" s="553"/>
      <c r="G23" s="553"/>
      <c r="H23" s="553"/>
      <c r="I23" s="553"/>
      <c r="J23" s="553"/>
      <c r="K23" s="553"/>
      <c r="L23" s="555">
        <f>L13+L22</f>
        <v>4000000000</v>
      </c>
      <c r="M23" s="553"/>
      <c r="N23" s="553"/>
    </row>
    <row r="25" spans="1:14">
      <c r="C25" s="556" t="s">
        <v>511</v>
      </c>
    </row>
    <row r="26" spans="1:14">
      <c r="C26" s="556" t="s">
        <v>512</v>
      </c>
    </row>
    <row r="27" spans="1:14">
      <c r="B27" s="557"/>
      <c r="C27" s="557"/>
      <c r="D27" s="557"/>
      <c r="E27" s="1172" t="s">
        <v>513</v>
      </c>
      <c r="F27" s="1172"/>
      <c r="G27" s="1172"/>
      <c r="H27" s="1172"/>
      <c r="I27" s="1172"/>
      <c r="J27" s="1172"/>
      <c r="K27" s="1172"/>
      <c r="L27" s="1172"/>
      <c r="M27" s="1172"/>
      <c r="N27" s="1172"/>
    </row>
    <row r="28" spans="1:14">
      <c r="A28" s="1172" t="s">
        <v>14</v>
      </c>
      <c r="B28" s="1172"/>
      <c r="C28" s="1172"/>
      <c r="D28" s="1172"/>
      <c r="E28" s="1172" t="s">
        <v>15</v>
      </c>
      <c r="F28" s="1172"/>
      <c r="G28" s="1172"/>
      <c r="H28" s="1172"/>
      <c r="I28" s="1172"/>
      <c r="J28" s="1172"/>
      <c r="K28" s="1172"/>
      <c r="L28" s="1172"/>
      <c r="M28" s="1172"/>
      <c r="N28" s="1172"/>
    </row>
    <row r="29" spans="1:14">
      <c r="A29" s="1172" t="s">
        <v>16</v>
      </c>
      <c r="B29" s="1172"/>
      <c r="C29" s="1172"/>
      <c r="D29" s="1172"/>
      <c r="E29" s="1172" t="s">
        <v>16</v>
      </c>
      <c r="F29" s="1172"/>
      <c r="G29" s="1172"/>
      <c r="H29" s="1172"/>
      <c r="I29" s="1172"/>
      <c r="J29" s="1172"/>
      <c r="K29" s="1172"/>
      <c r="L29" s="1172"/>
      <c r="M29" s="1172"/>
      <c r="N29" s="1172"/>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71" hidden="1" customWidth="1"/>
    <col min="2" max="2" width="3.42578125" style="571" customWidth="1"/>
    <col min="3" max="3" width="28.28515625" style="571" customWidth="1"/>
    <col min="4" max="4" width="7.7109375" style="576" customWidth="1"/>
    <col min="5" max="5" width="9.42578125" style="627" customWidth="1"/>
    <col min="6" max="6" width="12.5703125" style="627" customWidth="1"/>
    <col min="7" max="7" width="9.85546875" style="580" customWidth="1"/>
    <col min="8" max="8" width="15.42578125" style="580" customWidth="1"/>
    <col min="9" max="9" width="11.7109375" style="580" customWidth="1"/>
    <col min="10" max="10" width="13.85546875" style="580" customWidth="1"/>
    <col min="11" max="11" width="12" style="580" customWidth="1"/>
    <col min="12" max="12" width="12.85546875" style="580" customWidth="1"/>
    <col min="13" max="13" width="3.28515625" style="572" customWidth="1"/>
    <col min="14" max="14" width="24.140625" style="571" customWidth="1"/>
    <col min="15" max="15" width="10.5703125" style="571" customWidth="1"/>
    <col min="16" max="16" width="10.42578125" style="571" customWidth="1"/>
    <col min="17" max="17" width="22.28515625" style="571" customWidth="1"/>
    <col min="18" max="18" width="12" style="571" customWidth="1"/>
    <col min="19" max="19" width="4.85546875" style="571" customWidth="1"/>
    <col min="20" max="16384" width="9.140625" style="571"/>
  </cols>
  <sheetData>
    <row r="1" spans="1:19" s="526" customFormat="1" ht="14.25" customHeight="1">
      <c r="B1" s="558" t="s">
        <v>514</v>
      </c>
      <c r="C1" s="559"/>
      <c r="D1" s="559"/>
      <c r="E1" s="559"/>
      <c r="F1" s="560"/>
      <c r="G1" s="560"/>
      <c r="H1" s="1152" t="s">
        <v>515</v>
      </c>
      <c r="I1" s="1152"/>
      <c r="J1" s="1152"/>
      <c r="K1" s="1152"/>
      <c r="L1" s="1152"/>
      <c r="M1" s="561"/>
      <c r="N1" s="276"/>
      <c r="O1" s="524"/>
    </row>
    <row r="2" spans="1:19" s="526" customFormat="1" ht="14.25" customHeight="1">
      <c r="B2" s="562" t="s">
        <v>516</v>
      </c>
      <c r="C2" s="563"/>
      <c r="D2" s="563"/>
      <c r="E2" s="563"/>
      <c r="F2" s="563"/>
      <c r="G2" s="563"/>
      <c r="H2" s="1153" t="s">
        <v>517</v>
      </c>
      <c r="I2" s="1153"/>
      <c r="J2" s="1153"/>
      <c r="K2" s="1153"/>
      <c r="L2" s="1153"/>
      <c r="M2" s="564"/>
      <c r="N2" s="277"/>
      <c r="O2" s="525"/>
    </row>
    <row r="3" spans="1:19" s="526" customFormat="1" ht="14.25" customHeight="1">
      <c r="B3" s="563"/>
      <c r="C3" s="563"/>
      <c r="D3" s="563"/>
      <c r="E3" s="563"/>
      <c r="F3" s="563"/>
      <c r="G3" s="563"/>
      <c r="H3" s="1188" t="s">
        <v>518</v>
      </c>
      <c r="I3" s="1188"/>
      <c r="J3" s="1188"/>
      <c r="K3" s="1188"/>
      <c r="L3" s="1188"/>
      <c r="M3" s="565"/>
      <c r="N3" s="566"/>
      <c r="O3" s="525"/>
    </row>
    <row r="4" spans="1:19" s="567" customFormat="1" ht="27.75" customHeight="1">
      <c r="B4" s="1189" t="s">
        <v>519</v>
      </c>
      <c r="C4" s="1189"/>
      <c r="D4" s="1189"/>
      <c r="E4" s="1189"/>
      <c r="F4" s="1189"/>
      <c r="G4" s="1189"/>
      <c r="H4" s="1189"/>
      <c r="I4" s="1189"/>
      <c r="J4" s="1189"/>
      <c r="K4" s="1189"/>
      <c r="L4" s="1189"/>
      <c r="M4" s="568"/>
    </row>
    <row r="5" spans="1:19" s="567" customFormat="1" ht="15" customHeight="1">
      <c r="B5" s="1187" t="s">
        <v>520</v>
      </c>
      <c r="C5" s="1187"/>
      <c r="D5" s="1187"/>
      <c r="E5" s="1187"/>
      <c r="F5" s="1187"/>
      <c r="G5" s="1187"/>
      <c r="H5" s="1187"/>
      <c r="I5" s="1187"/>
      <c r="J5" s="1187"/>
      <c r="K5" s="1187"/>
      <c r="L5" s="1187"/>
      <c r="M5" s="568"/>
    </row>
    <row r="6" spans="1:19" s="567" customFormat="1" ht="12.75" hidden="1" customHeight="1">
      <c r="B6" s="1187" t="s">
        <v>521</v>
      </c>
      <c r="C6" s="1187"/>
      <c r="D6" s="1187"/>
      <c r="E6" s="1187"/>
      <c r="F6" s="1187"/>
      <c r="G6" s="1187"/>
      <c r="H6" s="1187"/>
      <c r="I6" s="1187"/>
      <c r="J6" s="1187"/>
      <c r="K6" s="1187"/>
      <c r="L6" s="1187"/>
      <c r="M6" s="568"/>
    </row>
    <row r="7" spans="1:19" s="569" customFormat="1" ht="24" hidden="1" customHeight="1">
      <c r="C7" s="1199" t="s">
        <v>522</v>
      </c>
      <c r="D7" s="1199"/>
      <c r="E7" s="1199"/>
      <c r="F7" s="1199"/>
      <c r="G7" s="1199"/>
      <c r="H7" s="1199"/>
      <c r="I7" s="1199"/>
      <c r="J7" s="1199"/>
      <c r="K7" s="1199"/>
      <c r="L7" s="1199"/>
      <c r="M7" s="570"/>
    </row>
    <row r="8" spans="1:19" ht="20.25" customHeight="1">
      <c r="B8" s="1190" t="s">
        <v>46</v>
      </c>
      <c r="C8" s="1191" t="s">
        <v>523</v>
      </c>
      <c r="D8" s="1192" t="s">
        <v>524</v>
      </c>
      <c r="E8" s="1194" t="s">
        <v>249</v>
      </c>
      <c r="F8" s="1194"/>
      <c r="G8" s="1194"/>
      <c r="H8" s="1194"/>
      <c r="I8" s="1194"/>
      <c r="J8" s="1194"/>
      <c r="K8" s="1194"/>
      <c r="L8" s="1194"/>
      <c r="N8" s="1195" t="s">
        <v>525</v>
      </c>
      <c r="O8" s="1195" t="s">
        <v>526</v>
      </c>
      <c r="P8" s="1195" t="s">
        <v>527</v>
      </c>
      <c r="Q8" s="1195" t="s">
        <v>528</v>
      </c>
      <c r="R8" s="1195" t="s">
        <v>529</v>
      </c>
      <c r="S8" s="1195" t="s">
        <v>530</v>
      </c>
    </row>
    <row r="9" spans="1:19" ht="20.25" customHeight="1">
      <c r="B9" s="1190"/>
      <c r="C9" s="1191"/>
      <c r="D9" s="1193"/>
      <c r="E9" s="1194" t="s">
        <v>531</v>
      </c>
      <c r="F9" s="1194"/>
      <c r="G9" s="1198" t="s">
        <v>532</v>
      </c>
      <c r="H9" s="1198"/>
      <c r="I9" s="1198" t="s">
        <v>533</v>
      </c>
      <c r="J9" s="1198"/>
      <c r="K9" s="1198" t="s">
        <v>534</v>
      </c>
      <c r="L9" s="1198"/>
      <c r="N9" s="1196"/>
      <c r="O9" s="1196"/>
      <c r="P9" s="1196"/>
      <c r="Q9" s="1196"/>
      <c r="R9" s="1196"/>
      <c r="S9" s="1196"/>
    </row>
    <row r="10" spans="1:19" ht="20.25" hidden="1" customHeight="1">
      <c r="B10" s="1190"/>
      <c r="C10" s="1191"/>
      <c r="D10" s="573"/>
      <c r="E10" s="574" t="s">
        <v>535</v>
      </c>
      <c r="F10" s="574" t="s">
        <v>536</v>
      </c>
      <c r="G10" s="574" t="s">
        <v>535</v>
      </c>
      <c r="H10" s="574" t="s">
        <v>536</v>
      </c>
      <c r="I10" s="574" t="s">
        <v>535</v>
      </c>
      <c r="J10" s="574" t="s">
        <v>536</v>
      </c>
      <c r="K10" s="574" t="s">
        <v>535</v>
      </c>
      <c r="L10" s="574" t="s">
        <v>536</v>
      </c>
      <c r="N10" s="1197"/>
      <c r="O10" s="1197"/>
      <c r="P10" s="1197"/>
      <c r="Q10" s="1197"/>
      <c r="R10" s="575"/>
      <c r="S10" s="1197"/>
    </row>
    <row r="11" spans="1:19" s="576" customFormat="1">
      <c r="B11" s="577" t="s">
        <v>2</v>
      </c>
      <c r="C11" s="573" t="s">
        <v>3</v>
      </c>
      <c r="D11" s="573"/>
      <c r="E11" s="574">
        <v>1</v>
      </c>
      <c r="F11" s="574">
        <v>1</v>
      </c>
      <c r="G11" s="574">
        <v>2</v>
      </c>
      <c r="H11" s="574">
        <v>2</v>
      </c>
      <c r="I11" s="574">
        <v>3</v>
      </c>
      <c r="J11" s="574">
        <v>3</v>
      </c>
      <c r="K11" s="574">
        <v>4</v>
      </c>
      <c r="L11" s="574">
        <v>4</v>
      </c>
      <c r="M11" s="578"/>
      <c r="N11" s="579"/>
      <c r="O11" s="579"/>
      <c r="P11" s="579"/>
      <c r="Q11" s="579"/>
      <c r="R11" s="579"/>
      <c r="S11" s="579"/>
    </row>
    <row r="12" spans="1:19" ht="18" customHeight="1">
      <c r="A12" s="580" t="str">
        <f>IF(B12&lt;&gt;"","VL","")</f>
        <v>VL</v>
      </c>
      <c r="B12" s="581">
        <f>IF(C12&lt;&gt;"",ROW()-(ROW()-1),"")</f>
        <v>1</v>
      </c>
      <c r="C12" s="582" t="s">
        <v>772</v>
      </c>
      <c r="D12" s="583" t="s">
        <v>537</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4"/>
      <c r="N12" s="585" t="s">
        <v>538</v>
      </c>
      <c r="O12" s="582" t="s">
        <v>539</v>
      </c>
      <c r="P12" s="586">
        <v>330593933</v>
      </c>
      <c r="Q12" s="586" t="s">
        <v>540</v>
      </c>
      <c r="R12" s="586"/>
      <c r="S12" s="586" t="s">
        <v>541</v>
      </c>
    </row>
    <row r="13" spans="1:19" ht="18" customHeight="1">
      <c r="A13" s="580" t="str">
        <f t="shared" ref="A13:A34" si="1">IF(B13&lt;&gt;"","VL","")</f>
        <v>VL</v>
      </c>
      <c r="B13" s="581">
        <f>IF(C13&lt;&gt;"",B12+1,"")</f>
        <v>2</v>
      </c>
      <c r="C13" s="587" t="s">
        <v>773</v>
      </c>
      <c r="D13" s="588" t="s">
        <v>537</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4"/>
      <c r="N13" s="587" t="s">
        <v>542</v>
      </c>
      <c r="O13" s="586" t="s">
        <v>539</v>
      </c>
      <c r="P13" s="586">
        <v>320775664</v>
      </c>
      <c r="Q13" s="586" t="s">
        <v>543</v>
      </c>
      <c r="R13" s="586"/>
      <c r="S13" s="586" t="s">
        <v>541</v>
      </c>
    </row>
    <row r="14" spans="1:19" ht="18" customHeight="1">
      <c r="A14" s="580" t="str">
        <f t="shared" si="1"/>
        <v>VL</v>
      </c>
      <c r="B14" s="581">
        <f t="shared" ref="B14:B33" si="2">IF(C14&lt;&gt;"",B13+1,"")</f>
        <v>3</v>
      </c>
      <c r="C14" s="587" t="s">
        <v>898</v>
      </c>
      <c r="D14" s="588"/>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84"/>
      <c r="N14" s="587" t="s">
        <v>544</v>
      </c>
      <c r="O14" s="589" t="s">
        <v>539</v>
      </c>
      <c r="P14" s="586">
        <v>320892558</v>
      </c>
      <c r="Q14" s="586" t="s">
        <v>545</v>
      </c>
      <c r="R14" s="586"/>
      <c r="S14" s="586" t="s">
        <v>541</v>
      </c>
    </row>
    <row r="15" spans="1:19" ht="18" customHeight="1">
      <c r="A15" s="580" t="str">
        <f t="shared" si="1"/>
        <v>VL</v>
      </c>
      <c r="B15" s="581">
        <f t="shared" si="2"/>
        <v>4</v>
      </c>
      <c r="C15" s="587" t="s">
        <v>899</v>
      </c>
      <c r="D15" s="588"/>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84"/>
      <c r="N15" s="587" t="s">
        <v>546</v>
      </c>
      <c r="O15" s="589" t="s">
        <v>539</v>
      </c>
      <c r="P15" s="586">
        <v>320892578</v>
      </c>
      <c r="Q15" s="586" t="s">
        <v>547</v>
      </c>
      <c r="R15" s="586"/>
      <c r="S15" s="586" t="s">
        <v>541</v>
      </c>
    </row>
    <row r="16" spans="1:19" ht="18" customHeight="1">
      <c r="A16" s="580" t="str">
        <f t="shared" si="1"/>
        <v/>
      </c>
      <c r="B16" s="581" t="str">
        <f t="shared" si="2"/>
        <v/>
      </c>
      <c r="C16" s="587"/>
      <c r="D16" s="588"/>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4"/>
      <c r="N16" s="587" t="s">
        <v>548</v>
      </c>
      <c r="O16" s="589" t="s">
        <v>539</v>
      </c>
      <c r="P16" s="586">
        <v>321179471</v>
      </c>
      <c r="Q16" s="586" t="s">
        <v>549</v>
      </c>
      <c r="R16" s="586"/>
      <c r="S16" s="586" t="s">
        <v>541</v>
      </c>
    </row>
    <row r="17" spans="1:20" ht="18" customHeight="1">
      <c r="A17" s="580" t="str">
        <f t="shared" si="1"/>
        <v/>
      </c>
      <c r="B17" s="581" t="str">
        <f t="shared" si="2"/>
        <v/>
      </c>
      <c r="C17" s="590"/>
      <c r="D17" s="591"/>
      <c r="E17" s="516"/>
      <c r="F17" s="516"/>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4"/>
      <c r="N17" s="587" t="s">
        <v>550</v>
      </c>
      <c r="O17" s="589" t="s">
        <v>539</v>
      </c>
      <c r="P17" s="586">
        <v>324478047</v>
      </c>
      <c r="Q17" s="586" t="s">
        <v>551</v>
      </c>
      <c r="R17" s="586"/>
      <c r="S17" s="586" t="s">
        <v>541</v>
      </c>
    </row>
    <row r="18" spans="1:20" ht="18" customHeight="1">
      <c r="A18" s="580" t="str">
        <f t="shared" si="1"/>
        <v/>
      </c>
      <c r="B18" s="581" t="str">
        <f t="shared" si="2"/>
        <v/>
      </c>
      <c r="C18" s="590"/>
      <c r="D18" s="592"/>
      <c r="E18" s="516"/>
      <c r="F18" s="516"/>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4"/>
      <c r="N18" s="587" t="s">
        <v>552</v>
      </c>
      <c r="O18" s="589" t="s">
        <v>539</v>
      </c>
      <c r="P18" s="586">
        <v>321413712</v>
      </c>
      <c r="Q18" s="586" t="s">
        <v>553</v>
      </c>
      <c r="R18" s="586"/>
      <c r="S18" s="586" t="s">
        <v>541</v>
      </c>
    </row>
    <row r="19" spans="1:20" ht="18" customHeight="1">
      <c r="A19" s="580" t="str">
        <f t="shared" si="1"/>
        <v/>
      </c>
      <c r="B19" s="581" t="str">
        <f t="shared" si="2"/>
        <v/>
      </c>
      <c r="C19" s="590"/>
      <c r="D19" s="592"/>
      <c r="E19" s="516"/>
      <c r="F19" s="516"/>
      <c r="G19" s="25">
        <f t="array" ref="G19">SUM(IF("1522"&amp;C19=KHN&amp;MH,SL))</f>
        <v>0</v>
      </c>
      <c r="H19" s="25">
        <f t="array" ref="H19">SUM(IF("1522"&amp;C19=KHN&amp;MH,TH))</f>
        <v>0</v>
      </c>
      <c r="I19" s="25">
        <f t="array" ref="I19">SUM(IF("1522"&amp;C19=KHC&amp;MH,SL))</f>
        <v>0</v>
      </c>
      <c r="J19" s="25">
        <f t="array" ref="J19">SUM(IF("1522"&amp;C19=KHC&amp;MH,TH))</f>
        <v>0</v>
      </c>
      <c r="K19" s="516">
        <f t="shared" si="0"/>
        <v>0</v>
      </c>
      <c r="L19" s="516">
        <f t="shared" si="0"/>
        <v>0</v>
      </c>
      <c r="M19" s="584"/>
      <c r="N19" s="587" t="s">
        <v>554</v>
      </c>
      <c r="O19" s="582" t="s">
        <v>539</v>
      </c>
      <c r="P19" s="586">
        <v>320744085</v>
      </c>
      <c r="Q19" s="586" t="s">
        <v>543</v>
      </c>
      <c r="R19" s="586"/>
      <c r="S19" s="586" t="s">
        <v>541</v>
      </c>
    </row>
    <row r="20" spans="1:20" ht="18" customHeight="1">
      <c r="A20" s="580" t="str">
        <f t="shared" si="1"/>
        <v/>
      </c>
      <c r="B20" s="581" t="str">
        <f t="shared" si="2"/>
        <v/>
      </c>
      <c r="C20" s="593"/>
      <c r="D20" s="594"/>
      <c r="E20" s="595"/>
      <c r="F20" s="595"/>
      <c r="G20" s="25">
        <f t="array" ref="G20">SUM(IF("1522"&amp;C20=KHN&amp;MH,SL))</f>
        <v>0</v>
      </c>
      <c r="H20" s="25">
        <f t="array" ref="H20">SUM(IF("1522"&amp;C20=KHN&amp;MH,TH))</f>
        <v>0</v>
      </c>
      <c r="I20" s="25">
        <f t="array" ref="I20">SUM(IF("1522"&amp;C20=KHC&amp;MH,SL))</f>
        <v>0</v>
      </c>
      <c r="J20" s="25">
        <f t="array" ref="J20">SUM(IF("1522"&amp;C20=KHC&amp;MH,TH))</f>
        <v>0</v>
      </c>
      <c r="K20" s="596">
        <f t="shared" si="0"/>
        <v>0</v>
      </c>
      <c r="L20" s="596">
        <f t="shared" si="0"/>
        <v>0</v>
      </c>
      <c r="M20" s="584"/>
      <c r="N20" s="587" t="s">
        <v>555</v>
      </c>
      <c r="O20" s="582" t="s">
        <v>539</v>
      </c>
      <c r="P20" s="586">
        <v>320807672</v>
      </c>
      <c r="Q20" s="586" t="s">
        <v>556</v>
      </c>
      <c r="R20" s="586"/>
      <c r="S20" s="586" t="s">
        <v>541</v>
      </c>
    </row>
    <row r="21" spans="1:20" ht="18" customHeight="1">
      <c r="A21" s="580" t="str">
        <f t="shared" si="1"/>
        <v/>
      </c>
      <c r="B21" s="581" t="str">
        <f t="shared" si="2"/>
        <v/>
      </c>
      <c r="C21" s="597"/>
      <c r="D21" s="594"/>
      <c r="E21" s="595"/>
      <c r="F21" s="595"/>
      <c r="G21" s="25">
        <f t="array" ref="G21">SUM(IF("1522"&amp;C21=KHN&amp;MH,SL))</f>
        <v>0</v>
      </c>
      <c r="H21" s="25">
        <f t="array" ref="H21">SUM(IF("1522"&amp;C21=KHN&amp;MH,TH))</f>
        <v>0</v>
      </c>
      <c r="I21" s="25">
        <f t="array" ref="I21">SUM(IF("1522"&amp;C21=KHC&amp;MH,SL))</f>
        <v>0</v>
      </c>
      <c r="J21" s="25">
        <f t="array" ref="J21">SUM(IF("1522"&amp;C21=KHC&amp;MH,TH))</f>
        <v>0</v>
      </c>
      <c r="K21" s="596">
        <f t="shared" si="0"/>
        <v>0</v>
      </c>
      <c r="L21" s="596">
        <f t="shared" si="0"/>
        <v>0</v>
      </c>
      <c r="M21" s="584"/>
      <c r="N21" s="587" t="s">
        <v>557</v>
      </c>
      <c r="O21" s="582" t="s">
        <v>539</v>
      </c>
      <c r="P21" s="586">
        <v>320044169</v>
      </c>
      <c r="Q21" s="586" t="s">
        <v>558</v>
      </c>
      <c r="R21" s="586"/>
      <c r="S21" s="586" t="s">
        <v>541</v>
      </c>
    </row>
    <row r="22" spans="1:20" ht="18" customHeight="1">
      <c r="A22" s="580" t="str">
        <f t="shared" si="1"/>
        <v/>
      </c>
      <c r="B22" s="581" t="str">
        <f t="shared" si="2"/>
        <v/>
      </c>
      <c r="C22" s="597"/>
      <c r="D22" s="594"/>
      <c r="E22" s="595"/>
      <c r="F22" s="595"/>
      <c r="G22" s="25">
        <f t="array" ref="G22">SUM(IF("1522"&amp;C22=KHN&amp;MH,SL))</f>
        <v>0</v>
      </c>
      <c r="H22" s="25">
        <f t="array" ref="H22">SUM(IF("1522"&amp;C22=KHN&amp;MH,TH))</f>
        <v>0</v>
      </c>
      <c r="I22" s="25">
        <f t="array" ref="I22">SUM(IF("1522"&amp;C22=KHC&amp;MH,SL))</f>
        <v>0</v>
      </c>
      <c r="J22" s="25">
        <f t="array" ref="J22">SUM(IF("1522"&amp;C22=KHC&amp;MH,TH))</f>
        <v>0</v>
      </c>
      <c r="K22" s="596">
        <f t="shared" si="0"/>
        <v>0</v>
      </c>
      <c r="L22" s="596">
        <f t="shared" si="0"/>
        <v>0</v>
      </c>
      <c r="M22" s="584"/>
      <c r="N22" s="598" t="s">
        <v>559</v>
      </c>
      <c r="O22" s="582" t="s">
        <v>539</v>
      </c>
      <c r="P22" s="586">
        <v>320881573</v>
      </c>
      <c r="Q22" s="586" t="s">
        <v>556</v>
      </c>
      <c r="R22" s="586"/>
      <c r="S22" s="586" t="s">
        <v>541</v>
      </c>
    </row>
    <row r="23" spans="1:20" ht="18" customHeight="1">
      <c r="A23" s="580" t="str">
        <f t="shared" si="1"/>
        <v/>
      </c>
      <c r="B23" s="581" t="str">
        <f t="shared" si="2"/>
        <v/>
      </c>
      <c r="C23" s="597"/>
      <c r="D23" s="594"/>
      <c r="E23" s="595"/>
      <c r="F23" s="595"/>
      <c r="G23" s="25">
        <f t="array" ref="G23">SUM(IF("1522"&amp;C23=KHN&amp;MH,SL))</f>
        <v>0</v>
      </c>
      <c r="H23" s="25">
        <f t="array" ref="H23">SUM(IF("1522"&amp;C23=KHN&amp;MH,TH))</f>
        <v>0</v>
      </c>
      <c r="I23" s="25">
        <f t="array" ref="I23">SUM(IF("1522"&amp;C23=KHC&amp;MH,SL))</f>
        <v>0</v>
      </c>
      <c r="J23" s="25">
        <f t="array" ref="J23">SUM(IF("1522"&amp;C23=KHC&amp;MH,TH))</f>
        <v>0</v>
      </c>
      <c r="K23" s="596">
        <f t="shared" si="0"/>
        <v>0</v>
      </c>
      <c r="L23" s="596">
        <f t="shared" si="0"/>
        <v>0</v>
      </c>
      <c r="M23" s="584"/>
      <c r="N23" s="587" t="s">
        <v>560</v>
      </c>
      <c r="O23" s="582" t="s">
        <v>539</v>
      </c>
      <c r="P23" s="586">
        <v>320876558</v>
      </c>
      <c r="Q23" s="586" t="s">
        <v>561</v>
      </c>
      <c r="R23" s="586"/>
      <c r="S23" s="586" t="s">
        <v>541</v>
      </c>
    </row>
    <row r="24" spans="1:20" ht="18" customHeight="1">
      <c r="A24" s="580" t="str">
        <f t="shared" si="1"/>
        <v/>
      </c>
      <c r="B24" s="581" t="str">
        <f t="shared" si="2"/>
        <v/>
      </c>
      <c r="C24" s="597"/>
      <c r="D24" s="594"/>
      <c r="E24" s="595"/>
      <c r="F24" s="595"/>
      <c r="G24" s="25">
        <f t="array" ref="G24">SUM(IF("1522"&amp;C24=KHN&amp;MH,SL))</f>
        <v>0</v>
      </c>
      <c r="H24" s="25">
        <f t="array" ref="H24">SUM(IF("1522"&amp;C24=KHN&amp;MH,TH))</f>
        <v>0</v>
      </c>
      <c r="I24" s="25">
        <f t="array" ref="I24">SUM(IF("1522"&amp;C24=KHC&amp;MH,SL))</f>
        <v>0</v>
      </c>
      <c r="J24" s="25">
        <f t="array" ref="J24">SUM(IF("1522"&amp;C24=KHC&amp;MH,TH))</f>
        <v>0</v>
      </c>
      <c r="K24" s="595">
        <f t="shared" si="0"/>
        <v>0</v>
      </c>
      <c r="L24" s="595">
        <f t="shared" si="0"/>
        <v>0</v>
      </c>
      <c r="M24" s="584"/>
      <c r="N24" s="587" t="s">
        <v>562</v>
      </c>
      <c r="O24" s="589" t="s">
        <v>563</v>
      </c>
      <c r="P24" s="586">
        <v>250746332</v>
      </c>
      <c r="Q24" s="586" t="s">
        <v>564</v>
      </c>
      <c r="R24" s="586"/>
      <c r="S24" s="586" t="s">
        <v>541</v>
      </c>
    </row>
    <row r="25" spans="1:20" ht="18" customHeight="1">
      <c r="A25" s="580" t="str">
        <f t="shared" si="1"/>
        <v/>
      </c>
      <c r="B25" s="581" t="str">
        <f t="shared" si="2"/>
        <v/>
      </c>
      <c r="C25" s="599"/>
      <c r="D25" s="600"/>
      <c r="E25" s="601"/>
      <c r="F25" s="601"/>
      <c r="G25" s="25">
        <f t="array" ref="G25">SUM(IF("1522"&amp;C25=KHN&amp;MH,SL))</f>
        <v>0</v>
      </c>
      <c r="H25" s="25">
        <f t="array" ref="H25">SUM(IF("1522"&amp;C25=KHN&amp;MH,TH))</f>
        <v>0</v>
      </c>
      <c r="I25" s="25">
        <f t="array" ref="I25">SUM(IF("1522"&amp;C25=KHC&amp;MH,SL))</f>
        <v>0</v>
      </c>
      <c r="J25" s="25">
        <f t="array" ref="J25">SUM(IF("1522"&amp;C25=KHC&amp;MH,TH))</f>
        <v>0</v>
      </c>
      <c r="K25" s="602">
        <f t="shared" si="0"/>
        <v>0</v>
      </c>
      <c r="L25" s="602">
        <f t="shared" si="0"/>
        <v>0</v>
      </c>
      <c r="M25" s="584"/>
      <c r="N25" s="587" t="s">
        <v>565</v>
      </c>
      <c r="O25" s="589" t="s">
        <v>563</v>
      </c>
      <c r="P25" s="586">
        <v>260682094</v>
      </c>
      <c r="Q25" s="586" t="s">
        <v>564</v>
      </c>
      <c r="R25" s="586"/>
      <c r="S25" s="586" t="s">
        <v>541</v>
      </c>
    </row>
    <row r="26" spans="1:20" ht="18" customHeight="1">
      <c r="A26" s="580" t="str">
        <f t="shared" si="1"/>
        <v/>
      </c>
      <c r="B26" s="581" t="str">
        <f t="shared" si="2"/>
        <v/>
      </c>
      <c r="C26" s="599"/>
      <c r="D26" s="600"/>
      <c r="E26" s="601"/>
      <c r="F26" s="601"/>
      <c r="G26" s="25">
        <f t="array" ref="G26">SUM(IF("1522"&amp;C26=KHN&amp;MH,SL))</f>
        <v>0</v>
      </c>
      <c r="H26" s="25">
        <f t="array" ref="H26">SUM(IF("1522"&amp;C26=KHN&amp;MH,TH))</f>
        <v>0</v>
      </c>
      <c r="I26" s="25">
        <f t="array" ref="I26">SUM(IF("1522"&amp;C26=KHC&amp;MH,SL))</f>
        <v>0</v>
      </c>
      <c r="J26" s="25">
        <f t="array" ref="J26">SUM(IF("1522"&amp;C26=KHC&amp;MH,TH))</f>
        <v>0</v>
      </c>
      <c r="K26" s="602">
        <f t="shared" si="0"/>
        <v>0</v>
      </c>
      <c r="L26" s="602">
        <f t="shared" si="0"/>
        <v>0</v>
      </c>
      <c r="M26" s="584"/>
      <c r="N26" s="587" t="s">
        <v>566</v>
      </c>
      <c r="O26" s="589" t="s">
        <v>563</v>
      </c>
      <c r="P26" s="586">
        <v>260690910</v>
      </c>
      <c r="Q26" s="586" t="s">
        <v>567</v>
      </c>
      <c r="R26" s="586"/>
      <c r="S26" s="586" t="s">
        <v>541</v>
      </c>
    </row>
    <row r="27" spans="1:20" ht="18" customHeight="1">
      <c r="A27" s="580" t="str">
        <f t="shared" si="1"/>
        <v/>
      </c>
      <c r="B27" s="581" t="str">
        <f t="shared" si="2"/>
        <v/>
      </c>
      <c r="C27" s="599"/>
      <c r="D27" s="600"/>
      <c r="E27" s="601"/>
      <c r="F27" s="601"/>
      <c r="G27" s="25">
        <f t="array" ref="G27">SUM(IF("1522"&amp;C27=KHN&amp;MH,SL))</f>
        <v>0</v>
      </c>
      <c r="H27" s="25">
        <f t="array" ref="H27">SUM(IF("1522"&amp;C27=KHN&amp;MH,TH))</f>
        <v>0</v>
      </c>
      <c r="I27" s="25">
        <f t="array" ref="I27">SUM(IF("1522"&amp;C27=KHC&amp;MH,SL))</f>
        <v>0</v>
      </c>
      <c r="J27" s="25">
        <f t="array" ref="J27">SUM(IF("1522"&amp;C27=KHC&amp;MH,TH))</f>
        <v>0</v>
      </c>
      <c r="K27" s="602">
        <f t="shared" si="0"/>
        <v>0</v>
      </c>
      <c r="L27" s="602">
        <f t="shared" si="0"/>
        <v>0</v>
      </c>
      <c r="M27" s="584"/>
      <c r="N27" s="587" t="s">
        <v>568</v>
      </c>
      <c r="O27" s="589" t="s">
        <v>563</v>
      </c>
      <c r="P27" s="586">
        <v>260178873</v>
      </c>
      <c r="Q27" s="586" t="s">
        <v>569</v>
      </c>
      <c r="R27" s="586"/>
      <c r="S27" s="586" t="s">
        <v>541</v>
      </c>
    </row>
    <row r="28" spans="1:20" ht="18" customHeight="1">
      <c r="A28" s="580" t="str">
        <f t="shared" si="1"/>
        <v/>
      </c>
      <c r="B28" s="581" t="str">
        <f t="shared" si="2"/>
        <v/>
      </c>
      <c r="C28" s="599"/>
      <c r="D28" s="600"/>
      <c r="E28" s="601"/>
      <c r="F28" s="601"/>
      <c r="G28" s="25">
        <f t="array" ref="G28">SUM(IF("1522"&amp;C28=KHN&amp;MH,SL))</f>
        <v>0</v>
      </c>
      <c r="H28" s="25">
        <f t="array" ref="H28">SUM(IF("1522"&amp;C28=KHN&amp;MH,TH))</f>
        <v>0</v>
      </c>
      <c r="I28" s="25">
        <f t="array" ref="I28">SUM(IF("1522"&amp;C28=KHC&amp;MH,SL))</f>
        <v>0</v>
      </c>
      <c r="J28" s="25">
        <f t="array" ref="J28">SUM(IF("1522"&amp;C28=KHC&amp;MH,TH))</f>
        <v>0</v>
      </c>
      <c r="K28" s="602">
        <f t="shared" ref="K28:L33" si="3">E28+G28-I28</f>
        <v>0</v>
      </c>
      <c r="L28" s="602">
        <f t="shared" si="3"/>
        <v>0</v>
      </c>
      <c r="M28" s="584"/>
      <c r="N28" s="587" t="s">
        <v>570</v>
      </c>
      <c r="O28" s="589" t="s">
        <v>563</v>
      </c>
      <c r="P28" s="586">
        <v>260850613</v>
      </c>
      <c r="Q28" s="586" t="s">
        <v>569</v>
      </c>
      <c r="R28" s="586"/>
      <c r="S28" s="586" t="s">
        <v>541</v>
      </c>
      <c r="T28" s="603"/>
    </row>
    <row r="29" spans="1:20" s="603" customFormat="1" ht="18" customHeight="1">
      <c r="A29" s="580" t="str">
        <f t="shared" si="1"/>
        <v/>
      </c>
      <c r="B29" s="581" t="str">
        <f t="shared" si="2"/>
        <v/>
      </c>
      <c r="C29" s="599"/>
      <c r="D29" s="600"/>
      <c r="E29" s="601"/>
      <c r="F29" s="601"/>
      <c r="G29" s="25">
        <f t="array" ref="G29">SUM(IF("1522"&amp;C29=KHN&amp;MH,SL))</f>
        <v>0</v>
      </c>
      <c r="H29" s="25">
        <f t="array" ref="H29">SUM(IF("1522"&amp;C29=KHN&amp;MH,TH))</f>
        <v>0</v>
      </c>
      <c r="I29" s="25">
        <f t="array" ref="I29">SUM(IF("1522"&amp;C29=KHC&amp;MH,SL))</f>
        <v>0</v>
      </c>
      <c r="J29" s="25">
        <f t="array" ref="J29">SUM(IF("1522"&amp;C29=KHC&amp;MH,TH))</f>
        <v>0</v>
      </c>
      <c r="K29" s="601">
        <f t="shared" si="3"/>
        <v>0</v>
      </c>
      <c r="L29" s="601">
        <f t="shared" si="3"/>
        <v>0</v>
      </c>
      <c r="M29" s="584"/>
      <c r="N29" s="587" t="s">
        <v>571</v>
      </c>
      <c r="O29" s="589" t="s">
        <v>563</v>
      </c>
      <c r="P29" s="586">
        <v>280853616</v>
      </c>
      <c r="Q29" s="586" t="s">
        <v>569</v>
      </c>
      <c r="R29" s="586"/>
      <c r="S29" s="586" t="s">
        <v>541</v>
      </c>
    </row>
    <row r="30" spans="1:20" s="603" customFormat="1" ht="18" customHeight="1">
      <c r="A30" s="580" t="str">
        <f t="shared" si="1"/>
        <v/>
      </c>
      <c r="B30" s="581" t="str">
        <f t="shared" si="2"/>
        <v/>
      </c>
      <c r="C30" s="599"/>
      <c r="D30" s="600"/>
      <c r="E30" s="601"/>
      <c r="F30" s="601"/>
      <c r="G30" s="25">
        <f t="array" ref="G30">SUM(IF("1522"&amp;C30=KHN&amp;MH,SL))</f>
        <v>0</v>
      </c>
      <c r="H30" s="25">
        <f t="array" ref="H30">SUM(IF("1522"&amp;C30=KHN&amp;MH,TH))</f>
        <v>0</v>
      </c>
      <c r="I30" s="25">
        <f t="array" ref="I30">SUM(IF("1522"&amp;C30=KHC&amp;MH,SL))</f>
        <v>0</v>
      </c>
      <c r="J30" s="25">
        <f t="array" ref="J30">SUM(IF("1522"&amp;C30=KHC&amp;MH,TH))</f>
        <v>0</v>
      </c>
      <c r="K30" s="601">
        <f t="shared" si="3"/>
        <v>0</v>
      </c>
      <c r="L30" s="601">
        <f t="shared" si="3"/>
        <v>0</v>
      </c>
      <c r="M30" s="584"/>
      <c r="N30" s="587" t="s">
        <v>572</v>
      </c>
      <c r="O30" s="589" t="s">
        <v>563</v>
      </c>
      <c r="P30" s="586">
        <v>261005222</v>
      </c>
      <c r="Q30" s="586" t="s">
        <v>573</v>
      </c>
      <c r="R30" s="586"/>
      <c r="S30" s="586" t="s">
        <v>541</v>
      </c>
    </row>
    <row r="31" spans="1:20" s="603" customFormat="1" ht="18" customHeight="1">
      <c r="A31" s="580" t="str">
        <f t="shared" si="1"/>
        <v/>
      </c>
      <c r="B31" s="581" t="str">
        <f t="shared" si="2"/>
        <v/>
      </c>
      <c r="C31" s="599"/>
      <c r="D31" s="600"/>
      <c r="E31" s="601"/>
      <c r="F31" s="601"/>
      <c r="G31" s="25">
        <f t="array" ref="G31">SUM(IF("1522"&amp;C31=KHN&amp;MH,SL))</f>
        <v>0</v>
      </c>
      <c r="H31" s="25">
        <f t="array" ref="H31">SUM(IF("1522"&amp;C31=KHN&amp;MH,TH))</f>
        <v>0</v>
      </c>
      <c r="I31" s="25">
        <f t="array" ref="I31">SUM(IF("1522"&amp;C31=KHC&amp;MH,SL))</f>
        <v>0</v>
      </c>
      <c r="J31" s="25">
        <f t="array" ref="J31">SUM(IF("1522"&amp;C31=KHC&amp;MH,TH))</f>
        <v>0</v>
      </c>
      <c r="K31" s="601">
        <f t="shared" si="3"/>
        <v>0</v>
      </c>
      <c r="L31" s="601">
        <f t="shared" si="3"/>
        <v>0</v>
      </c>
      <c r="M31" s="584"/>
      <c r="N31" s="587" t="s">
        <v>574</v>
      </c>
      <c r="O31" s="589" t="s">
        <v>575</v>
      </c>
      <c r="P31" s="586">
        <v>370047763</v>
      </c>
      <c r="Q31" s="586" t="s">
        <v>576</v>
      </c>
      <c r="R31" s="586"/>
      <c r="S31" s="586" t="s">
        <v>541</v>
      </c>
      <c r="T31" s="571"/>
    </row>
    <row r="32" spans="1:20" ht="18.75" customHeight="1">
      <c r="A32" s="580" t="str">
        <f t="shared" si="1"/>
        <v/>
      </c>
      <c r="B32" s="581" t="str">
        <f t="shared" si="2"/>
        <v/>
      </c>
      <c r="C32" s="599"/>
      <c r="D32" s="600"/>
      <c r="E32" s="601"/>
      <c r="F32" s="601"/>
      <c r="G32" s="25">
        <f t="array" ref="G32">SUM(IF("1522"&amp;C32=KHN&amp;MH,SL))</f>
        <v>0</v>
      </c>
      <c r="H32" s="25">
        <f t="array" ref="H32">SUM(IF("1522"&amp;C32=KHN&amp;MH,TH))</f>
        <v>0</v>
      </c>
      <c r="I32" s="25">
        <f t="array" ref="I32">SUM(IF("1522"&amp;C32=KHC&amp;MH,SL))</f>
        <v>0</v>
      </c>
      <c r="J32" s="25">
        <f t="array" ref="J32">SUM(IF("1522"&amp;C32=KHC&amp;MH,TH))</f>
        <v>0</v>
      </c>
      <c r="K32" s="601">
        <f t="shared" si="3"/>
        <v>0</v>
      </c>
      <c r="L32" s="601">
        <f t="shared" si="3"/>
        <v>0</v>
      </c>
      <c r="M32" s="584"/>
      <c r="N32" s="587" t="s">
        <v>577</v>
      </c>
      <c r="O32" s="589" t="s">
        <v>575</v>
      </c>
      <c r="P32" s="586">
        <v>370054438</v>
      </c>
      <c r="Q32" s="586" t="s">
        <v>576</v>
      </c>
      <c r="R32" s="586"/>
      <c r="S32" s="586" t="s">
        <v>541</v>
      </c>
    </row>
    <row r="33" spans="1:19" ht="18.75" customHeight="1">
      <c r="A33" s="580" t="str">
        <f t="shared" si="1"/>
        <v/>
      </c>
      <c r="B33" s="581" t="str">
        <f t="shared" si="2"/>
        <v/>
      </c>
      <c r="C33" s="599"/>
      <c r="D33" s="600"/>
      <c r="E33" s="601"/>
      <c r="F33" s="601"/>
      <c r="G33" s="25">
        <f t="array" ref="G33">SUM(IF("1522"&amp;C33=KHN&amp;MH,SL))</f>
        <v>0</v>
      </c>
      <c r="H33" s="25">
        <f t="array" ref="H33">SUM(IF("1522"&amp;C33=KHN&amp;MH,TH))</f>
        <v>0</v>
      </c>
      <c r="I33" s="25">
        <f t="array" ref="I33">SUM(IF("1522"&amp;C33=KHC&amp;MH,SL))</f>
        <v>0</v>
      </c>
      <c r="J33" s="25">
        <f t="array" ref="J33">SUM(IF("1522"&amp;C33=KHC&amp;MH,TH))</f>
        <v>0</v>
      </c>
      <c r="K33" s="601">
        <f t="shared" si="3"/>
        <v>0</v>
      </c>
      <c r="L33" s="601">
        <f t="shared" si="3"/>
        <v>0</v>
      </c>
      <c r="M33" s="584"/>
      <c r="N33" s="587" t="s">
        <v>578</v>
      </c>
      <c r="O33" s="589" t="s">
        <v>575</v>
      </c>
      <c r="P33" s="586">
        <v>370615318</v>
      </c>
      <c r="Q33" s="586" t="s">
        <v>579</v>
      </c>
      <c r="R33" s="586"/>
      <c r="S33" s="586" t="s">
        <v>541</v>
      </c>
    </row>
    <row r="34" spans="1:19" ht="18.75" customHeight="1">
      <c r="A34" s="580" t="str">
        <f t="shared" si="1"/>
        <v/>
      </c>
      <c r="B34" s="581" t="str">
        <f>IF(C34&lt;&gt;"",#REF!+1,"")</f>
        <v/>
      </c>
      <c r="C34" s="598"/>
      <c r="D34" s="604"/>
      <c r="E34" s="605"/>
      <c r="F34" s="605"/>
      <c r="G34" s="25"/>
      <c r="H34" s="605"/>
      <c r="I34" s="605"/>
      <c r="J34" s="605"/>
      <c r="K34" s="605"/>
      <c r="L34" s="605"/>
      <c r="M34" s="584"/>
      <c r="N34" s="587" t="s">
        <v>580</v>
      </c>
      <c r="O34" s="589" t="s">
        <v>575</v>
      </c>
      <c r="P34" s="586">
        <v>370825748</v>
      </c>
      <c r="Q34" s="586" t="s">
        <v>579</v>
      </c>
      <c r="R34" s="586"/>
      <c r="S34" s="586" t="s">
        <v>541</v>
      </c>
    </row>
    <row r="35" spans="1:19" ht="18.75" customHeight="1">
      <c r="A35" s="580"/>
      <c r="B35" s="577"/>
      <c r="C35" s="606" t="s">
        <v>597</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84"/>
      <c r="N35" s="587" t="s">
        <v>581</v>
      </c>
      <c r="O35" s="589" t="s">
        <v>575</v>
      </c>
      <c r="P35" s="586">
        <v>370698949</v>
      </c>
      <c r="Q35" s="586" t="s">
        <v>582</v>
      </c>
      <c r="R35" s="586" t="s">
        <v>583</v>
      </c>
      <c r="S35" s="586" t="s">
        <v>541</v>
      </c>
    </row>
    <row r="36" spans="1:19" ht="18.75" customHeight="1">
      <c r="A36" s="580" t="str">
        <f>IF(B36&lt;&gt;"","VL","")</f>
        <v/>
      </c>
      <c r="B36" s="607"/>
      <c r="C36" s="608"/>
      <c r="D36" s="609"/>
      <c r="E36" s="609"/>
      <c r="F36" s="609"/>
      <c r="G36" s="609"/>
      <c r="H36" s="609"/>
      <c r="I36" s="609"/>
      <c r="J36" s="609"/>
      <c r="K36" s="609"/>
      <c r="L36" s="609"/>
      <c r="M36" s="584"/>
      <c r="N36" s="587" t="s">
        <v>584</v>
      </c>
      <c r="O36" s="589" t="s">
        <v>575</v>
      </c>
      <c r="P36" s="586">
        <v>370803567</v>
      </c>
      <c r="Q36" s="586" t="s">
        <v>585</v>
      </c>
      <c r="R36" s="586"/>
      <c r="S36" s="586" t="s">
        <v>541</v>
      </c>
    </row>
    <row r="37" spans="1:19" ht="18.75" customHeight="1">
      <c r="A37" s="580" t="str">
        <f t="shared" ref="A37:A44" si="5">IF(B37&lt;&gt;"","NL","")</f>
        <v/>
      </c>
      <c r="B37" s="610" t="str">
        <f>IF(C37&lt;&gt;"",ROW()-(ROW()-1),"")</f>
        <v/>
      </c>
      <c r="C37" s="587"/>
      <c r="D37" s="583"/>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4"/>
      <c r="N37" s="587" t="s">
        <v>586</v>
      </c>
      <c r="O37" s="589" t="s">
        <v>575</v>
      </c>
      <c r="P37" s="586">
        <v>370004125</v>
      </c>
      <c r="Q37" s="586" t="s">
        <v>576</v>
      </c>
      <c r="R37" s="586"/>
      <c r="S37" s="586" t="s">
        <v>541</v>
      </c>
    </row>
    <row r="38" spans="1:19" ht="18.75" customHeight="1">
      <c r="A38" s="580" t="str">
        <f t="shared" si="5"/>
        <v/>
      </c>
      <c r="B38" s="581" t="str">
        <f>IF(C38&lt;&gt;"",B37+1,"")</f>
        <v/>
      </c>
      <c r="C38" s="587"/>
      <c r="D38" s="583"/>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4"/>
      <c r="N38" s="587" t="s">
        <v>587</v>
      </c>
      <c r="O38" s="589" t="s">
        <v>575</v>
      </c>
      <c r="P38" s="586">
        <v>370033286</v>
      </c>
      <c r="Q38" s="586" t="s">
        <v>576</v>
      </c>
      <c r="R38" s="586"/>
      <c r="S38" s="586" t="s">
        <v>541</v>
      </c>
    </row>
    <row r="39" spans="1:19" ht="18.75" customHeight="1">
      <c r="A39" s="580" t="str">
        <f t="shared" si="5"/>
        <v/>
      </c>
      <c r="B39" s="581" t="str">
        <f>IF(C39&lt;&gt;"",B38+1,"")</f>
        <v/>
      </c>
      <c r="C39" s="587"/>
      <c r="D39" s="583"/>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4"/>
      <c r="N39" s="587" t="s">
        <v>588</v>
      </c>
      <c r="O39" s="589" t="s">
        <v>589</v>
      </c>
      <c r="P39" s="586">
        <v>310703274</v>
      </c>
      <c r="Q39" s="586" t="s">
        <v>590</v>
      </c>
      <c r="R39" s="586"/>
      <c r="S39" s="586" t="s">
        <v>536</v>
      </c>
    </row>
    <row r="40" spans="1:19" ht="18.75" customHeight="1">
      <c r="A40" s="580" t="str">
        <f t="shared" si="5"/>
        <v/>
      </c>
      <c r="B40" s="581" t="str">
        <f>IF(C40&lt;&gt;"",B39+1,"")</f>
        <v/>
      </c>
      <c r="C40" s="587"/>
      <c r="D40" s="583"/>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4"/>
      <c r="N40" s="587" t="s">
        <v>591</v>
      </c>
      <c r="O40" s="589" t="s">
        <v>589</v>
      </c>
      <c r="P40" s="586">
        <v>311704830</v>
      </c>
      <c r="Q40" s="586" t="s">
        <v>592</v>
      </c>
      <c r="R40" s="586"/>
      <c r="S40" s="586" t="s">
        <v>536</v>
      </c>
    </row>
    <row r="41" spans="1:19" ht="18.75" customHeight="1">
      <c r="A41" s="580" t="str">
        <f t="shared" si="5"/>
        <v/>
      </c>
      <c r="B41" s="581" t="str">
        <f>IF(C41&lt;&gt;"",B40+1,"")</f>
        <v/>
      </c>
      <c r="C41" s="587"/>
      <c r="D41" s="583"/>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4"/>
      <c r="N41" s="587" t="s">
        <v>593</v>
      </c>
      <c r="O41" s="589" t="s">
        <v>589</v>
      </c>
      <c r="P41" s="586">
        <v>311318331</v>
      </c>
      <c r="Q41" s="586" t="s">
        <v>594</v>
      </c>
      <c r="R41" s="586"/>
      <c r="S41" s="586" t="s">
        <v>536</v>
      </c>
    </row>
    <row r="42" spans="1:19" ht="18" customHeight="1">
      <c r="A42" s="580" t="str">
        <f t="shared" si="5"/>
        <v/>
      </c>
      <c r="B42" s="581" t="str">
        <f>IF(C42&lt;&gt;"",B41+1,"")</f>
        <v/>
      </c>
      <c r="C42" s="611"/>
      <c r="D42" s="612"/>
      <c r="E42" s="613"/>
      <c r="F42" s="613"/>
      <c r="G42" s="613"/>
      <c r="H42" s="613"/>
      <c r="I42" s="613"/>
      <c r="J42" s="613"/>
      <c r="K42" s="8"/>
      <c r="L42" s="8"/>
      <c r="M42" s="584"/>
      <c r="N42" s="587" t="s">
        <v>595</v>
      </c>
      <c r="O42" s="589" t="s">
        <v>589</v>
      </c>
      <c r="P42" s="586">
        <v>310882191</v>
      </c>
      <c r="Q42" s="586" t="s">
        <v>596</v>
      </c>
      <c r="R42" s="586"/>
      <c r="S42" s="586" t="s">
        <v>536</v>
      </c>
    </row>
    <row r="43" spans="1:19" ht="18" customHeight="1">
      <c r="A43" s="580" t="str">
        <f t="shared" si="5"/>
        <v/>
      </c>
      <c r="B43" s="577"/>
      <c r="C43" s="606" t="s">
        <v>611</v>
      </c>
      <c r="D43" s="577"/>
      <c r="E43" s="13">
        <f>SUM(E37:E41)</f>
        <v>0</v>
      </c>
      <c r="F43" s="13">
        <f>SUM(F37:F41)</f>
        <v>0</v>
      </c>
      <c r="G43" s="13">
        <f t="shared" ref="G43:L43" si="7">SUM(G37:G40)</f>
        <v>0</v>
      </c>
      <c r="H43" s="13">
        <f t="shared" si="7"/>
        <v>0</v>
      </c>
      <c r="I43" s="13">
        <f t="shared" si="7"/>
        <v>0</v>
      </c>
      <c r="J43" s="13">
        <f t="shared" si="7"/>
        <v>0</v>
      </c>
      <c r="K43" s="13">
        <f t="shared" si="7"/>
        <v>0</v>
      </c>
      <c r="L43" s="13">
        <f t="shared" si="7"/>
        <v>0</v>
      </c>
      <c r="M43" s="584"/>
      <c r="N43" s="587" t="s">
        <v>598</v>
      </c>
      <c r="O43" s="589" t="s">
        <v>589</v>
      </c>
      <c r="P43" s="586">
        <v>310882158</v>
      </c>
      <c r="Q43" s="586" t="s">
        <v>599</v>
      </c>
      <c r="R43" s="586"/>
      <c r="S43" s="586" t="s">
        <v>536</v>
      </c>
    </row>
    <row r="44" spans="1:19" ht="19.5" customHeight="1">
      <c r="A44" s="580" t="str">
        <f t="shared" si="5"/>
        <v/>
      </c>
      <c r="B44" s="614"/>
      <c r="C44" s="615"/>
      <c r="D44" s="614"/>
      <c r="E44" s="616"/>
      <c r="F44" s="616"/>
      <c r="G44" s="616"/>
      <c r="H44" s="616"/>
      <c r="I44" s="616"/>
      <c r="J44" s="616"/>
      <c r="K44" s="616"/>
      <c r="L44" s="616"/>
      <c r="M44" s="584"/>
      <c r="N44" s="587" t="s">
        <v>600</v>
      </c>
      <c r="O44" s="589" t="s">
        <v>589</v>
      </c>
      <c r="P44" s="586">
        <v>310033074</v>
      </c>
      <c r="Q44" s="586" t="s">
        <v>590</v>
      </c>
      <c r="R44" s="586"/>
      <c r="S44" s="586" t="s">
        <v>536</v>
      </c>
    </row>
    <row r="45" spans="1:19" ht="19.5" customHeight="1">
      <c r="A45" s="580" t="str">
        <f>IF(B45&lt;&gt;"","TP","")</f>
        <v/>
      </c>
      <c r="B45" s="617" t="str">
        <f>IF(C45&lt;&gt;"",ROW()-(ROW()-1),"")</f>
        <v/>
      </c>
      <c r="C45" s="582"/>
      <c r="D45" s="618"/>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4"/>
      <c r="N45" s="587" t="s">
        <v>601</v>
      </c>
      <c r="O45" s="589" t="s">
        <v>589</v>
      </c>
      <c r="P45" s="586">
        <v>310526150</v>
      </c>
      <c r="Q45" s="586" t="s">
        <v>590</v>
      </c>
      <c r="R45" s="586"/>
      <c r="S45" s="586" t="s">
        <v>536</v>
      </c>
    </row>
    <row r="46" spans="1:19" ht="19.5" customHeight="1">
      <c r="A46" s="580" t="str">
        <f t="shared" ref="A46:A54" si="9">IF(B46&lt;&gt;"","TP","")</f>
        <v/>
      </c>
      <c r="B46" s="619" t="str">
        <f>IF(C46&lt;&gt;"",B45+1,"")</f>
        <v/>
      </c>
      <c r="C46" s="587"/>
      <c r="D46" s="618"/>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4"/>
      <c r="N46" s="587" t="s">
        <v>602</v>
      </c>
      <c r="O46" s="589" t="s">
        <v>589</v>
      </c>
      <c r="P46" s="586">
        <v>311514350</v>
      </c>
      <c r="Q46" s="586" t="s">
        <v>592</v>
      </c>
      <c r="R46" s="586"/>
      <c r="S46" s="586" t="s">
        <v>536</v>
      </c>
    </row>
    <row r="47" spans="1:19" ht="19.5" customHeight="1">
      <c r="A47" s="580" t="str">
        <f t="shared" si="9"/>
        <v/>
      </c>
      <c r="B47" s="619" t="str">
        <f t="shared" ref="B47:B52" si="10">IF(C47&lt;&gt;"",B46+1,"")</f>
        <v/>
      </c>
      <c r="C47" s="587"/>
      <c r="D47" s="618"/>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4"/>
      <c r="N47" s="587" t="s">
        <v>603</v>
      </c>
      <c r="O47" s="589" t="s">
        <v>604</v>
      </c>
      <c r="P47" s="586">
        <v>270106056</v>
      </c>
      <c r="Q47" s="586" t="s">
        <v>604</v>
      </c>
      <c r="R47" s="586" t="s">
        <v>605</v>
      </c>
      <c r="S47" s="586" t="s">
        <v>536</v>
      </c>
    </row>
    <row r="48" spans="1:19" ht="19.5" customHeight="1">
      <c r="A48" s="580" t="str">
        <f t="shared" si="9"/>
        <v/>
      </c>
      <c r="B48" s="619" t="str">
        <f t="shared" si="10"/>
        <v/>
      </c>
      <c r="C48" s="587"/>
      <c r="D48" s="618"/>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4"/>
      <c r="N48" s="587" t="s">
        <v>606</v>
      </c>
      <c r="O48" s="589" t="s">
        <v>604</v>
      </c>
      <c r="P48" s="586">
        <v>270176684</v>
      </c>
      <c r="Q48" s="586" t="s">
        <v>604</v>
      </c>
      <c r="R48" s="586" t="s">
        <v>607</v>
      </c>
      <c r="S48" s="586" t="s">
        <v>536</v>
      </c>
    </row>
    <row r="49" spans="1:20" ht="19.5" customHeight="1">
      <c r="A49" s="580" t="str">
        <f t="shared" si="9"/>
        <v/>
      </c>
      <c r="B49" s="619" t="str">
        <f t="shared" si="10"/>
        <v/>
      </c>
      <c r="C49" s="587"/>
      <c r="D49" s="618"/>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4"/>
      <c r="N49" s="587" t="s">
        <v>608</v>
      </c>
      <c r="O49" s="589" t="s">
        <v>604</v>
      </c>
      <c r="P49" s="586">
        <v>270176960</v>
      </c>
      <c r="Q49" s="586" t="s">
        <v>604</v>
      </c>
      <c r="R49" s="586" t="s">
        <v>609</v>
      </c>
      <c r="S49" s="586" t="s">
        <v>536</v>
      </c>
    </row>
    <row r="50" spans="1:20" ht="18" customHeight="1">
      <c r="A50" s="580" t="str">
        <f t="shared" si="9"/>
        <v/>
      </c>
      <c r="B50" s="619" t="str">
        <f t="shared" si="10"/>
        <v/>
      </c>
      <c r="C50" s="587"/>
      <c r="D50" s="618"/>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4"/>
      <c r="N50" s="587" t="s">
        <v>610</v>
      </c>
      <c r="O50" s="589" t="s">
        <v>604</v>
      </c>
      <c r="P50" s="586">
        <v>271181056</v>
      </c>
      <c r="Q50" s="586" t="s">
        <v>604</v>
      </c>
      <c r="R50" s="586"/>
      <c r="S50" s="586" t="s">
        <v>536</v>
      </c>
    </row>
    <row r="51" spans="1:20" ht="18" customHeight="1">
      <c r="A51" s="580" t="str">
        <f t="shared" si="9"/>
        <v/>
      </c>
      <c r="B51" s="619" t="str">
        <f t="shared" si="10"/>
        <v/>
      </c>
      <c r="C51" s="587"/>
      <c r="D51" s="618"/>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4"/>
      <c r="N51" s="587" t="s">
        <v>612</v>
      </c>
      <c r="O51" s="589" t="s">
        <v>604</v>
      </c>
      <c r="P51" s="586">
        <v>270986506</v>
      </c>
      <c r="Q51" s="586" t="s">
        <v>604</v>
      </c>
      <c r="R51" s="586"/>
      <c r="S51" s="586" t="s">
        <v>536</v>
      </c>
    </row>
    <row r="52" spans="1:20" ht="18.75" customHeight="1">
      <c r="A52" s="580" t="str">
        <f t="shared" si="9"/>
        <v/>
      </c>
      <c r="B52" s="619" t="str">
        <f t="shared" si="10"/>
        <v/>
      </c>
      <c r="C52" s="587"/>
      <c r="D52" s="618"/>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4"/>
      <c r="N52" s="587" t="s">
        <v>613</v>
      </c>
      <c r="O52" s="589" t="s">
        <v>604</v>
      </c>
      <c r="P52" s="586">
        <v>273042454</v>
      </c>
      <c r="Q52" s="586" t="s">
        <v>614</v>
      </c>
      <c r="R52" s="586" t="s">
        <v>615</v>
      </c>
      <c r="S52" s="586" t="s">
        <v>536</v>
      </c>
    </row>
    <row r="53" spans="1:20" ht="18.75" customHeight="1">
      <c r="A53" s="580" t="str">
        <f t="shared" si="9"/>
        <v/>
      </c>
      <c r="B53" s="619" t="str">
        <f>IF(C53&lt;&gt;"",#REF!+1,"")</f>
        <v/>
      </c>
      <c r="C53" s="623"/>
      <c r="D53" s="612"/>
      <c r="E53" s="8"/>
      <c r="F53" s="8"/>
      <c r="G53" s="613"/>
      <c r="H53" s="613"/>
      <c r="I53" s="613"/>
      <c r="J53" s="613"/>
      <c r="K53" s="613"/>
      <c r="L53" s="613"/>
      <c r="M53" s="584"/>
      <c r="N53" s="587" t="s">
        <v>617</v>
      </c>
      <c r="O53" s="589" t="s">
        <v>604</v>
      </c>
      <c r="P53" s="586">
        <v>273249576</v>
      </c>
      <c r="Q53" s="586" t="s">
        <v>604</v>
      </c>
      <c r="R53" s="586"/>
      <c r="S53" s="586" t="s">
        <v>536</v>
      </c>
    </row>
    <row r="54" spans="1:20" ht="18.75" customHeight="1">
      <c r="A54" s="580" t="str">
        <f t="shared" si="9"/>
        <v/>
      </c>
      <c r="B54" s="577"/>
      <c r="C54" s="606" t="s">
        <v>630</v>
      </c>
      <c r="D54" s="577"/>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4"/>
      <c r="N54" s="587" t="s">
        <v>619</v>
      </c>
      <c r="O54" s="589" t="s">
        <v>604</v>
      </c>
      <c r="P54" s="586">
        <v>271642418</v>
      </c>
      <c r="Q54" s="586" t="s">
        <v>604</v>
      </c>
      <c r="R54" s="586"/>
      <c r="S54" s="586" t="s">
        <v>536</v>
      </c>
    </row>
    <row r="55" spans="1:20" ht="18.75" customHeight="1">
      <c r="A55" s="580" t="str">
        <f>IF(B55&lt;&gt;"","TP","")</f>
        <v/>
      </c>
      <c r="B55" s="624"/>
      <c r="C55" s="624"/>
      <c r="D55" s="625"/>
      <c r="E55" s="626"/>
      <c r="F55" s="626"/>
      <c r="G55" s="626"/>
      <c r="H55" s="626"/>
      <c r="I55" s="626"/>
      <c r="J55" s="626"/>
      <c r="K55" s="626"/>
      <c r="L55" s="626"/>
      <c r="M55" s="584"/>
      <c r="N55" s="598" t="s">
        <v>621</v>
      </c>
      <c r="O55" s="589" t="s">
        <v>604</v>
      </c>
      <c r="P55" s="586">
        <v>273017840</v>
      </c>
      <c r="Q55" s="586" t="s">
        <v>622</v>
      </c>
      <c r="R55" s="586"/>
      <c r="S55" s="586" t="s">
        <v>536</v>
      </c>
    </row>
    <row r="56" spans="1:20" ht="19.5" customHeight="1">
      <c r="M56" s="584"/>
      <c r="N56" s="587" t="s">
        <v>624</v>
      </c>
      <c r="O56" s="587"/>
      <c r="P56" s="587"/>
      <c r="Q56" s="587"/>
      <c r="R56" s="587"/>
      <c r="S56" s="587"/>
    </row>
    <row r="57" spans="1:20" ht="18.75" customHeight="1">
      <c r="M57" s="620"/>
      <c r="N57" s="620"/>
      <c r="O57" s="620"/>
      <c r="P57" s="620"/>
      <c r="Q57" s="620"/>
      <c r="R57" s="620"/>
      <c r="S57" s="620"/>
      <c r="T57" s="620"/>
    </row>
    <row r="58" spans="1:20" ht="18.75" customHeight="1">
      <c r="C58" s="1200"/>
      <c r="D58" s="1200"/>
      <c r="E58" s="1200"/>
      <c r="F58" s="628"/>
      <c r="G58" s="628"/>
      <c r="H58" s="628"/>
      <c r="I58" s="628"/>
      <c r="J58" s="1200" t="s">
        <v>634</v>
      </c>
      <c r="K58" s="1200"/>
      <c r="L58" s="1200"/>
      <c r="M58" s="571"/>
      <c r="P58" s="620"/>
      <c r="Q58" s="620"/>
      <c r="R58" s="620"/>
      <c r="S58" s="620"/>
      <c r="T58" s="620"/>
    </row>
    <row r="59" spans="1:20" ht="19.5" customHeight="1">
      <c r="C59" s="629" t="s">
        <v>14</v>
      </c>
      <c r="D59" s="629"/>
      <c r="E59" s="629"/>
      <c r="F59" s="1200" t="s">
        <v>15</v>
      </c>
      <c r="G59" s="1200"/>
      <c r="H59" s="1200"/>
      <c r="I59" s="628"/>
      <c r="J59" s="1200" t="s">
        <v>206</v>
      </c>
      <c r="K59" s="1200"/>
      <c r="L59" s="1200"/>
      <c r="M59" s="571"/>
      <c r="P59" s="620"/>
      <c r="Q59" s="620"/>
      <c r="R59" s="620"/>
      <c r="S59" s="620"/>
    </row>
    <row r="60" spans="1:20" ht="19.5" customHeight="1">
      <c r="C60" s="629" t="s">
        <v>16</v>
      </c>
      <c r="D60" s="629" t="s">
        <v>637</v>
      </c>
      <c r="E60" s="629"/>
      <c r="F60" s="1200" t="s">
        <v>16</v>
      </c>
      <c r="G60" s="1200"/>
      <c r="H60" s="1200"/>
      <c r="I60" s="571"/>
      <c r="J60" s="1200" t="s">
        <v>241</v>
      </c>
      <c r="K60" s="1200"/>
      <c r="L60" s="1200"/>
      <c r="M60" s="571"/>
      <c r="Q60" s="621"/>
      <c r="R60" s="621"/>
      <c r="S60" s="621"/>
    </row>
    <row r="61" spans="1:20" ht="19.5" customHeight="1">
      <c r="M61" s="571"/>
      <c r="Q61" s="582" t="s">
        <v>616</v>
      </c>
      <c r="R61" s="582"/>
      <c r="S61" s="618">
        <v>4.5</v>
      </c>
    </row>
    <row r="62" spans="1:20" ht="19.5" customHeight="1">
      <c r="M62" s="571"/>
      <c r="Q62" s="587" t="s">
        <v>618</v>
      </c>
      <c r="R62" s="582"/>
      <c r="S62" s="618">
        <v>5</v>
      </c>
    </row>
    <row r="63" spans="1:20" ht="20.25" customHeight="1">
      <c r="M63" s="571"/>
      <c r="Q63" s="587" t="s">
        <v>620</v>
      </c>
      <c r="R63" s="582"/>
      <c r="S63" s="618">
        <v>5</v>
      </c>
    </row>
    <row r="64" spans="1:20" ht="20.25" customHeight="1">
      <c r="M64" s="571"/>
      <c r="Q64" s="587" t="s">
        <v>623</v>
      </c>
      <c r="R64" s="582"/>
      <c r="S64" s="618">
        <v>5</v>
      </c>
    </row>
    <row r="65" spans="13:19" ht="20.25" customHeight="1">
      <c r="M65" s="571"/>
      <c r="Q65" s="587" t="s">
        <v>625</v>
      </c>
      <c r="R65" s="587"/>
      <c r="S65" s="622"/>
    </row>
    <row r="66" spans="13:19" ht="20.25" customHeight="1">
      <c r="M66" s="571"/>
      <c r="Q66" s="587" t="s">
        <v>629</v>
      </c>
      <c r="R66" s="587"/>
      <c r="S66" s="622">
        <v>8</v>
      </c>
    </row>
    <row r="67" spans="13:19" ht="20.25" customHeight="1">
      <c r="M67" s="571"/>
      <c r="Q67" s="587" t="s">
        <v>631</v>
      </c>
      <c r="R67" s="587"/>
      <c r="S67" s="622">
        <v>9</v>
      </c>
    </row>
    <row r="68" spans="13:19" ht="20.25" customHeight="1">
      <c r="M68" s="571"/>
      <c r="Q68" s="587" t="s">
        <v>632</v>
      </c>
      <c r="R68" s="587"/>
      <c r="S68" s="622">
        <v>8</v>
      </c>
    </row>
    <row r="69" spans="13:19" ht="20.25" customHeight="1">
      <c r="M69" s="571"/>
      <c r="Q69" s="587" t="s">
        <v>628</v>
      </c>
      <c r="R69" s="587"/>
      <c r="S69" s="622">
        <v>8</v>
      </c>
    </row>
    <row r="70" spans="13:19" ht="19.5" customHeight="1">
      <c r="M70" s="571"/>
      <c r="Q70" s="587" t="s">
        <v>633</v>
      </c>
      <c r="R70" s="587"/>
      <c r="S70" s="622">
        <v>5</v>
      </c>
    </row>
    <row r="71" spans="13:19" ht="19.5" customHeight="1">
      <c r="M71" s="571"/>
      <c r="Q71" s="587" t="s">
        <v>635</v>
      </c>
      <c r="R71" s="587"/>
      <c r="S71" s="622">
        <v>5</v>
      </c>
    </row>
    <row r="72" spans="13:19" ht="19.5" customHeight="1">
      <c r="M72" s="571"/>
      <c r="Q72" s="587" t="s">
        <v>636</v>
      </c>
      <c r="R72" s="587"/>
      <c r="S72" s="622">
        <v>5</v>
      </c>
    </row>
    <row r="73" spans="13:19" ht="19.5" customHeight="1">
      <c r="M73" s="571"/>
      <c r="Q73" s="587" t="s">
        <v>638</v>
      </c>
      <c r="R73" s="587"/>
      <c r="S73" s="622">
        <v>4.5</v>
      </c>
    </row>
    <row r="74" spans="13:19" ht="19.5" customHeight="1">
      <c r="M74" s="571"/>
      <c r="Q74" s="587" t="s">
        <v>639</v>
      </c>
      <c r="R74" s="587"/>
      <c r="S74" s="622">
        <v>4.5</v>
      </c>
    </row>
    <row r="75" spans="13:19" ht="19.5" customHeight="1">
      <c r="M75" s="571"/>
      <c r="Q75" s="587" t="s">
        <v>626</v>
      </c>
      <c r="R75" s="587"/>
      <c r="S75" s="622">
        <v>11</v>
      </c>
    </row>
    <row r="76" spans="13:19" ht="19.5" customHeight="1">
      <c r="M76" s="571"/>
      <c r="Q76" s="587" t="s">
        <v>627</v>
      </c>
      <c r="R76" s="587"/>
      <c r="S76" s="622">
        <v>11</v>
      </c>
    </row>
    <row r="77" spans="13:19" ht="19.5" customHeight="1">
      <c r="M77" s="571"/>
      <c r="Q77" s="587" t="s">
        <v>640</v>
      </c>
      <c r="R77" s="587"/>
      <c r="S77" s="622">
        <v>4.4000000000000004</v>
      </c>
    </row>
    <row r="78" spans="13:19" ht="19.5" customHeight="1">
      <c r="M78" s="571"/>
      <c r="Q78" s="587" t="s">
        <v>641</v>
      </c>
      <c r="R78" s="587"/>
      <c r="S78" s="622">
        <v>4.5</v>
      </c>
    </row>
    <row r="79" spans="13:19" ht="19.5" customHeight="1">
      <c r="M79" s="571"/>
    </row>
    <row r="80" spans="13:19" ht="19.5" customHeight="1">
      <c r="M80" s="571"/>
    </row>
    <row r="81" spans="13:14" ht="19.5" customHeight="1">
      <c r="M81" s="571"/>
    </row>
    <row r="82" spans="13:14" ht="19.5" customHeight="1">
      <c r="M82" s="571"/>
    </row>
    <row r="83" spans="13:14" ht="19.5" customHeight="1">
      <c r="M83" s="571"/>
    </row>
    <row r="84" spans="13:14" ht="19.5" customHeight="1">
      <c r="M84" s="571"/>
    </row>
    <row r="85" spans="13:14" ht="19.5" customHeight="1">
      <c r="M85" s="571"/>
    </row>
    <row r="86" spans="13:14" ht="19.5" customHeight="1">
      <c r="M86" s="571"/>
    </row>
    <row r="87" spans="13:14" ht="19.5" customHeight="1">
      <c r="M87" s="571"/>
    </row>
    <row r="88" spans="13:14" ht="19.5" customHeight="1">
      <c r="N88" s="620"/>
    </row>
    <row r="89" spans="13:14">
      <c r="N89" s="620"/>
    </row>
    <row r="90" spans="13:14">
      <c r="N90" s="620"/>
    </row>
    <row r="91" spans="13:14">
      <c r="N91" s="620"/>
    </row>
    <row r="93" spans="13:14">
      <c r="N93" s="620"/>
    </row>
    <row r="94" spans="13:14">
      <c r="N94" s="620"/>
    </row>
    <row r="95" spans="13:14">
      <c r="N95" s="620"/>
    </row>
    <row r="96" spans="13:14">
      <c r="N96" s="620"/>
    </row>
    <row r="97" spans="14:14">
      <c r="N97" s="620"/>
    </row>
    <row r="98" spans="14:14">
      <c r="N98" s="620"/>
    </row>
    <row r="99" spans="14:14">
      <c r="N99" s="620"/>
    </row>
    <row r="100" spans="14:14">
      <c r="N100" s="620"/>
    </row>
    <row r="101" spans="14:14">
      <c r="N101" s="620"/>
    </row>
    <row r="102" spans="14:14">
      <c r="N102" s="620"/>
    </row>
    <row r="103" spans="14:14">
      <c r="N103" s="620"/>
    </row>
    <row r="104" spans="14:14">
      <c r="N104" s="620"/>
    </row>
    <row r="105" spans="14:14">
      <c r="N105" s="620"/>
    </row>
    <row r="106" spans="14:14">
      <c r="N106" s="620"/>
    </row>
    <row r="107" spans="14:14">
      <c r="N107" s="620"/>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30" customWidth="1"/>
    <col min="2" max="2" width="29.7109375" style="630" customWidth="1"/>
    <col min="3" max="3" width="5.7109375" style="630" customWidth="1"/>
    <col min="4" max="4" width="6.7109375" style="630" customWidth="1"/>
    <col min="5" max="5" width="12.7109375" style="630" customWidth="1"/>
    <col min="6" max="6" width="9.85546875" style="630" customWidth="1"/>
    <col min="7" max="7" width="11" style="630" customWidth="1"/>
    <col min="8" max="8" width="14" style="630" customWidth="1"/>
    <col min="9" max="9" width="4.28515625" style="630" customWidth="1"/>
    <col min="10" max="10" width="6.7109375" style="630" customWidth="1"/>
    <col min="11" max="11" width="3.140625" style="630" customWidth="1"/>
    <col min="12" max="12" width="5.7109375" style="630" customWidth="1"/>
    <col min="13" max="13" width="2.7109375" style="630" customWidth="1"/>
    <col min="14" max="14" width="5.140625" style="630" customWidth="1"/>
    <col min="15" max="15" width="3.7109375" style="630" customWidth="1"/>
    <col min="16" max="16" width="4" style="630" customWidth="1"/>
    <col min="17" max="16384" width="9.140625" style="630"/>
  </cols>
  <sheetData>
    <row r="1" spans="1:16" ht="5.25" customHeight="1"/>
    <row r="2" spans="1:16" ht="12.75" customHeight="1">
      <c r="A2" s="102" t="s">
        <v>213</v>
      </c>
      <c r="G2" s="117" t="str">
        <f>+IF(LEFT($D$7,1)="N","Mẫu số 01 - VT","Mẫu số 02 - VT")</f>
        <v>Mẫu số 02 - VT</v>
      </c>
      <c r="P2" s="974"/>
    </row>
    <row r="3" spans="1:16" ht="12.75" customHeight="1">
      <c r="A3" s="113" t="s">
        <v>214</v>
      </c>
      <c r="G3" s="114" t="s">
        <v>517</v>
      </c>
      <c r="N3" s="117" t="s">
        <v>201</v>
      </c>
      <c r="O3" s="631"/>
      <c r="P3" s="1044">
        <f>IF(J5="Quý I",3,IF(J5="Quý II",6,IF(J5="Quý III",9,IF(J5="Quý IV",12,""))))</f>
        <v>3</v>
      </c>
    </row>
    <row r="4" spans="1:16" ht="11.25" customHeight="1" thickBot="1">
      <c r="G4" s="114" t="s">
        <v>345</v>
      </c>
      <c r="J4" s="632"/>
      <c r="M4" s="633"/>
      <c r="N4" s="117" t="s">
        <v>202</v>
      </c>
      <c r="O4" s="631"/>
    </row>
    <row r="5" spans="1:16" ht="18" customHeight="1" thickBot="1">
      <c r="D5" s="634" t="str">
        <f>+IF(LEFT($L$5,1)="N","PHIẾU NHẬP KHO","PHIẾU XUẤT KHO")</f>
        <v>PHIẾU NHẬP KHO</v>
      </c>
      <c r="J5" s="1042" t="s">
        <v>360</v>
      </c>
      <c r="K5" s="635"/>
      <c r="L5" s="1045" t="s">
        <v>795</v>
      </c>
      <c r="M5" s="1043"/>
      <c r="N5" s="1046">
        <v>1</v>
      </c>
      <c r="O5" s="631"/>
    </row>
    <row r="6" spans="1:16" s="636" customFormat="1" ht="12" customHeight="1">
      <c r="D6" s="637" t="str">
        <f ca="1">"Ngày  " &amp;DAY(IF(ROWS($1:1)&gt;COUNT(Dong10),"",OFFSET(TH!C$1,SMALL(Dong10,ROWS($1:1)),)))&amp;"  tháng  " &amp; MONTH(IF(ROWS($1:1)&gt;COUNT(Dong10),"",OFFSET(TH!C$1,SMALL(Dong10,ROWS($1:1)),)))&amp;"  năm  "&amp;YEAR(IF(ROWS($1:1)&gt;COUNT(Dong10),"",OFFSET(TH!C$1,SMALL(Dong10,ROWS($1:1)),)))</f>
        <v>Ngày  12  tháng  3  năm  2016</v>
      </c>
      <c r="E6" s="638"/>
      <c r="M6" s="639"/>
      <c r="O6" s="640"/>
    </row>
    <row r="7" spans="1:16" s="636" customFormat="1" ht="12" customHeight="1">
      <c r="C7" s="641" t="str">
        <f xml:space="preserve"> "Số:"</f>
        <v>Số:</v>
      </c>
      <c r="D7" s="642" t="str">
        <f xml:space="preserve"> RIGHT($L$5,2)&amp;"/"&amp;LEFT($L$5,1)&amp;IF($N$5&gt;=10,$N$5,"0"&amp;$N$5)</f>
        <v>VL/N01</v>
      </c>
      <c r="G7" s="636" t="str">
        <f ca="1">"Nợ:  "&amp;IF(ROWS($1:1)&gt;COUNT(Dong10),"",OFFSET(TH!N$1,SMALL(Dong10,ROWS($1:1)),))</f>
        <v>Nợ:  1522</v>
      </c>
      <c r="M7" s="639"/>
      <c r="O7" s="640"/>
    </row>
    <row r="8" spans="1:16" s="636" customFormat="1" ht="12" customHeight="1">
      <c r="D8" s="114"/>
      <c r="G8" s="636" t="str">
        <f ca="1">"Có:  "&amp;IF(ROWS($1:1)&gt;COUNT(Dong10),"",OFFSET(TH!O$1,SMALL(Dong10,ROWS($1:1)),))</f>
        <v>Có:  331</v>
      </c>
      <c r="M8" s="639"/>
      <c r="O8" s="643"/>
    </row>
    <row r="9" spans="1:16" s="636" customFormat="1" ht="12" customHeight="1">
      <c r="A9" s="636"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39"/>
    </row>
    <row r="10" spans="1:16" s="636" customFormat="1" ht="12" customHeight="1">
      <c r="A10" s="636" t="str">
        <f>+IF(MID($D$7,4,1)="N","Theo……………………………………....…………..số………….…………….……ngày……...tháng…......năm……....","Lý do xuất :                                 Xuất dùng ")</f>
        <v>Theo……………………………………....…………..số………….…………….……ngày……...tháng…......năm……....</v>
      </c>
    </row>
    <row r="11" spans="1:16" s="636" customFormat="1" ht="12" customHeight="1">
      <c r="A11" s="636" t="str">
        <f>+IF(MID($D$7,4,1)="N","của………………………………………………………………………………………………………………………………....","Xuất tại kho (ngăn lô) :            Công ty TNHH Hải Sản An Lạc                      Địa điểm :  Đức Hòa, Long An.")</f>
        <v>của………………………………………………………………………………………………………………………………....</v>
      </c>
    </row>
    <row r="12" spans="1:16" s="636" customFormat="1" ht="12" customHeight="1">
      <c r="A12" s="636" t="str">
        <f>+IF(LEFT("x",1)="N","Nhập tại kho:       Công ty TNHH Hải Sản An Lạc                      Địa điểm:  Đức Hòa, Long An."," ")</f>
        <v xml:space="preserve"> </v>
      </c>
    </row>
    <row r="13" spans="1:16" s="636" customFormat="1" ht="2.25" customHeight="1"/>
    <row r="14" spans="1:16" s="636" customFormat="1" ht="11.25" customHeight="1">
      <c r="A14" s="1201" t="s">
        <v>46</v>
      </c>
      <c r="B14" s="1201" t="s">
        <v>643</v>
      </c>
      <c r="C14" s="1201" t="s">
        <v>644</v>
      </c>
      <c r="D14" s="1201" t="s">
        <v>524</v>
      </c>
      <c r="E14" s="1203" t="s">
        <v>645</v>
      </c>
      <c r="F14" s="1203"/>
      <c r="G14" s="1201" t="s">
        <v>646</v>
      </c>
      <c r="H14" s="1201" t="s">
        <v>647</v>
      </c>
    </row>
    <row r="15" spans="1:16" s="636" customFormat="1" ht="19.5" customHeight="1">
      <c r="A15" s="1202"/>
      <c r="B15" s="1202"/>
      <c r="C15" s="1202"/>
      <c r="D15" s="1202"/>
      <c r="E15" s="644" t="s">
        <v>648</v>
      </c>
      <c r="F15" s="644" t="str">
        <f>IF(LEFT($D$7,1)="N","Thực nhập","Thực xuất")</f>
        <v>Thực xuất</v>
      </c>
      <c r="G15" s="1202"/>
      <c r="H15" s="1202"/>
    </row>
    <row r="16" spans="1:16" s="646" customFormat="1" ht="8.25" customHeight="1">
      <c r="A16" s="645" t="s">
        <v>2</v>
      </c>
      <c r="B16" s="645" t="s">
        <v>3</v>
      </c>
      <c r="C16" s="645" t="s">
        <v>4</v>
      </c>
      <c r="D16" s="645" t="s">
        <v>5</v>
      </c>
      <c r="E16" s="645">
        <v>1</v>
      </c>
      <c r="F16" s="645">
        <v>2</v>
      </c>
      <c r="G16" s="645">
        <v>3</v>
      </c>
      <c r="H16" s="645">
        <v>4</v>
      </c>
    </row>
    <row r="17" spans="1:8" s="636" customFormat="1" ht="12" customHeight="1">
      <c r="A17" s="647">
        <f ca="1">IF(B17="","",ROW()-16)</f>
        <v>1</v>
      </c>
      <c r="B17" s="648" t="str">
        <f ca="1">IF(ROWS($1:1)&gt;COUNT(Dong10),"",OFFSET(TH!F$1,SMALL(Dong10,ROWS($1:1)),))</f>
        <v>Túi PE 86*75</v>
      </c>
      <c r="C17" s="649"/>
      <c r="D17" s="650" t="str">
        <f ca="1">IF(ISNA(VLOOKUP(B17,NXT!$C$12:$D$53,2,0)),"",VLOOKUP(B17,NXT!$C$12:$D$53,2,0))</f>
        <v>kg</v>
      </c>
      <c r="E17" s="651"/>
      <c r="F17" s="652">
        <f ca="1">IF(ROWS($1:1)&gt;COUNT(Dong10),"",OFFSET(TH!I$1,SMALL(Dong10,ROWS($1:1)),))</f>
        <v>500</v>
      </c>
      <c r="G17" s="653">
        <f ca="1">IF(ROWS($1:1)&gt;COUNT(Dong10),"",OFFSET(TH!J$1,SMALL(Dong10,ROWS($1:1)),))</f>
        <v>33000</v>
      </c>
      <c r="H17" s="651">
        <f t="shared" ref="H17:H23" ca="1" si="0">IF(F17&lt;&gt;"",ROUND(F17*G17,0),"")</f>
        <v>16500000</v>
      </c>
    </row>
    <row r="18" spans="1:8" s="636" customFormat="1" ht="12" customHeight="1">
      <c r="A18" s="647">
        <f t="shared" ref="A18:A23" ca="1" si="1">IF(B18="","",ROW()-16)</f>
        <v>2</v>
      </c>
      <c r="B18" s="648" t="str">
        <f ca="1">IF(ROWS($1:2)&gt;COUNT(Dong10),"",OFFSET(TH!F$1,SMALL(Dong10,ROWS($1:2)),))</f>
        <v>Túi PE 40*60</v>
      </c>
      <c r="C18" s="649"/>
      <c r="D18" s="650" t="str">
        <f ca="1">IF(ISNA(VLOOKUP(B18,NXT!$C$12:$D$53,2,0)),"",VLOOKUP(B18,NXT!$C$12:$D$53,2,0))</f>
        <v>kg</v>
      </c>
      <c r="E18" s="651"/>
      <c r="F18" s="652">
        <f ca="1">IF(ROWS($1:2)&gt;COUNT(Dong10),"",OFFSET(TH!I$1,SMALL(Dong10,ROWS($1:2)),))</f>
        <v>500</v>
      </c>
      <c r="G18" s="653">
        <f ca="1">IF(ROWS($1:2)&gt;COUNT(Dong10),"",OFFSET(TH!J$1,SMALL(Dong10,ROWS($1:2)),))</f>
        <v>33000</v>
      </c>
      <c r="H18" s="651">
        <f t="shared" ca="1" si="0"/>
        <v>16500000</v>
      </c>
    </row>
    <row r="19" spans="1:8" s="636" customFormat="1" ht="12" customHeight="1">
      <c r="A19" s="647" t="str">
        <f t="shared" ca="1" si="1"/>
        <v/>
      </c>
      <c r="B19" s="648" t="str">
        <f ca="1">IF(ROWS($1:3)&gt;COUNT(Dong10),"",OFFSET(TH!F$1,SMALL(Dong10,ROWS($1:3)),))</f>
        <v/>
      </c>
      <c r="C19" s="649"/>
      <c r="D19" s="650" t="str">
        <f ca="1">IF(ISNA(VLOOKUP(B19,NXT!$C$12:$D$53,2,0)),"",VLOOKUP(B19,NXT!$C$12:$D$53,2,0))</f>
        <v/>
      </c>
      <c r="E19" s="651"/>
      <c r="F19" s="652" t="str">
        <f ca="1">IF(ROWS($1:3)&gt;COUNT(Dong10),"",OFFSET(TH!I$1,SMALL(Dong10,ROWS($1:3)),))</f>
        <v/>
      </c>
      <c r="G19" s="653" t="str">
        <f ca="1">IF(ROWS($1:3)&gt;COUNT(Dong10),"",OFFSET(TH!J$1,SMALL(Dong10,ROWS($1:3)),))</f>
        <v/>
      </c>
      <c r="H19" s="651" t="str">
        <f t="shared" ca="1" si="0"/>
        <v/>
      </c>
    </row>
    <row r="20" spans="1:8" s="636" customFormat="1" ht="12" customHeight="1">
      <c r="A20" s="647" t="str">
        <f t="shared" ca="1" si="1"/>
        <v/>
      </c>
      <c r="B20" s="648" t="str">
        <f ca="1">IF(ROWS($1:4)&gt;COUNT(Dong10),"",OFFSET(TH!F$1,SMALL(Dong10,ROWS($1:4)),))</f>
        <v/>
      </c>
      <c r="C20" s="649"/>
      <c r="D20" s="650" t="str">
        <f ca="1">IF(ISNA(VLOOKUP(B20,NXT!$C$12:$D$53,2,0)),"",VLOOKUP(B20,NXT!$C$12:$D$53,2,0))</f>
        <v/>
      </c>
      <c r="E20" s="651"/>
      <c r="F20" s="652" t="str">
        <f ca="1">IF(ROWS($1:4)&gt;COUNT(Dong10),"",OFFSET(TH!I$1,SMALL(Dong10,ROWS($1:4)),))</f>
        <v/>
      </c>
      <c r="G20" s="653" t="str">
        <f ca="1">IF(ROWS($1:4)&gt;COUNT(Dong10),"",OFFSET(TH!J$1,SMALL(Dong10,ROWS($1:4)),))</f>
        <v/>
      </c>
      <c r="H20" s="651" t="str">
        <f t="shared" ca="1" si="0"/>
        <v/>
      </c>
    </row>
    <row r="21" spans="1:8" s="636" customFormat="1" ht="12" customHeight="1">
      <c r="A21" s="647" t="str">
        <f t="shared" ca="1" si="1"/>
        <v/>
      </c>
      <c r="B21" s="648" t="str">
        <f ca="1">IF(ROWS($1:5)&gt;COUNT(Dong10),"",OFFSET(TH!F$1,SMALL(Dong10,ROWS($1:5)),))</f>
        <v/>
      </c>
      <c r="C21" s="649"/>
      <c r="D21" s="650" t="str">
        <f ca="1">IF(ISNA(VLOOKUP(B21,NXT!$C$12:$D$53,2,0)),"",VLOOKUP(B21,NXT!$C$12:$D$53,2,0))</f>
        <v/>
      </c>
      <c r="E21" s="651"/>
      <c r="F21" s="652" t="str">
        <f ca="1">IF(ROWS($1:5)&gt;COUNT(Dong10),"",OFFSET(TH!I$1,SMALL(Dong10,ROWS($1:5)),))</f>
        <v/>
      </c>
      <c r="G21" s="653" t="str">
        <f ca="1">IF(ROWS($1:5)&gt;COUNT(Dong10),"",OFFSET(TH!J$1,SMALL(Dong10,ROWS($1:5)),))</f>
        <v/>
      </c>
      <c r="H21" s="651" t="str">
        <f t="shared" ca="1" si="0"/>
        <v/>
      </c>
    </row>
    <row r="22" spans="1:8" s="636" customFormat="1" ht="12" customHeight="1">
      <c r="A22" s="647" t="str">
        <f t="shared" ca="1" si="1"/>
        <v/>
      </c>
      <c r="B22" s="648" t="str">
        <f ca="1">IF(ROWS($1:6)&gt;COUNT(Dong10),"",OFFSET(TH!F$1,SMALL(Dong10,ROWS($1:6)),))</f>
        <v/>
      </c>
      <c r="C22" s="649"/>
      <c r="D22" s="650" t="str">
        <f ca="1">IF(ISNA(VLOOKUP(B22,NXT!$C$12:$D$53,2,0)),"",VLOOKUP(B22,NXT!$C$12:$D$53,2,0))</f>
        <v/>
      </c>
      <c r="E22" s="651"/>
      <c r="F22" s="652" t="str">
        <f ca="1">IF(ROWS($1:6)&gt;COUNT(Dong10),"",OFFSET(TH!I$1,SMALL(Dong10,ROWS($1:6)),))</f>
        <v/>
      </c>
      <c r="G22" s="653" t="str">
        <f ca="1">IF(ROWS($1:6)&gt;COUNT(Dong10),"",OFFSET(TH!J$1,SMALL(Dong10,ROWS($1:6)),))</f>
        <v/>
      </c>
      <c r="H22" s="651" t="str">
        <f t="shared" ca="1" si="0"/>
        <v/>
      </c>
    </row>
    <row r="23" spans="1:8" s="636" customFormat="1" ht="12" customHeight="1">
      <c r="A23" s="647" t="str">
        <f t="shared" ca="1" si="1"/>
        <v/>
      </c>
      <c r="B23" s="648" t="str">
        <f ca="1">IF(ROWS($1:7)&gt;COUNT(Dong10),"",OFFSET(TH!F$1,SMALL(Dong10,ROWS($1:7)),))</f>
        <v/>
      </c>
      <c r="C23" s="649"/>
      <c r="D23" s="650" t="str">
        <f ca="1">IF(ISNA(VLOOKUP(B23,NXT!$C$12:$D$53,2,0)),"",VLOOKUP(B23,NXT!$C$12:$D$53,2,0))</f>
        <v/>
      </c>
      <c r="E23" s="651"/>
      <c r="F23" s="652" t="str">
        <f ca="1">IF(ROWS($1:7)&gt;COUNT(Dong10),"",OFFSET(TH!I$1,SMALL(Dong10,ROWS($1:7)),))</f>
        <v/>
      </c>
      <c r="G23" s="653" t="str">
        <f ca="1">IF(ROWS($1:7)&gt;COUNT(Dong10),"",OFFSET(TH!J$1,SMALL(Dong10,ROWS($1:7)),))</f>
        <v/>
      </c>
      <c r="H23" s="654" t="str">
        <f t="shared" ca="1" si="0"/>
        <v/>
      </c>
    </row>
    <row r="24" spans="1:8" s="636" customFormat="1" ht="12" customHeight="1">
      <c r="A24" s="1203" t="s">
        <v>649</v>
      </c>
      <c r="B24" s="1203"/>
      <c r="C24" s="655"/>
      <c r="D24" s="655"/>
      <c r="E24" s="656"/>
      <c r="F24" s="656"/>
      <c r="G24" s="656"/>
      <c r="H24" s="656">
        <f ca="1">SUM(H17:H23)</f>
        <v>33000000</v>
      </c>
    </row>
    <row r="25" spans="1:8" s="636" customFormat="1" ht="3" customHeight="1">
      <c r="A25" s="657"/>
      <c r="B25" s="657"/>
      <c r="C25" s="639"/>
      <c r="D25" s="639"/>
      <c r="E25" s="658"/>
      <c r="F25" s="658"/>
      <c r="G25" s="658"/>
      <c r="H25" s="658"/>
    </row>
    <row r="26" spans="1:8" s="636" customFormat="1" ht="14.25" customHeight="1">
      <c r="A26" s="636" t="str">
        <f ca="1">"Tổng số tiền (viết bằng chữ):  "&amp; [1]!VND(H24, TRUE)</f>
        <v>Tổng số tiền (viết bằng chữ):  Ba mươi ba triệu đồng</v>
      </c>
    </row>
    <row r="27" spans="1:8" s="636" customFormat="1" ht="14.25" customHeight="1">
      <c r="A27" s="636" t="str">
        <f ca="1">"Số chứng từ gốc kèm theo :  "&amp;IF(B17&lt;&gt;"","HĐ "&amp;OFFSET(TH!G$1,SMALL(Dong10,ROWS($1:2)),),"")</f>
        <v>Số chứng từ gốc kèm theo :  HĐ 0000757</v>
      </c>
    </row>
    <row r="28" spans="1:8" s="636" customFormat="1" ht="14.25" customHeight="1">
      <c r="F28" s="125" t="str">
        <f ca="1">+IF(LEFT($D$7,1)="N","                                                          "&amp;D6,"                                                                                           "&amp;D6)</f>
        <v xml:space="preserve">                                                                                           Ngày  12  tháng  3  năm  2016</v>
      </c>
    </row>
    <row r="29" spans="1:8" s="660" customFormat="1" ht="14.25" customHeight="1">
      <c r="A29" s="659" t="s">
        <v>650</v>
      </c>
      <c r="C29" s="661"/>
      <c r="E29" s="661"/>
      <c r="F29" s="661" t="str">
        <f>+IF(LEFT($D$7,1)="N","                                                       Kế toán trưởng","                                          Kế toán trưởng                           Giám đốc")</f>
        <v xml:space="preserve">                                          Kế toán trưởng                           Giám đốc</v>
      </c>
    </row>
    <row r="30" spans="1:8" s="636" customFormat="1" ht="12.75" customHeight="1">
      <c r="A30" s="642" t="s">
        <v>651</v>
      </c>
      <c r="C30" s="125"/>
      <c r="E30" s="125"/>
      <c r="F30" s="125" t="str">
        <f>+IF(LEFT($D$7,1)="N","                                                     (Ký, họ tên)","                (Ký, họ tên)                ")</f>
        <v xml:space="preserve">                (Ký, họ tên)                </v>
      </c>
      <c r="H30" s="642" t="str">
        <f>+IF(LEFT($D$7,1)="N","","  (Ký, họ tên)")</f>
        <v xml:space="preserve">  (Ký, họ tên)</v>
      </c>
    </row>
    <row r="31" spans="1:8" s="636" customFormat="1" ht="12.75" customHeight="1">
      <c r="G31" s="125"/>
    </row>
    <row r="32" spans="1:8" s="636" customFormat="1" ht="11.25" customHeight="1"/>
    <row r="33" spans="1:6" s="636" customFormat="1" ht="11.25" customHeight="1"/>
    <row r="34" spans="1:6" s="636" customFormat="1" ht="11.25" customHeight="1"/>
    <row r="35" spans="1:6" s="636" customFormat="1" ht="11.25" customHeight="1"/>
    <row r="36" spans="1:6" ht="11.25" customHeight="1">
      <c r="A36" s="662" t="s">
        <v>652</v>
      </c>
      <c r="F36" s="663"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5" customWidth="1"/>
    <col min="2" max="2" width="8.5703125" style="665" customWidth="1"/>
    <col min="3" max="3" width="11" style="665" customWidth="1"/>
    <col min="4" max="4" width="41.7109375" style="665" customWidth="1"/>
    <col min="5" max="5" width="8" style="678" customWidth="1"/>
    <col min="6" max="6" width="8.85546875" style="665" customWidth="1"/>
    <col min="7" max="7" width="9" style="665" customWidth="1"/>
    <col min="8" max="8" width="14.140625" style="665" customWidth="1"/>
    <col min="9" max="9" width="8.85546875" style="665" customWidth="1"/>
    <col min="10" max="10" width="13.42578125" style="665" customWidth="1"/>
    <col min="11" max="11" width="10.140625" style="665" customWidth="1"/>
    <col min="12" max="12" width="13" style="665" customWidth="1"/>
    <col min="13" max="13" width="7.140625" style="665" customWidth="1"/>
    <col min="14" max="14" width="2" style="665" customWidth="1"/>
    <col min="15" max="15" width="5.5703125" style="665" customWidth="1"/>
    <col min="16" max="16" width="4.42578125" style="665" customWidth="1"/>
    <col min="17" max="16384" width="23.85546875" style="665"/>
  </cols>
  <sheetData>
    <row r="1" spans="1:17">
      <c r="A1" s="664" t="s">
        <v>653</v>
      </c>
      <c r="E1" s="665"/>
      <c r="O1" s="666"/>
    </row>
    <row r="2" spans="1:17" s="526" customFormat="1" ht="16.5" customHeight="1">
      <c r="B2" s="667" t="s">
        <v>514</v>
      </c>
      <c r="C2" s="668"/>
      <c r="D2" s="669"/>
      <c r="E2" s="670"/>
      <c r="F2" s="2"/>
      <c r="J2" s="1207" t="s">
        <v>654</v>
      </c>
      <c r="K2" s="1207"/>
      <c r="L2" s="1207"/>
      <c r="M2" s="1207"/>
      <c r="N2" s="671"/>
    </row>
    <row r="3" spans="1:17" s="526" customFormat="1" ht="16.5" customHeight="1">
      <c r="B3" s="667" t="s">
        <v>516</v>
      </c>
      <c r="C3" s="667"/>
      <c r="D3" s="667"/>
      <c r="E3" s="672"/>
      <c r="F3" s="667"/>
      <c r="J3" s="1208" t="s">
        <v>87</v>
      </c>
      <c r="K3" s="1208"/>
      <c r="L3" s="1208"/>
      <c r="M3" s="1208"/>
      <c r="N3" s="673"/>
    </row>
    <row r="4" spans="1:17" s="526" customFormat="1" ht="16.5" customHeight="1">
      <c r="B4" s="667"/>
      <c r="C4" s="667"/>
      <c r="D4" s="667"/>
      <c r="E4" s="672"/>
      <c r="F4" s="667"/>
      <c r="J4" s="1208"/>
      <c r="K4" s="1208"/>
      <c r="L4" s="1208"/>
      <c r="M4" s="1208"/>
      <c r="N4" s="673"/>
    </row>
    <row r="5" spans="1:17" ht="18.75" customHeight="1">
      <c r="B5" s="1209" t="s">
        <v>655</v>
      </c>
      <c r="C5" s="1209"/>
      <c r="D5" s="1209"/>
      <c r="E5" s="1209"/>
      <c r="F5" s="1209"/>
      <c r="G5" s="1209"/>
      <c r="H5" s="1209"/>
      <c r="I5" s="1209"/>
      <c r="J5" s="1209"/>
      <c r="K5" s="1209"/>
      <c r="L5" s="1209"/>
      <c r="M5" s="1209"/>
      <c r="N5" s="674"/>
    </row>
    <row r="6" spans="1:17" s="675" customFormat="1" ht="12.75">
      <c r="B6" s="1210" t="s">
        <v>656</v>
      </c>
      <c r="C6" s="1210"/>
      <c r="D6" s="1210"/>
      <c r="E6" s="1210"/>
      <c r="F6" s="1210"/>
      <c r="G6" s="1210"/>
      <c r="H6" s="1210"/>
      <c r="I6" s="1210"/>
      <c r="J6" s="1210"/>
      <c r="K6" s="1210"/>
      <c r="L6" s="1210"/>
      <c r="M6" s="1210"/>
      <c r="N6" s="676"/>
    </row>
    <row r="7" spans="1:17">
      <c r="C7" s="677"/>
      <c r="D7" s="677"/>
      <c r="F7" s="677" t="s">
        <v>657</v>
      </c>
      <c r="G7" s="677"/>
      <c r="H7" s="679" t="s">
        <v>658</v>
      </c>
      <c r="I7" s="677" t="str">
        <f>IF($O$10="NL","Nguyên Liệu",IF($O$10="TP","Thành Phẩm",IF($O$10="VL","Vật Liệu","")))</f>
        <v>Vật Liệu</v>
      </c>
      <c r="J7" s="677"/>
      <c r="K7" s="677"/>
      <c r="L7" s="677"/>
      <c r="M7" s="677"/>
      <c r="N7" s="678"/>
    </row>
    <row r="8" spans="1:17">
      <c r="B8" s="678"/>
      <c r="C8" s="677"/>
      <c r="D8" s="677"/>
      <c r="F8" s="678" t="s">
        <v>659</v>
      </c>
      <c r="H8" s="677"/>
      <c r="I8" s="677"/>
      <c r="J8" s="1211" t="s">
        <v>772</v>
      </c>
      <c r="K8" s="1211"/>
      <c r="L8" s="1211"/>
      <c r="M8" s="677"/>
      <c r="N8" s="677"/>
    </row>
    <row r="9" spans="1:17">
      <c r="D9" s="680"/>
      <c r="E9" s="681"/>
      <c r="F9" s="680"/>
      <c r="G9" s="680"/>
      <c r="H9" s="680"/>
      <c r="I9" s="680"/>
      <c r="J9" s="680"/>
      <c r="K9" s="680" t="s">
        <v>228</v>
      </c>
      <c r="M9" s="682"/>
      <c r="N9" s="683"/>
    </row>
    <row r="10" spans="1:17" ht="15.75" customHeight="1">
      <c r="A10" s="1204" t="s">
        <v>46</v>
      </c>
      <c r="B10" s="1205" t="s">
        <v>1</v>
      </c>
      <c r="C10" s="1205"/>
      <c r="D10" s="1206" t="s">
        <v>0</v>
      </c>
      <c r="E10" s="1206" t="s">
        <v>660</v>
      </c>
      <c r="F10" s="1206" t="s">
        <v>646</v>
      </c>
      <c r="G10" s="1213" t="s">
        <v>661</v>
      </c>
      <c r="H10" s="1214"/>
      <c r="I10" s="1213" t="s">
        <v>662</v>
      </c>
      <c r="J10" s="1214"/>
      <c r="K10" s="1213" t="s">
        <v>663</v>
      </c>
      <c r="L10" s="1214"/>
      <c r="M10" s="1206" t="s">
        <v>232</v>
      </c>
      <c r="N10" s="684"/>
      <c r="O10" s="685" t="s">
        <v>664</v>
      </c>
    </row>
    <row r="11" spans="1:17" ht="31.5" customHeight="1">
      <c r="A11" s="1204"/>
      <c r="B11" s="686" t="s">
        <v>20</v>
      </c>
      <c r="C11" s="686" t="s">
        <v>39</v>
      </c>
      <c r="D11" s="1206"/>
      <c r="E11" s="1206"/>
      <c r="F11" s="1206"/>
      <c r="G11" s="686" t="s">
        <v>645</v>
      </c>
      <c r="H11" s="686" t="s">
        <v>647</v>
      </c>
      <c r="I11" s="686" t="s">
        <v>645</v>
      </c>
      <c r="J11" s="686" t="s">
        <v>647</v>
      </c>
      <c r="K11" s="686" t="s">
        <v>645</v>
      </c>
      <c r="L11" s="686" t="s">
        <v>647</v>
      </c>
      <c r="M11" s="1206"/>
      <c r="N11" s="684"/>
    </row>
    <row r="12" spans="1:17" s="678" customFormat="1">
      <c r="A12" s="687"/>
      <c r="B12" s="688" t="s">
        <v>2</v>
      </c>
      <c r="C12" s="689" t="s">
        <v>3</v>
      </c>
      <c r="D12" s="689" t="s">
        <v>4</v>
      </c>
      <c r="E12" s="688" t="s">
        <v>5</v>
      </c>
      <c r="F12" s="688">
        <v>1</v>
      </c>
      <c r="G12" s="688">
        <v>2</v>
      </c>
      <c r="H12" s="688" t="s">
        <v>665</v>
      </c>
      <c r="I12" s="688">
        <v>4</v>
      </c>
      <c r="J12" s="688" t="s">
        <v>666</v>
      </c>
      <c r="K12" s="688">
        <v>6</v>
      </c>
      <c r="L12" s="688" t="s">
        <v>667</v>
      </c>
      <c r="M12" s="688"/>
      <c r="N12" s="690"/>
    </row>
    <row r="13" spans="1:17">
      <c r="A13" s="691"/>
      <c r="B13" s="691"/>
      <c r="C13" s="691"/>
      <c r="D13" s="692" t="s">
        <v>262</v>
      </c>
      <c r="E13" s="693"/>
      <c r="F13" s="694"/>
      <c r="G13" s="694"/>
      <c r="H13" s="694"/>
      <c r="I13" s="694"/>
      <c r="J13" s="694"/>
      <c r="K13" s="695">
        <f>VLOOKUP($J$8,NXT!$C$12:$L$53,3,0)</f>
        <v>0</v>
      </c>
      <c r="L13" s="695">
        <f>VLOOKUP($J$8,NXT!$C$12:$L$53,4,0)</f>
        <v>0</v>
      </c>
      <c r="M13" s="694"/>
      <c r="N13" s="690"/>
    </row>
    <row r="14" spans="1:17">
      <c r="A14" s="647">
        <f ca="1">IF(B14="","",ROW()-13)</f>
        <v>1</v>
      </c>
      <c r="B14" s="696" t="str">
        <f ca="1">IF(ROWS($1:1)&gt;COUNT(Dong11),"",OFFSET(TH!D$1,SMALL(Dong11,ROWS($1:1)),))</f>
        <v>VL/N01</v>
      </c>
      <c r="C14" s="697">
        <f ca="1">IF(ROWS($1:1)&gt;COUNT(Dong11),"",OFFSET(TH!E$1,SMALL(Dong11,ROWS($1:1)),))</f>
        <v>42441</v>
      </c>
      <c r="D14" s="698" t="str">
        <f ca="1">IF(ROWS($1:1)&gt;COUNT(Dong11),"",OFFSET(TH!F$1,SMALL(Dong11,ROWS($1:1)),)&amp;" - "&amp;OFFSET(TH!H$1,SMALL(Dong11,ROWS($1:1)),))</f>
        <v>Túi PE 86*75 - CN Công Ty TNHH Tân Hy Xí Nghiệp In &amp; Bao Bì Duy Nhật</v>
      </c>
      <c r="E14" s="696" t="str">
        <f ca="1">IF(ROWS($1:1)&gt;COUNT(Dong11),"",IF(LEFT(OFFSET(TH!N$1,SMALL(Dong11,ROWS($1:1)),),2)="15",OFFSET(TH!O$1,SMALL(Dong11,ROWS($1:1)),),OFFSET(TH!N$1,SMALL(Dong11,ROWS($1:1)),)))</f>
        <v>331</v>
      </c>
      <c r="F14" s="699">
        <f ca="1">IF(ROWS($1:1)&gt;COUNT(Dong11),0,OFFSET(TH!J$1,SMALL(Dong11,ROWS($1:1)),))</f>
        <v>33000</v>
      </c>
      <c r="G14" s="699">
        <f ca="1">IF(ROWS($1:1)&gt;COUNT(Dong11),0,IF(MID(OFFSET(TH!D$1,SMALL(Dong11,ROWS($1:1)),),4,1)="N",OFFSET(TH!I$1,SMALL(Dong11,ROWS($1:1)),),0))</f>
        <v>500</v>
      </c>
      <c r="H14" s="700">
        <f t="shared" ref="H14" ca="1" si="0">ROUND(F14*G14,0)</f>
        <v>16500000</v>
      </c>
      <c r="I14" s="699">
        <f ca="1">IF(ROWS($1:1)&gt;COUNT(Dong11),0,IF(MID(OFFSET(TH!D$1,SMALL(Dong11,ROWS($1:1)),),4,1)="X",OFFSET(TH!I$1,SMALL(Dong11,ROWS($1:1)),),0))</f>
        <v>0</v>
      </c>
      <c r="J14" s="700">
        <f t="shared" ref="J14" ca="1" si="1">ROUND(F14*I14,0)</f>
        <v>0</v>
      </c>
      <c r="K14" s="700">
        <f t="shared" ref="K14" ca="1" si="2">IF(D14&lt;&gt;"",K13+G14-I14,0)</f>
        <v>500</v>
      </c>
      <c r="L14" s="700">
        <f t="shared" ref="L14" ca="1" si="3">IF(D14&lt;&gt;"",L13+H14-J14,0)</f>
        <v>16500000</v>
      </c>
      <c r="M14" s="700"/>
      <c r="N14" s="690"/>
    </row>
    <row r="15" spans="1:17">
      <c r="A15" s="647" t="str">
        <f t="shared" ref="A15:A31" ca="1" si="4">IF(B15="","",A14+1)</f>
        <v/>
      </c>
      <c r="B15" s="696" t="str">
        <f ca="1">IF(ROWS($1:2)&gt;COUNT(Dong11),"",OFFSET(TH!D$1,SMALL(Dong11,ROWS($1:2)),))</f>
        <v/>
      </c>
      <c r="C15" s="697" t="str">
        <f ca="1">IF(ROWS($1:2)&gt;COUNT(Dong11),"",OFFSET(TH!E$1,SMALL(Dong11,ROWS($1:2)),))</f>
        <v/>
      </c>
      <c r="D15" s="698" t="str">
        <f ca="1">IF(ROWS($1:2)&gt;COUNT(Dong11),"",OFFSET(TH!F$1,SMALL(Dong11,ROWS($1:2)),)&amp;" - "&amp;OFFSET(TH!H$1,SMALL(Dong11,ROWS($1:2)),))</f>
        <v/>
      </c>
      <c r="E15" s="696" t="str">
        <f ca="1">IF(ROWS($1:2)&gt;COUNT(Dong11),"",IF(LEFT(OFFSET(TH!N$1,SMALL(Dong11,ROWS($1:2)),),2)="15",OFFSET(TH!O$1,SMALL(Dong11,ROWS($1:2)),),OFFSET(TH!N$1,SMALL(Dong11,ROWS($1:2)),)))</f>
        <v/>
      </c>
      <c r="F15" s="699">
        <f ca="1">IF(ROWS($1:2)&gt;COUNT(Dong11),0,OFFSET(TH!J$1,SMALL(Dong11,ROWS($1:2)),))</f>
        <v>0</v>
      </c>
      <c r="G15" s="699">
        <f ca="1">IF(ROWS($1:2)&gt;COUNT(Dong11),0,IF(MID(OFFSET(TH!D$1,SMALL(Dong11,ROWS($1:2)),),4,1)="N",OFFSET(TH!I$1,SMALL(Dong11,ROWS($1:2)),),0))</f>
        <v>0</v>
      </c>
      <c r="H15" s="700">
        <f t="shared" ref="H15:H30" ca="1" si="5">ROUND(F15*G15,0)</f>
        <v>0</v>
      </c>
      <c r="I15" s="699">
        <f ca="1">IF(ROWS($1:2)&gt;COUNT(Dong11),0,IF(MID(OFFSET(TH!D$1,SMALL(Dong11,ROWS($1:2)),),4,1)="X",OFFSET(TH!I$1,SMALL(Dong11,ROWS($1:2)),),0))</f>
        <v>0</v>
      </c>
      <c r="J15" s="700">
        <f t="shared" ref="J15:J30" ca="1" si="6">ROUND(F15*I15,0)</f>
        <v>0</v>
      </c>
      <c r="K15" s="700">
        <f t="shared" ref="K15:K30" ca="1" si="7">IF(D15&lt;&gt;"",K14+G15-I15,0)</f>
        <v>0</v>
      </c>
      <c r="L15" s="700">
        <f t="shared" ref="L15:L30" ca="1" si="8">IF(D15&lt;&gt;"",L14+H15-J15,0)</f>
        <v>0</v>
      </c>
      <c r="M15" s="700"/>
      <c r="N15" s="690"/>
      <c r="Q15" s="701"/>
    </row>
    <row r="16" spans="1:17">
      <c r="A16" s="647" t="str">
        <f t="shared" ca="1" si="4"/>
        <v/>
      </c>
      <c r="B16" s="696" t="str">
        <f ca="1">IF(ROWS($1:3)&gt;COUNT(Dong11),"",OFFSET(TH!D$1,SMALL(Dong11,ROWS($1:3)),))</f>
        <v/>
      </c>
      <c r="C16" s="697" t="str">
        <f ca="1">IF(ROWS($1:3)&gt;COUNT(Dong11),"",OFFSET(TH!E$1,SMALL(Dong11,ROWS($1:3)),))</f>
        <v/>
      </c>
      <c r="D16" s="698" t="str">
        <f ca="1">IF(ROWS($1:3)&gt;COUNT(Dong11),"",OFFSET(TH!F$1,SMALL(Dong11,ROWS($1:3)),)&amp;" - "&amp;OFFSET(TH!H$1,SMALL(Dong11,ROWS($1:3)),))</f>
        <v/>
      </c>
      <c r="E16" s="696" t="str">
        <f ca="1">IF(ROWS($1:3)&gt;COUNT(Dong11),"",IF(LEFT(OFFSET(TH!N$1,SMALL(Dong11,ROWS($1:3)),),2)="15",OFFSET(TH!O$1,SMALL(Dong11,ROWS($1:3)),),OFFSET(TH!N$1,SMALL(Dong11,ROWS($1:3)),)))</f>
        <v/>
      </c>
      <c r="F16" s="699">
        <f ca="1">IF(ROWS($1:3)&gt;COUNT(Dong11),0,OFFSET(TH!J$1,SMALL(Dong11,ROWS($1:3)),))</f>
        <v>0</v>
      </c>
      <c r="G16" s="699">
        <f ca="1">IF(ROWS($1:3)&gt;COUNT(Dong11),0,IF(MID(OFFSET(TH!D$1,SMALL(Dong11,ROWS($1:3)),),4,1)="N",OFFSET(TH!I$1,SMALL(Dong11,ROWS($1:3)),),0))</f>
        <v>0</v>
      </c>
      <c r="H16" s="700">
        <f t="shared" ca="1" si="5"/>
        <v>0</v>
      </c>
      <c r="I16" s="699">
        <f ca="1">IF(ROWS($1:3)&gt;COUNT(Dong11),0,IF(MID(OFFSET(TH!D$1,SMALL(Dong11,ROWS($1:3)),),4,1)="X",OFFSET(TH!I$1,SMALL(Dong11,ROWS($1:3)),),0))</f>
        <v>0</v>
      </c>
      <c r="J16" s="700">
        <f t="shared" ca="1" si="6"/>
        <v>0</v>
      </c>
      <c r="K16" s="700">
        <f t="shared" ca="1" si="7"/>
        <v>0</v>
      </c>
      <c r="L16" s="700">
        <f t="shared" ca="1" si="8"/>
        <v>0</v>
      </c>
      <c r="M16" s="700"/>
      <c r="N16" s="690"/>
    </row>
    <row r="17" spans="1:16">
      <c r="A17" s="647" t="str">
        <f t="shared" ca="1" si="4"/>
        <v/>
      </c>
      <c r="B17" s="696" t="str">
        <f ca="1">IF(ROWS($1:4)&gt;COUNT(Dong11),"",OFFSET(TH!D$1,SMALL(Dong11,ROWS($1:4)),))</f>
        <v/>
      </c>
      <c r="C17" s="697" t="str">
        <f ca="1">IF(ROWS($1:4)&gt;COUNT(Dong11),"",OFFSET(TH!E$1,SMALL(Dong11,ROWS($1:4)),))</f>
        <v/>
      </c>
      <c r="D17" s="698" t="str">
        <f ca="1">IF(ROWS($1:4)&gt;COUNT(Dong11),"",OFFSET(TH!F$1,SMALL(Dong11,ROWS($1:4)),)&amp;" - "&amp;OFFSET(TH!H$1,SMALL(Dong11,ROWS($1:4)),))</f>
        <v/>
      </c>
      <c r="E17" s="696" t="str">
        <f ca="1">IF(ROWS($1:4)&gt;COUNT(Dong11),"",IF(LEFT(OFFSET(TH!N$1,SMALL(Dong11,ROWS($1:4)),),2)="15",OFFSET(TH!O$1,SMALL(Dong11,ROWS($1:4)),),OFFSET(TH!N$1,SMALL(Dong11,ROWS($1:4)),)))</f>
        <v/>
      </c>
      <c r="F17" s="699">
        <f ca="1">IF(ROWS($1:4)&gt;COUNT(Dong11),0,OFFSET(TH!J$1,SMALL(Dong11,ROWS($1:4)),))</f>
        <v>0</v>
      </c>
      <c r="G17" s="699">
        <f ca="1">IF(ROWS($1:4)&gt;COUNT(Dong11),0,IF(MID(OFFSET(TH!D$1,SMALL(Dong11,ROWS($1:4)),),4,1)="N",OFFSET(TH!I$1,SMALL(Dong11,ROWS($1:4)),),0))</f>
        <v>0</v>
      </c>
      <c r="H17" s="700">
        <f t="shared" ca="1" si="5"/>
        <v>0</v>
      </c>
      <c r="I17" s="699">
        <f ca="1">IF(ROWS($1:4)&gt;COUNT(Dong11),0,IF(MID(OFFSET(TH!D$1,SMALL(Dong11,ROWS($1:4)),),4,1)="X",OFFSET(TH!I$1,SMALL(Dong11,ROWS($1:4)),),0))</f>
        <v>0</v>
      </c>
      <c r="J17" s="700">
        <f t="shared" ca="1" si="6"/>
        <v>0</v>
      </c>
      <c r="K17" s="700">
        <f t="shared" ca="1" si="7"/>
        <v>0</v>
      </c>
      <c r="L17" s="700">
        <f t="shared" ca="1" si="8"/>
        <v>0</v>
      </c>
      <c r="M17" s="700"/>
      <c r="N17" s="690"/>
      <c r="P17" s="702"/>
    </row>
    <row r="18" spans="1:16">
      <c r="A18" s="647" t="str">
        <f t="shared" ca="1" si="4"/>
        <v/>
      </c>
      <c r="B18" s="696" t="str">
        <f ca="1">IF(ROWS($1:5)&gt;COUNT(Dong11),"",OFFSET(TH!D$1,SMALL(Dong11,ROWS($1:5)),))</f>
        <v/>
      </c>
      <c r="C18" s="697" t="str">
        <f ca="1">IF(ROWS($1:5)&gt;COUNT(Dong11),"",OFFSET(TH!E$1,SMALL(Dong11,ROWS($1:5)),))</f>
        <v/>
      </c>
      <c r="D18" s="698" t="str">
        <f ca="1">IF(ROWS($1:5)&gt;COUNT(Dong11),"",OFFSET(TH!F$1,SMALL(Dong11,ROWS($1:5)),)&amp;" - "&amp;OFFSET(TH!H$1,SMALL(Dong11,ROWS($1:5)),))</f>
        <v/>
      </c>
      <c r="E18" s="696" t="str">
        <f ca="1">IF(ROWS($1:5)&gt;COUNT(Dong11),"",IF(LEFT(OFFSET(TH!N$1,SMALL(Dong11,ROWS($1:5)),),2)="15",OFFSET(TH!O$1,SMALL(Dong11,ROWS($1:5)),),OFFSET(TH!N$1,SMALL(Dong11,ROWS($1:5)),)))</f>
        <v/>
      </c>
      <c r="F18" s="699">
        <f ca="1">IF(ROWS($1:5)&gt;COUNT(Dong11),0,OFFSET(TH!J$1,SMALL(Dong11,ROWS($1:5)),))</f>
        <v>0</v>
      </c>
      <c r="G18" s="699">
        <f ca="1">IF(ROWS($1:5)&gt;COUNT(Dong11),0,IF(MID(OFFSET(TH!D$1,SMALL(Dong11,ROWS($1:5)),),4,1)="N",OFFSET(TH!I$1,SMALL(Dong11,ROWS($1:5)),),0))</f>
        <v>0</v>
      </c>
      <c r="H18" s="700">
        <f t="shared" ca="1" si="5"/>
        <v>0</v>
      </c>
      <c r="I18" s="699">
        <f ca="1">IF(ROWS($1:5)&gt;COUNT(Dong11),0,IF(MID(OFFSET(TH!D$1,SMALL(Dong11,ROWS($1:5)),),4,1)="X",OFFSET(TH!I$1,SMALL(Dong11,ROWS($1:5)),),0))</f>
        <v>0</v>
      </c>
      <c r="J18" s="700">
        <f t="shared" ca="1" si="6"/>
        <v>0</v>
      </c>
      <c r="K18" s="700">
        <f t="shared" ca="1" si="7"/>
        <v>0</v>
      </c>
      <c r="L18" s="700">
        <f t="shared" ca="1" si="8"/>
        <v>0</v>
      </c>
      <c r="M18" s="700"/>
      <c r="N18" s="690"/>
    </row>
    <row r="19" spans="1:16">
      <c r="A19" s="647" t="str">
        <f t="shared" ca="1" si="4"/>
        <v/>
      </c>
      <c r="B19" s="696" t="str">
        <f ca="1">IF(ROWS($1:6)&gt;COUNT(Dong11),"",OFFSET(TH!D$1,SMALL(Dong11,ROWS($1:6)),))</f>
        <v/>
      </c>
      <c r="C19" s="697" t="str">
        <f ca="1">IF(ROWS($1:6)&gt;COUNT(Dong11),"",OFFSET(TH!E$1,SMALL(Dong11,ROWS($1:6)),))</f>
        <v/>
      </c>
      <c r="D19" s="698" t="str">
        <f ca="1">IF(ROWS($1:6)&gt;COUNT(Dong11),"",OFFSET(TH!F$1,SMALL(Dong11,ROWS($1:6)),)&amp;" - "&amp;OFFSET(TH!H$1,SMALL(Dong11,ROWS($1:6)),))</f>
        <v/>
      </c>
      <c r="E19" s="696" t="str">
        <f ca="1">IF(ROWS($1:6)&gt;COUNT(Dong11),"",IF(LEFT(OFFSET(TH!N$1,SMALL(Dong11,ROWS($1:6)),),2)="15",OFFSET(TH!O$1,SMALL(Dong11,ROWS($1:6)),),OFFSET(TH!N$1,SMALL(Dong11,ROWS($1:6)),)))</f>
        <v/>
      </c>
      <c r="F19" s="699">
        <f ca="1">IF(ROWS($1:6)&gt;COUNT(Dong11),0,OFFSET(TH!J$1,SMALL(Dong11,ROWS($1:6)),))</f>
        <v>0</v>
      </c>
      <c r="G19" s="699">
        <f ca="1">IF(ROWS($1:6)&gt;COUNT(Dong11),0,IF(MID(OFFSET(TH!D$1,SMALL(Dong11,ROWS($1:6)),),4,1)="N",OFFSET(TH!I$1,SMALL(Dong11,ROWS($1:6)),),0))</f>
        <v>0</v>
      </c>
      <c r="H19" s="700">
        <f t="shared" ca="1" si="5"/>
        <v>0</v>
      </c>
      <c r="I19" s="699">
        <f ca="1">IF(ROWS($1:6)&gt;COUNT(Dong11),0,IF(MID(OFFSET(TH!D$1,SMALL(Dong11,ROWS($1:6)),),4,1)="X",OFFSET(TH!I$1,SMALL(Dong11,ROWS($1:6)),),0))</f>
        <v>0</v>
      </c>
      <c r="J19" s="700">
        <f t="shared" ca="1" si="6"/>
        <v>0</v>
      </c>
      <c r="K19" s="700">
        <f t="shared" ca="1" si="7"/>
        <v>0</v>
      </c>
      <c r="L19" s="700">
        <f t="shared" ca="1" si="8"/>
        <v>0</v>
      </c>
      <c r="M19" s="700"/>
      <c r="N19" s="690"/>
    </row>
    <row r="20" spans="1:16">
      <c r="A20" s="647" t="str">
        <f t="shared" ca="1" si="4"/>
        <v/>
      </c>
      <c r="B20" s="696" t="str">
        <f ca="1">IF(ROWS($1:7)&gt;COUNT(Dong11),"",OFFSET(TH!D$1,SMALL(Dong11,ROWS($1:7)),))</f>
        <v/>
      </c>
      <c r="C20" s="697" t="str">
        <f ca="1">IF(ROWS($1:7)&gt;COUNT(Dong11),"",OFFSET(TH!E$1,SMALL(Dong11,ROWS($1:7)),))</f>
        <v/>
      </c>
      <c r="D20" s="698" t="str">
        <f ca="1">IF(ROWS($1:7)&gt;COUNT(Dong11),"",OFFSET(TH!F$1,SMALL(Dong11,ROWS($1:7)),)&amp;" - "&amp;OFFSET(TH!H$1,SMALL(Dong11,ROWS($1:7)),))</f>
        <v/>
      </c>
      <c r="E20" s="696" t="str">
        <f ca="1">IF(ROWS($1:7)&gt;COUNT(Dong11),"",IF(LEFT(OFFSET(TH!N$1,SMALL(Dong11,ROWS($1:7)),),2)="15",OFFSET(TH!O$1,SMALL(Dong11,ROWS($1:7)),),OFFSET(TH!N$1,SMALL(Dong11,ROWS($1:7)),)))</f>
        <v/>
      </c>
      <c r="F20" s="699">
        <f ca="1">IF(ROWS($1:7)&gt;COUNT(Dong11),0,OFFSET(TH!J$1,SMALL(Dong11,ROWS($1:7)),))</f>
        <v>0</v>
      </c>
      <c r="G20" s="699">
        <f ca="1">IF(ROWS($1:7)&gt;COUNT(Dong11),0,IF(MID(OFFSET(TH!D$1,SMALL(Dong11,ROWS($1:7)),),4,1)="N",OFFSET(TH!I$1,SMALL(Dong11,ROWS($1:7)),),0))</f>
        <v>0</v>
      </c>
      <c r="H20" s="700">
        <f t="shared" ca="1" si="5"/>
        <v>0</v>
      </c>
      <c r="I20" s="699">
        <f ca="1">IF(ROWS($1:7)&gt;COUNT(Dong11),0,IF(MID(OFFSET(TH!D$1,SMALL(Dong11,ROWS($1:7)),),4,1)="X",OFFSET(TH!I$1,SMALL(Dong11,ROWS($1:7)),),0))</f>
        <v>0</v>
      </c>
      <c r="J20" s="700">
        <f t="shared" ca="1" si="6"/>
        <v>0</v>
      </c>
      <c r="K20" s="700">
        <f t="shared" ca="1" si="7"/>
        <v>0</v>
      </c>
      <c r="L20" s="700">
        <f t="shared" ca="1" si="8"/>
        <v>0</v>
      </c>
      <c r="M20" s="700"/>
      <c r="N20" s="690"/>
    </row>
    <row r="21" spans="1:16">
      <c r="A21" s="647" t="str">
        <f t="shared" ca="1" si="4"/>
        <v/>
      </c>
      <c r="B21" s="696" t="str">
        <f ca="1">IF(ROWS($1:8)&gt;COUNT(Dong11),"",OFFSET(TH!D$1,SMALL(Dong11,ROWS($1:8)),))</f>
        <v/>
      </c>
      <c r="C21" s="697" t="str">
        <f ca="1">IF(ROWS($1:8)&gt;COUNT(Dong11),"",OFFSET(TH!E$1,SMALL(Dong11,ROWS($1:8)),))</f>
        <v/>
      </c>
      <c r="D21" s="698" t="str">
        <f ca="1">IF(ROWS($1:8)&gt;COUNT(Dong11),"",OFFSET(TH!F$1,SMALL(Dong11,ROWS($1:8)),)&amp;" - "&amp;OFFSET(TH!H$1,SMALL(Dong11,ROWS($1:8)),))</f>
        <v/>
      </c>
      <c r="E21" s="696" t="str">
        <f ca="1">IF(ROWS($1:8)&gt;COUNT(Dong11),"",IF(LEFT(OFFSET(TH!N$1,SMALL(Dong11,ROWS($1:8)),),2)="15",OFFSET(TH!O$1,SMALL(Dong11,ROWS($1:8)),),OFFSET(TH!N$1,SMALL(Dong11,ROWS($1:8)),)))</f>
        <v/>
      </c>
      <c r="F21" s="699">
        <f ca="1">IF(ROWS($1:8)&gt;COUNT(Dong11),0,OFFSET(TH!J$1,SMALL(Dong11,ROWS($1:8)),))</f>
        <v>0</v>
      </c>
      <c r="G21" s="699">
        <f ca="1">IF(ROWS($1:8)&gt;COUNT(Dong11),0,IF(MID(OFFSET(TH!D$1,SMALL(Dong11,ROWS($1:8)),),4,1)="N",OFFSET(TH!I$1,SMALL(Dong11,ROWS($1:8)),),0))</f>
        <v>0</v>
      </c>
      <c r="H21" s="700">
        <f t="shared" ca="1" si="5"/>
        <v>0</v>
      </c>
      <c r="I21" s="699">
        <f ca="1">IF(ROWS($1:8)&gt;COUNT(Dong11),0,IF(MID(OFFSET(TH!D$1,SMALL(Dong11,ROWS($1:8)),),4,1)="X",OFFSET(TH!I$1,SMALL(Dong11,ROWS($1:8)),),0))</f>
        <v>0</v>
      </c>
      <c r="J21" s="700">
        <f t="shared" ca="1" si="6"/>
        <v>0</v>
      </c>
      <c r="K21" s="700">
        <f t="shared" ca="1" si="7"/>
        <v>0</v>
      </c>
      <c r="L21" s="700">
        <f t="shared" ca="1" si="8"/>
        <v>0</v>
      </c>
      <c r="M21" s="700"/>
      <c r="N21" s="690"/>
    </row>
    <row r="22" spans="1:16">
      <c r="A22" s="647" t="str">
        <f t="shared" ca="1" si="4"/>
        <v/>
      </c>
      <c r="B22" s="696" t="str">
        <f ca="1">IF(ROWS($1:9)&gt;COUNT(Dong11),"",OFFSET(TH!D$1,SMALL(Dong11,ROWS($1:9)),))</f>
        <v/>
      </c>
      <c r="C22" s="697" t="str">
        <f ca="1">IF(ROWS($1:9)&gt;COUNT(Dong11),"",OFFSET(TH!E$1,SMALL(Dong11,ROWS($1:9)),))</f>
        <v/>
      </c>
      <c r="D22" s="698" t="str">
        <f ca="1">IF(ROWS($1:9)&gt;COUNT(Dong11),"",OFFSET(TH!F$1,SMALL(Dong11,ROWS($1:9)),)&amp;" - "&amp;OFFSET(TH!H$1,SMALL(Dong11,ROWS($1:9)),))</f>
        <v/>
      </c>
      <c r="E22" s="696" t="str">
        <f ca="1">IF(ROWS($1:9)&gt;COUNT(Dong11),"",IF(LEFT(OFFSET(TH!N$1,SMALL(Dong11,ROWS($1:9)),),2)="15",OFFSET(TH!O$1,SMALL(Dong11,ROWS($1:9)),),OFFSET(TH!N$1,SMALL(Dong11,ROWS($1:9)),)))</f>
        <v/>
      </c>
      <c r="F22" s="699">
        <f ca="1">IF(ROWS($1:9)&gt;COUNT(Dong11),0,OFFSET(TH!J$1,SMALL(Dong11,ROWS($1:9)),))</f>
        <v>0</v>
      </c>
      <c r="G22" s="699">
        <f ca="1">IF(ROWS($1:9)&gt;COUNT(Dong11),0,IF(MID(OFFSET(TH!D$1,SMALL(Dong11,ROWS($1:9)),),4,1)="N",OFFSET(TH!I$1,SMALL(Dong11,ROWS($1:9)),),0))</f>
        <v>0</v>
      </c>
      <c r="H22" s="700">
        <f t="shared" ca="1" si="5"/>
        <v>0</v>
      </c>
      <c r="I22" s="699">
        <f ca="1">IF(ROWS($1:9)&gt;COUNT(Dong11),0,IF(MID(OFFSET(TH!D$1,SMALL(Dong11,ROWS($1:9)),),4,1)="X",OFFSET(TH!I$1,SMALL(Dong11,ROWS($1:9)),),0))</f>
        <v>0</v>
      </c>
      <c r="J22" s="700">
        <f t="shared" ca="1" si="6"/>
        <v>0</v>
      </c>
      <c r="K22" s="700">
        <f t="shared" ca="1" si="7"/>
        <v>0</v>
      </c>
      <c r="L22" s="700">
        <f t="shared" ca="1" si="8"/>
        <v>0</v>
      </c>
      <c r="M22" s="700"/>
      <c r="N22" s="690"/>
    </row>
    <row r="23" spans="1:16">
      <c r="A23" s="647" t="str">
        <f t="shared" ca="1" si="4"/>
        <v/>
      </c>
      <c r="B23" s="696" t="str">
        <f ca="1">IF(ROWS($1:10)&gt;COUNT(Dong11),"",OFFSET(TH!D$1,SMALL(Dong11,ROWS($1:10)),))</f>
        <v/>
      </c>
      <c r="C23" s="697" t="str">
        <f ca="1">IF(ROWS($1:10)&gt;COUNT(Dong11),"",OFFSET(TH!E$1,SMALL(Dong11,ROWS($1:10)),))</f>
        <v/>
      </c>
      <c r="D23" s="698" t="str">
        <f ca="1">IF(ROWS($1:10)&gt;COUNT(Dong11),"",OFFSET(TH!F$1,SMALL(Dong11,ROWS($1:10)),)&amp;" - "&amp;OFFSET(TH!H$1,SMALL(Dong11,ROWS($1:10)),))</f>
        <v/>
      </c>
      <c r="E23" s="696" t="str">
        <f ca="1">IF(ROWS($1:10)&gt;COUNT(Dong11),"",IF(LEFT(OFFSET(TH!N$1,SMALL(Dong11,ROWS($1:10)),),2)="15",OFFSET(TH!O$1,SMALL(Dong11,ROWS($1:10)),),OFFSET(TH!N$1,SMALL(Dong11,ROWS($1:10)),)))</f>
        <v/>
      </c>
      <c r="F23" s="699">
        <f ca="1">IF(ROWS($1:10)&gt;COUNT(Dong11),0,OFFSET(TH!J$1,SMALL(Dong11,ROWS($1:10)),))</f>
        <v>0</v>
      </c>
      <c r="G23" s="699">
        <f ca="1">IF(ROWS($1:10)&gt;COUNT(Dong11),0,IF(MID(OFFSET(TH!D$1,SMALL(Dong11,ROWS($1:10)),),4,1)="N",OFFSET(TH!I$1,SMALL(Dong11,ROWS($1:10)),),0))</f>
        <v>0</v>
      </c>
      <c r="H23" s="700">
        <f t="shared" ca="1" si="5"/>
        <v>0</v>
      </c>
      <c r="I23" s="699">
        <f ca="1">IF(ROWS($1:10)&gt;COUNT(Dong11),0,IF(MID(OFFSET(TH!D$1,SMALL(Dong11,ROWS($1:10)),),4,1)="X",OFFSET(TH!I$1,SMALL(Dong11,ROWS($1:10)),),0))</f>
        <v>0</v>
      </c>
      <c r="J23" s="700">
        <f t="shared" ca="1" si="6"/>
        <v>0</v>
      </c>
      <c r="K23" s="700">
        <f t="shared" ca="1" si="7"/>
        <v>0</v>
      </c>
      <c r="L23" s="700">
        <f t="shared" ca="1" si="8"/>
        <v>0</v>
      </c>
      <c r="M23" s="700"/>
      <c r="N23" s="690"/>
    </row>
    <row r="24" spans="1:16">
      <c r="A24" s="647" t="str">
        <f t="shared" ca="1" si="4"/>
        <v/>
      </c>
      <c r="B24" s="696" t="str">
        <f ca="1">IF(ROWS($1:11)&gt;COUNT(Dong11),"",OFFSET(TH!D$1,SMALL(Dong11,ROWS($1:11)),))</f>
        <v/>
      </c>
      <c r="C24" s="697" t="str">
        <f ca="1">IF(ROWS($1:11)&gt;COUNT(Dong11),"",OFFSET(TH!E$1,SMALL(Dong11,ROWS($1:11)),))</f>
        <v/>
      </c>
      <c r="D24" s="698" t="str">
        <f ca="1">IF(ROWS($1:11)&gt;COUNT(Dong11),"",OFFSET(TH!F$1,SMALL(Dong11,ROWS($1:11)),)&amp;" - "&amp;OFFSET(TH!H$1,SMALL(Dong11,ROWS($1:11)),))</f>
        <v/>
      </c>
      <c r="E24" s="696" t="str">
        <f ca="1">IF(ROWS($1:11)&gt;COUNT(Dong11),"",IF(LEFT(OFFSET(TH!N$1,SMALL(Dong11,ROWS($1:11)),),2)="15",OFFSET(TH!O$1,SMALL(Dong11,ROWS($1:11)),),OFFSET(TH!N$1,SMALL(Dong11,ROWS($1:11)),)))</f>
        <v/>
      </c>
      <c r="F24" s="699">
        <f ca="1">IF(ROWS($1:11)&gt;COUNT(Dong11),0,OFFSET(TH!J$1,SMALL(Dong11,ROWS($1:11)),))</f>
        <v>0</v>
      </c>
      <c r="G24" s="699">
        <f ca="1">IF(ROWS($1:11)&gt;COUNT(Dong11),0,IF(MID(OFFSET(TH!D$1,SMALL(Dong11,ROWS($1:11)),),4,1)="N",OFFSET(TH!I$1,SMALL(Dong11,ROWS($1:11)),),0))</f>
        <v>0</v>
      </c>
      <c r="H24" s="700">
        <f t="shared" ca="1" si="5"/>
        <v>0</v>
      </c>
      <c r="I24" s="699">
        <f ca="1">IF(ROWS($1:11)&gt;COUNT(Dong11),0,IF(MID(OFFSET(TH!D$1,SMALL(Dong11,ROWS($1:11)),),4,1)="X",OFFSET(TH!I$1,SMALL(Dong11,ROWS($1:11)),),0))</f>
        <v>0</v>
      </c>
      <c r="J24" s="700">
        <f t="shared" ca="1" si="6"/>
        <v>0</v>
      </c>
      <c r="K24" s="700">
        <f t="shared" ca="1" si="7"/>
        <v>0</v>
      </c>
      <c r="L24" s="700">
        <f t="shared" ca="1" si="8"/>
        <v>0</v>
      </c>
      <c r="M24" s="700"/>
      <c r="N24" s="690"/>
    </row>
    <row r="25" spans="1:16">
      <c r="A25" s="647" t="str">
        <f t="shared" ca="1" si="4"/>
        <v/>
      </c>
      <c r="B25" s="696" t="str">
        <f ca="1">IF(ROWS($1:12)&gt;COUNT(Dong11),"",OFFSET(TH!D$1,SMALL(Dong11,ROWS($1:12)),))</f>
        <v/>
      </c>
      <c r="C25" s="697" t="str">
        <f ca="1">IF(ROWS($1:12)&gt;COUNT(Dong11),"",OFFSET(TH!E$1,SMALL(Dong11,ROWS($1:12)),))</f>
        <v/>
      </c>
      <c r="D25" s="698" t="str">
        <f ca="1">IF(ROWS($1:12)&gt;COUNT(Dong11),"",OFFSET(TH!F$1,SMALL(Dong11,ROWS($1:12)),)&amp;" - "&amp;OFFSET(TH!H$1,SMALL(Dong11,ROWS($1:12)),))</f>
        <v/>
      </c>
      <c r="E25" s="696" t="str">
        <f ca="1">IF(ROWS($1:12)&gt;COUNT(Dong11),"",IF(LEFT(OFFSET(TH!N$1,SMALL(Dong11,ROWS($1:12)),),2)="15",OFFSET(TH!O$1,SMALL(Dong11,ROWS($1:12)),),OFFSET(TH!N$1,SMALL(Dong11,ROWS($1:12)),)))</f>
        <v/>
      </c>
      <c r="F25" s="699">
        <f ca="1">IF(ROWS($1:12)&gt;COUNT(Dong11),0,OFFSET(TH!J$1,SMALL(Dong11,ROWS($1:12)),))</f>
        <v>0</v>
      </c>
      <c r="G25" s="699">
        <f ca="1">IF(ROWS($1:12)&gt;COUNT(Dong11),0,IF(MID(OFFSET(TH!D$1,SMALL(Dong11,ROWS($1:12)),),4,1)="N",OFFSET(TH!I$1,SMALL(Dong11,ROWS($1:12)),),0))</f>
        <v>0</v>
      </c>
      <c r="H25" s="700">
        <f t="shared" ca="1" si="5"/>
        <v>0</v>
      </c>
      <c r="I25" s="699">
        <f ca="1">IF(ROWS($1:12)&gt;COUNT(Dong11),0,IF(MID(OFFSET(TH!D$1,SMALL(Dong11,ROWS($1:12)),),4,1)="X",OFFSET(TH!I$1,SMALL(Dong11,ROWS($1:12)),),0))</f>
        <v>0</v>
      </c>
      <c r="J25" s="700">
        <f t="shared" ca="1" si="6"/>
        <v>0</v>
      </c>
      <c r="K25" s="700">
        <f t="shared" ca="1" si="7"/>
        <v>0</v>
      </c>
      <c r="L25" s="700">
        <f t="shared" ca="1" si="8"/>
        <v>0</v>
      </c>
      <c r="M25" s="700"/>
      <c r="N25" s="690"/>
    </row>
    <row r="26" spans="1:16">
      <c r="A26" s="647" t="str">
        <f t="shared" ca="1" si="4"/>
        <v/>
      </c>
      <c r="B26" s="696" t="str">
        <f ca="1">IF(ROWS($1:13)&gt;COUNT(Dong11),"",OFFSET(TH!D$1,SMALL(Dong11,ROWS($1:13)),))</f>
        <v/>
      </c>
      <c r="C26" s="697" t="str">
        <f ca="1">IF(ROWS($1:13)&gt;COUNT(Dong11),"",OFFSET(TH!E$1,SMALL(Dong11,ROWS($1:13)),))</f>
        <v/>
      </c>
      <c r="D26" s="698" t="str">
        <f ca="1">IF(ROWS($1:13)&gt;COUNT(Dong11),"",OFFSET(TH!F$1,SMALL(Dong11,ROWS($1:13)),)&amp;" - "&amp;OFFSET(TH!H$1,SMALL(Dong11,ROWS($1:13)),))</f>
        <v/>
      </c>
      <c r="E26" s="696" t="str">
        <f ca="1">IF(ROWS($1:13)&gt;COUNT(Dong11),"",IF(LEFT(OFFSET(TH!N$1,SMALL(Dong11,ROWS($1:13)),),2)="15",OFFSET(TH!O$1,SMALL(Dong11,ROWS($1:13)),),OFFSET(TH!N$1,SMALL(Dong11,ROWS($1:13)),)))</f>
        <v/>
      </c>
      <c r="F26" s="699">
        <f ca="1">IF(ROWS($1:13)&gt;COUNT(Dong11),0,OFFSET(TH!J$1,SMALL(Dong11,ROWS($1:13)),))</f>
        <v>0</v>
      </c>
      <c r="G26" s="699">
        <f ca="1">IF(ROWS($1:13)&gt;COUNT(Dong11),0,IF(MID(OFFSET(TH!D$1,SMALL(Dong11,ROWS($1:13)),),4,1)="N",OFFSET(TH!I$1,SMALL(Dong11,ROWS($1:13)),),0))</f>
        <v>0</v>
      </c>
      <c r="H26" s="700">
        <f t="shared" ca="1" si="5"/>
        <v>0</v>
      </c>
      <c r="I26" s="699">
        <f ca="1">IF(ROWS($1:13)&gt;COUNT(Dong11),0,IF(MID(OFFSET(TH!D$1,SMALL(Dong11,ROWS($1:13)),),4,1)="X",OFFSET(TH!I$1,SMALL(Dong11,ROWS($1:13)),),0))</f>
        <v>0</v>
      </c>
      <c r="J26" s="700">
        <f t="shared" ca="1" si="6"/>
        <v>0</v>
      </c>
      <c r="K26" s="700">
        <f t="shared" ca="1" si="7"/>
        <v>0</v>
      </c>
      <c r="L26" s="700">
        <f t="shared" ca="1" si="8"/>
        <v>0</v>
      </c>
      <c r="M26" s="700"/>
      <c r="N26" s="690"/>
    </row>
    <row r="27" spans="1:16">
      <c r="A27" s="647" t="str">
        <f t="shared" ca="1" si="4"/>
        <v/>
      </c>
      <c r="B27" s="696" t="str">
        <f ca="1">IF(ROWS($1:14)&gt;COUNT(Dong11),"",OFFSET(TH!D$1,SMALL(Dong11,ROWS($1:14)),))</f>
        <v/>
      </c>
      <c r="C27" s="697" t="str">
        <f ca="1">IF(ROWS($1:14)&gt;COUNT(Dong11),"",OFFSET(TH!E$1,SMALL(Dong11,ROWS($1:14)),))</f>
        <v/>
      </c>
      <c r="D27" s="698" t="str">
        <f ca="1">IF(ROWS($1:14)&gt;COUNT(Dong11),"",OFFSET(TH!F$1,SMALL(Dong11,ROWS($1:14)),)&amp;" - "&amp;OFFSET(TH!H$1,SMALL(Dong11,ROWS($1:14)),))</f>
        <v/>
      </c>
      <c r="E27" s="696" t="str">
        <f ca="1">IF(ROWS($1:14)&gt;COUNT(Dong11),"",IF(LEFT(OFFSET(TH!N$1,SMALL(Dong11,ROWS($1:14)),),2)="15",OFFSET(TH!O$1,SMALL(Dong11,ROWS($1:14)),),OFFSET(TH!N$1,SMALL(Dong11,ROWS($1:14)),)))</f>
        <v/>
      </c>
      <c r="F27" s="699">
        <f ca="1">IF(ROWS($1:14)&gt;COUNT(Dong11),0,OFFSET(TH!J$1,SMALL(Dong11,ROWS($1:14)),))</f>
        <v>0</v>
      </c>
      <c r="G27" s="699">
        <f ca="1">IF(ROWS($1:14)&gt;COUNT(Dong11),0,IF(MID(OFFSET(TH!D$1,SMALL(Dong11,ROWS($1:14)),),4,1)="N",OFFSET(TH!I$1,SMALL(Dong11,ROWS($1:14)),),0))</f>
        <v>0</v>
      </c>
      <c r="H27" s="700">
        <f t="shared" ca="1" si="5"/>
        <v>0</v>
      </c>
      <c r="I27" s="699">
        <f ca="1">IF(ROWS($1:14)&gt;COUNT(Dong11),0,IF(MID(OFFSET(TH!D$1,SMALL(Dong11,ROWS($1:14)),),4,1)="X",OFFSET(TH!I$1,SMALL(Dong11,ROWS($1:14)),),0))</f>
        <v>0</v>
      </c>
      <c r="J27" s="700">
        <f t="shared" ca="1" si="6"/>
        <v>0</v>
      </c>
      <c r="K27" s="700">
        <f t="shared" ca="1" si="7"/>
        <v>0</v>
      </c>
      <c r="L27" s="700">
        <f t="shared" ca="1" si="8"/>
        <v>0</v>
      </c>
      <c r="M27" s="700"/>
      <c r="N27" s="690"/>
    </row>
    <row r="28" spans="1:16">
      <c r="A28" s="647" t="str">
        <f t="shared" ca="1" si="4"/>
        <v/>
      </c>
      <c r="B28" s="696" t="str">
        <f ca="1">IF(ROWS($1:15)&gt;COUNT(Dong11),"",OFFSET(TH!D$1,SMALL(Dong11,ROWS($1:15)),))</f>
        <v/>
      </c>
      <c r="C28" s="697" t="str">
        <f ca="1">IF(ROWS($1:15)&gt;COUNT(Dong11),"",OFFSET(TH!E$1,SMALL(Dong11,ROWS($1:15)),))</f>
        <v/>
      </c>
      <c r="D28" s="698" t="str">
        <f ca="1">IF(ROWS($1:15)&gt;COUNT(Dong11),"",OFFSET(TH!F$1,SMALL(Dong11,ROWS($1:15)),)&amp;" - "&amp;OFFSET(TH!H$1,SMALL(Dong11,ROWS($1:15)),))</f>
        <v/>
      </c>
      <c r="E28" s="696" t="str">
        <f ca="1">IF(ROWS($1:15)&gt;COUNT(Dong11),"",IF(LEFT(OFFSET(TH!N$1,SMALL(Dong11,ROWS($1:15)),),2)="15",OFFSET(TH!O$1,SMALL(Dong11,ROWS($1:15)),),OFFSET(TH!N$1,SMALL(Dong11,ROWS($1:15)),)))</f>
        <v/>
      </c>
      <c r="F28" s="699">
        <f ca="1">IF(ROWS($1:15)&gt;COUNT(Dong11),0,OFFSET(TH!J$1,SMALL(Dong11,ROWS($1:15)),))</f>
        <v>0</v>
      </c>
      <c r="G28" s="699">
        <f ca="1">IF(ROWS($1:15)&gt;COUNT(Dong11),0,IF(MID(OFFSET(TH!D$1,SMALL(Dong11,ROWS($1:15)),),4,1)="N",OFFSET(TH!I$1,SMALL(Dong11,ROWS($1:15)),),0))</f>
        <v>0</v>
      </c>
      <c r="H28" s="700">
        <f t="shared" ca="1" si="5"/>
        <v>0</v>
      </c>
      <c r="I28" s="699">
        <f ca="1">IF(ROWS($1:15)&gt;COUNT(Dong11),0,IF(MID(OFFSET(TH!D$1,SMALL(Dong11,ROWS($1:15)),),4,1)="X",OFFSET(TH!I$1,SMALL(Dong11,ROWS($1:15)),),0))</f>
        <v>0</v>
      </c>
      <c r="J28" s="700">
        <f t="shared" ca="1" si="6"/>
        <v>0</v>
      </c>
      <c r="K28" s="700">
        <f t="shared" ca="1" si="7"/>
        <v>0</v>
      </c>
      <c r="L28" s="700">
        <f t="shared" ca="1" si="8"/>
        <v>0</v>
      </c>
      <c r="M28" s="700"/>
      <c r="N28" s="690"/>
    </row>
    <row r="29" spans="1:16">
      <c r="A29" s="647" t="str">
        <f t="shared" ca="1" si="4"/>
        <v/>
      </c>
      <c r="B29" s="696" t="str">
        <f ca="1">IF(ROWS($1:16)&gt;COUNT(Dong11),"",OFFSET(TH!D$1,SMALL(Dong11,ROWS($1:16)),))</f>
        <v/>
      </c>
      <c r="C29" s="697" t="str">
        <f ca="1">IF(ROWS($1:16)&gt;COUNT(Dong11),"",OFFSET(TH!E$1,SMALL(Dong11,ROWS($1:16)),))</f>
        <v/>
      </c>
      <c r="D29" s="698" t="str">
        <f ca="1">IF(ROWS($1:16)&gt;COUNT(Dong11),"",OFFSET(TH!F$1,SMALL(Dong11,ROWS($1:16)),)&amp;" - "&amp;OFFSET(TH!H$1,SMALL(Dong11,ROWS($1:16)),))</f>
        <v/>
      </c>
      <c r="E29" s="696" t="str">
        <f ca="1">IF(ROWS($1:16)&gt;COUNT(Dong11),"",IF(LEFT(OFFSET(TH!N$1,SMALL(Dong11,ROWS($1:16)),),2)="15",OFFSET(TH!O$1,SMALL(Dong11,ROWS($1:16)),),OFFSET(TH!N$1,SMALL(Dong11,ROWS($1:16)),)))</f>
        <v/>
      </c>
      <c r="F29" s="699">
        <f ca="1">IF(ROWS($1:16)&gt;COUNT(Dong11),0,OFFSET(TH!J$1,SMALL(Dong11,ROWS($1:16)),))</f>
        <v>0</v>
      </c>
      <c r="G29" s="699">
        <f ca="1">IF(ROWS($1:16)&gt;COUNT(Dong11),0,IF(MID(OFFSET(TH!D$1,SMALL(Dong11,ROWS($1:16)),),4,1)="N",OFFSET(TH!I$1,SMALL(Dong11,ROWS($1:16)),),0))</f>
        <v>0</v>
      </c>
      <c r="H29" s="700">
        <f t="shared" ca="1" si="5"/>
        <v>0</v>
      </c>
      <c r="I29" s="699">
        <f ca="1">IF(ROWS($1:16)&gt;COUNT(Dong11),0,IF(MID(OFFSET(TH!D$1,SMALL(Dong11,ROWS($1:16)),),4,1)="X",OFFSET(TH!I$1,SMALL(Dong11,ROWS($1:16)),),0))</f>
        <v>0</v>
      </c>
      <c r="J29" s="700">
        <f t="shared" ca="1" si="6"/>
        <v>0</v>
      </c>
      <c r="K29" s="700">
        <f t="shared" ca="1" si="7"/>
        <v>0</v>
      </c>
      <c r="L29" s="700">
        <f t="shared" ca="1" si="8"/>
        <v>0</v>
      </c>
      <c r="M29" s="700"/>
      <c r="N29" s="690"/>
    </row>
    <row r="30" spans="1:16">
      <c r="A30" s="647" t="str">
        <f t="shared" ca="1" si="4"/>
        <v/>
      </c>
      <c r="B30" s="696" t="str">
        <f ca="1">IF(ROWS($1:17)&gt;COUNT(Dong11),"",OFFSET(TH!D$1,SMALL(Dong11,ROWS($1:17)),))</f>
        <v/>
      </c>
      <c r="C30" s="697" t="str">
        <f ca="1">IF(ROWS($1:17)&gt;COUNT(Dong11),"",OFFSET(TH!E$1,SMALL(Dong11,ROWS($1:17)),))</f>
        <v/>
      </c>
      <c r="D30" s="698" t="str">
        <f ca="1">IF(ROWS($1:17)&gt;COUNT(Dong11),"",OFFSET(TH!F$1,SMALL(Dong11,ROWS($1:17)),)&amp;" - "&amp;OFFSET(TH!H$1,SMALL(Dong11,ROWS($1:17)),))</f>
        <v/>
      </c>
      <c r="E30" s="696" t="str">
        <f ca="1">IF(ROWS($1:17)&gt;COUNT(Dong11),"",IF(LEFT(OFFSET(TH!N$1,SMALL(Dong11,ROWS($1:17)),),2)="15",OFFSET(TH!O$1,SMALL(Dong11,ROWS($1:17)),),OFFSET(TH!N$1,SMALL(Dong11,ROWS($1:17)),)))</f>
        <v/>
      </c>
      <c r="F30" s="699">
        <f ca="1">IF(ROWS($1:17)&gt;COUNT(Dong11),0,OFFSET(TH!J$1,SMALL(Dong11,ROWS($1:17)),))</f>
        <v>0</v>
      </c>
      <c r="G30" s="699">
        <f ca="1">IF(ROWS($1:17)&gt;COUNT(Dong11),0,IF(MID(OFFSET(TH!D$1,SMALL(Dong11,ROWS($1:17)),),4,1)="N",OFFSET(TH!I$1,SMALL(Dong11,ROWS($1:17)),),0))</f>
        <v>0</v>
      </c>
      <c r="H30" s="700">
        <f t="shared" ca="1" si="5"/>
        <v>0</v>
      </c>
      <c r="I30" s="699">
        <f ca="1">IF(ROWS($1:17)&gt;COUNT(Dong11),0,IF(MID(OFFSET(TH!D$1,SMALL(Dong11,ROWS($1:17)),),4,1)="X",OFFSET(TH!I$1,SMALL(Dong11,ROWS($1:17)),),0))</f>
        <v>0</v>
      </c>
      <c r="J30" s="700">
        <f t="shared" ca="1" si="6"/>
        <v>0</v>
      </c>
      <c r="K30" s="700">
        <f t="shared" ca="1" si="7"/>
        <v>0</v>
      </c>
      <c r="L30" s="700">
        <f t="shared" ca="1" si="8"/>
        <v>0</v>
      </c>
      <c r="M30" s="700"/>
      <c r="N30" s="690"/>
    </row>
    <row r="31" spans="1:16">
      <c r="A31" s="647" t="str">
        <f t="shared" si="4"/>
        <v/>
      </c>
      <c r="B31" s="703"/>
      <c r="C31" s="704"/>
      <c r="D31" s="705"/>
      <c r="E31" s="706"/>
      <c r="F31" s="707"/>
      <c r="G31" s="692"/>
      <c r="H31" s="692"/>
      <c r="I31" s="692"/>
      <c r="J31" s="692"/>
      <c r="K31" s="692"/>
      <c r="L31" s="692"/>
      <c r="M31" s="708"/>
      <c r="N31" s="690"/>
    </row>
    <row r="32" spans="1:16">
      <c r="A32" s="709"/>
      <c r="B32" s="709"/>
      <c r="C32" s="709"/>
      <c r="D32" s="709" t="s">
        <v>668</v>
      </c>
      <c r="E32" s="688" t="s">
        <v>26</v>
      </c>
      <c r="F32" s="688" t="s">
        <v>26</v>
      </c>
      <c r="G32" s="710">
        <f ca="1">SUM(G14:G31)</f>
        <v>500</v>
      </c>
      <c r="H32" s="710">
        <f ca="1">SUM(H14:H31)</f>
        <v>16500000</v>
      </c>
      <c r="I32" s="710">
        <f ca="1">SUM(I14:I31)</f>
        <v>0</v>
      </c>
      <c r="J32" s="710">
        <f ca="1">SUM(J14:J31)</f>
        <v>0</v>
      </c>
      <c r="K32" s="710">
        <f ca="1">K13+G32-I32</f>
        <v>500</v>
      </c>
      <c r="L32" s="710">
        <f ca="1">L13+H32-J32</f>
        <v>16500000</v>
      </c>
      <c r="M32" s="709"/>
      <c r="N32" s="690"/>
    </row>
    <row r="33" spans="2:14">
      <c r="B33" s="711" t="s">
        <v>669</v>
      </c>
      <c r="G33" s="702"/>
      <c r="N33" s="690"/>
    </row>
    <row r="34" spans="2:14">
      <c r="B34" s="712"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2"/>
      <c r="I34" s="702"/>
      <c r="N34" s="690"/>
    </row>
    <row r="35" spans="2:14">
      <c r="B35" s="677"/>
      <c r="C35" s="677"/>
      <c r="D35" s="677"/>
      <c r="F35" s="677"/>
      <c r="G35" s="713"/>
      <c r="H35" s="678"/>
      <c r="I35" s="714"/>
      <c r="J35" s="1212" t="s">
        <v>634</v>
      </c>
      <c r="K35" s="1212"/>
      <c r="L35" s="1212"/>
      <c r="M35" s="1212"/>
      <c r="N35" s="690"/>
    </row>
    <row r="36" spans="2:14">
      <c r="B36" s="1212" t="s">
        <v>14</v>
      </c>
      <c r="C36" s="1212"/>
      <c r="D36" s="1212"/>
      <c r="E36" s="1212" t="s">
        <v>15</v>
      </c>
      <c r="F36" s="1212"/>
      <c r="G36" s="1212"/>
      <c r="H36" s="1212"/>
      <c r="I36" s="1212"/>
      <c r="J36" s="1212" t="s">
        <v>206</v>
      </c>
      <c r="K36" s="1212"/>
      <c r="L36" s="1212"/>
      <c r="M36" s="1212"/>
      <c r="N36" s="690"/>
    </row>
    <row r="37" spans="2:14">
      <c r="B37" s="1212" t="s">
        <v>16</v>
      </c>
      <c r="C37" s="1212" t="s">
        <v>637</v>
      </c>
      <c r="D37" s="1212" t="s">
        <v>16</v>
      </c>
      <c r="E37" s="1212" t="s">
        <v>16</v>
      </c>
      <c r="F37" s="1212"/>
      <c r="G37" s="1212"/>
      <c r="H37" s="1212" t="s">
        <v>241</v>
      </c>
      <c r="I37" s="1212"/>
      <c r="J37" s="1212" t="s">
        <v>241</v>
      </c>
      <c r="K37" s="1212"/>
      <c r="L37" s="1212"/>
      <c r="M37" s="1212"/>
      <c r="N37" s="690"/>
    </row>
    <row r="38" spans="2:14">
      <c r="N38" s="715"/>
    </row>
    <row r="39" spans="2:14">
      <c r="E39" s="665"/>
    </row>
    <row r="41" spans="2:14" customFormat="1" ht="12.75">
      <c r="E41" s="716"/>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2" customWidth="1"/>
    <col min="2" max="2" width="9.140625" style="722"/>
    <col min="3" max="3" width="9.140625" style="786" customWidth="1"/>
    <col min="4" max="4" width="10.85546875" style="786" customWidth="1"/>
    <col min="5" max="5" width="39.42578125" style="787" customWidth="1"/>
    <col min="6" max="6" width="10.85546875" style="788" customWidth="1"/>
    <col min="7" max="7" width="9" style="789" customWidth="1"/>
    <col min="8" max="8" width="9.5703125" style="789" customWidth="1"/>
    <col min="9" max="9" width="10" style="789" customWidth="1"/>
    <col min="10" max="10" width="8" style="722" customWidth="1"/>
    <col min="11" max="11" width="2.42578125" style="722" customWidth="1"/>
    <col min="12" max="12" width="6.5703125" style="722" customWidth="1"/>
    <col min="13" max="16384" width="9.140625" style="722"/>
  </cols>
  <sheetData>
    <row r="1" spans="1:12" ht="15" customHeight="1">
      <c r="A1" s="717" t="s">
        <v>273</v>
      </c>
      <c r="B1" s="718"/>
      <c r="C1" s="718"/>
      <c r="D1" s="718"/>
      <c r="E1" s="719"/>
      <c r="F1" s="718"/>
      <c r="G1" s="720"/>
      <c r="H1" s="721" t="s">
        <v>670</v>
      </c>
      <c r="I1" s="722"/>
      <c r="J1" s="723"/>
      <c r="K1" s="723"/>
      <c r="L1" s="724"/>
    </row>
    <row r="2" spans="1:12" ht="15" customHeight="1">
      <c r="A2" s="725" t="s">
        <v>516</v>
      </c>
      <c r="B2" s="726"/>
      <c r="C2" s="726"/>
      <c r="D2" s="726"/>
      <c r="E2" s="727"/>
      <c r="F2" s="728"/>
      <c r="G2" s="729"/>
      <c r="H2" s="730" t="s">
        <v>517</v>
      </c>
      <c r="I2" s="722"/>
      <c r="J2" s="723"/>
      <c r="K2" s="723"/>
    </row>
    <row r="3" spans="1:12" ht="15">
      <c r="A3" s="726"/>
      <c r="B3" s="726"/>
      <c r="C3" s="726"/>
      <c r="D3" s="726"/>
      <c r="E3" s="727"/>
      <c r="F3" s="728"/>
      <c r="G3" s="729"/>
      <c r="H3" s="730" t="s">
        <v>345</v>
      </c>
      <c r="I3" s="722"/>
      <c r="J3" s="723"/>
      <c r="K3" s="723"/>
    </row>
    <row r="4" spans="1:12" ht="18.75" customHeight="1">
      <c r="A4" s="731"/>
      <c r="B4" s="731"/>
      <c r="C4" s="731"/>
      <c r="D4" s="731"/>
      <c r="E4" s="732" t="s">
        <v>671</v>
      </c>
      <c r="F4" s="731"/>
      <c r="G4" s="731"/>
      <c r="H4" s="731"/>
      <c r="I4" s="731"/>
      <c r="J4" s="723"/>
      <c r="K4" s="723"/>
    </row>
    <row r="5" spans="1:12" ht="15">
      <c r="A5" s="733"/>
      <c r="B5" s="733"/>
      <c r="C5" s="733"/>
      <c r="D5" s="733"/>
      <c r="E5" s="734" t="str">
        <f ca="1">IF(ISERROR("Ngày lập thẻ: ngày "&amp;DAY(B14)&amp;"/"&amp;MONTH(B14)&amp;"/"&amp;YEAR(B14)),"Ngày lập thẻ: ngày 01/ 01/2016 ","Ngày lập thẻ: ngày "&amp;DAY(B14)&amp;"/"&amp;MONTH(B14)&amp;"/"&amp;YEAR(B14))</f>
        <v>Ngày lập thẻ: ngày 12/3/2016</v>
      </c>
      <c r="F5" s="733"/>
      <c r="G5" s="733"/>
      <c r="H5" s="733"/>
      <c r="I5" s="733"/>
      <c r="J5" s="723"/>
      <c r="K5" s="723"/>
    </row>
    <row r="6" spans="1:12" ht="15">
      <c r="A6" s="733"/>
      <c r="B6" s="733"/>
      <c r="C6" s="733"/>
      <c r="D6" s="733"/>
      <c r="E6" s="734" t="s">
        <v>672</v>
      </c>
      <c r="F6" s="733"/>
      <c r="G6" s="733"/>
      <c r="H6" s="733"/>
      <c r="I6" s="733"/>
      <c r="J6" s="723"/>
      <c r="K6" s="723"/>
    </row>
    <row r="7" spans="1:12" ht="15">
      <c r="A7" s="712" t="s">
        <v>673</v>
      </c>
      <c r="B7" s="712"/>
      <c r="C7" s="735"/>
      <c r="D7" s="735"/>
      <c r="E7" s="736" t="s">
        <v>772</v>
      </c>
      <c r="F7" s="728"/>
      <c r="G7" s="737"/>
      <c r="H7" s="737"/>
      <c r="I7" s="737"/>
      <c r="J7" s="723"/>
      <c r="K7" s="723"/>
    </row>
    <row r="8" spans="1:12" ht="15">
      <c r="A8" s="712" t="s">
        <v>674</v>
      </c>
      <c r="B8" s="712"/>
      <c r="C8" s="723" t="str">
        <f>VLOOKUP($E$7,NXT!$C$12:$L$54,2,0)</f>
        <v>kg</v>
      </c>
      <c r="D8" s="712"/>
      <c r="E8" s="736"/>
      <c r="F8" s="728"/>
      <c r="G8" s="737"/>
      <c r="H8" s="737"/>
      <c r="I8" s="737"/>
      <c r="J8" s="723"/>
      <c r="K8" s="723"/>
    </row>
    <row r="9" spans="1:12" ht="15">
      <c r="A9" s="1215" t="s">
        <v>675</v>
      </c>
      <c r="B9" s="1216"/>
      <c r="C9" s="1216"/>
      <c r="D9" s="1216"/>
      <c r="E9" s="736"/>
      <c r="F9" s="728"/>
      <c r="G9" s="737"/>
      <c r="H9" s="737"/>
      <c r="I9" s="737"/>
      <c r="J9" s="738"/>
      <c r="K9" s="738"/>
    </row>
    <row r="10" spans="1:12" ht="19.5" customHeight="1">
      <c r="A10" s="1217" t="s">
        <v>676</v>
      </c>
      <c r="B10" s="1218" t="s">
        <v>677</v>
      </c>
      <c r="C10" s="1220" t="s">
        <v>20</v>
      </c>
      <c r="D10" s="1221"/>
      <c r="E10" s="1222" t="s">
        <v>0</v>
      </c>
      <c r="F10" s="1233" t="s">
        <v>678</v>
      </c>
      <c r="G10" s="1226" t="s">
        <v>645</v>
      </c>
      <c r="H10" s="1226"/>
      <c r="I10" s="1221"/>
      <c r="J10" s="1227" t="s">
        <v>679</v>
      </c>
      <c r="K10" s="739"/>
      <c r="L10" s="740" t="s">
        <v>664</v>
      </c>
    </row>
    <row r="11" spans="1:12" ht="19.5" customHeight="1">
      <c r="A11" s="1217"/>
      <c r="B11" s="1219"/>
      <c r="C11" s="741" t="s">
        <v>661</v>
      </c>
      <c r="D11" s="741" t="s">
        <v>662</v>
      </c>
      <c r="E11" s="1223"/>
      <c r="F11" s="1234"/>
      <c r="G11" s="742" t="s">
        <v>661</v>
      </c>
      <c r="H11" s="742" t="s">
        <v>662</v>
      </c>
      <c r="I11" s="742" t="s">
        <v>663</v>
      </c>
      <c r="J11" s="1228"/>
      <c r="K11" s="739"/>
    </row>
    <row r="12" spans="1:12" ht="15">
      <c r="A12" s="743" t="s">
        <v>2</v>
      </c>
      <c r="B12" s="744" t="s">
        <v>3</v>
      </c>
      <c r="C12" s="745" t="s">
        <v>4</v>
      </c>
      <c r="D12" s="745" t="s">
        <v>5</v>
      </c>
      <c r="E12" s="746" t="s">
        <v>6</v>
      </c>
      <c r="F12" s="744" t="s">
        <v>235</v>
      </c>
      <c r="G12" s="747">
        <v>1</v>
      </c>
      <c r="H12" s="747">
        <v>2</v>
      </c>
      <c r="I12" s="747">
        <v>3</v>
      </c>
      <c r="J12" s="745" t="s">
        <v>236</v>
      </c>
      <c r="K12" s="748"/>
    </row>
    <row r="13" spans="1:12" ht="16.5" customHeight="1">
      <c r="A13" s="749"/>
      <c r="B13" s="750"/>
      <c r="C13" s="751"/>
      <c r="D13" s="751"/>
      <c r="E13" s="752" t="s">
        <v>531</v>
      </c>
      <c r="F13" s="750"/>
      <c r="G13" s="753"/>
      <c r="H13" s="753"/>
      <c r="I13" s="754">
        <f>VLOOKUP($E$7,NXT!$C$12:$L$54,3,0)</f>
        <v>0</v>
      </c>
      <c r="J13" s="749"/>
      <c r="K13" s="755"/>
    </row>
    <row r="14" spans="1:12" ht="16.5" customHeight="1">
      <c r="A14" s="756">
        <f ca="1">IF(B14&lt;&gt;"",ROW()-(ROW()-1),"")</f>
        <v>1</v>
      </c>
      <c r="B14" s="757">
        <f ca="1">IF(ROWS($1:1)&gt;COUNT(Dong12),"",OFFSET(TH!E$1,SMALL(Dong12,ROWS($1:1)),))</f>
        <v>42441</v>
      </c>
      <c r="C14" s="971" t="str">
        <f ca="1">IF(ROWS($1:1)&gt;COUNT(Dong12),"",IF(MID(OFFSET(TH!D$1,SMALL(Dong12,ROWS($1:1)),),4,1)="N",OFFSET(TH!D$1,SMALL(Dong12,ROWS($1:1)),),""))</f>
        <v>VL/N01</v>
      </c>
      <c r="D14" s="757" t="str">
        <f ca="1">IF(ROWS($1:1)&gt;COUNT(Dong12),"",IF(MID(OFFSET(TH!D$1,SMALL(Dong12,ROWS($1:1)),),4,1)="X",OFFSET(TH!D$1,SMALL(Dong12,ROWS($1:1)),),""))</f>
        <v/>
      </c>
      <c r="E14" s="758" t="str">
        <f ca="1">IF(ROWS($1:1)&gt;COUNT(Dong12),"",OFFSET(TH!F$1,SMALL(Dong12,ROWS($1:1)),)&amp;" - "&amp;OFFSET(TH!H$1,SMALL(Dong12,ROWS($1:1)),))</f>
        <v>Túi PE 86*75 - CN Công Ty TNHH Tân Hy Xí Nghiệp In &amp; Bao Bì Duy Nhật</v>
      </c>
      <c r="F14" s="757">
        <f ca="1">B14</f>
        <v>42441</v>
      </c>
      <c r="G14" s="759">
        <f ca="1">IF(ROWS($1:1)&gt;COUNT(Dong12),0,IF(MID(OFFSET(TH!D$1,SMALL(Dong12,ROWS($1:1)),),4,1)="N",OFFSET(TH!I$1,SMALL(Dong12,ROWS($1:1)),),0))</f>
        <v>500</v>
      </c>
      <c r="H14" s="759">
        <f ca="1">IF(ROWS($1:1)&gt;COUNT(Dong12),0,IF(MID(OFFSET(TH!D$1,SMALL(Dong12,ROWS($1:1)),),4,1)="X",OFFSET(TH!I$1,SMALL(Dong12,ROWS($1:1)),),0))</f>
        <v>0</v>
      </c>
      <c r="I14" s="760">
        <f ca="1">IF(E14&lt;&gt;"",I13+G14-H14,0)</f>
        <v>500</v>
      </c>
      <c r="J14" s="761"/>
      <c r="K14" s="762"/>
    </row>
    <row r="15" spans="1:12" ht="16.5" customHeight="1">
      <c r="A15" s="763" t="str">
        <f ca="1">IF(B15&lt;&gt;"",A14+1,"")</f>
        <v/>
      </c>
      <c r="B15" s="757" t="str">
        <f ca="1">IF(ROWS($1:2)&gt;COUNT(Dong12),"",OFFSET(TH!E$1,SMALL(Dong12,ROWS($1:2)),))</f>
        <v/>
      </c>
      <c r="C15" s="971" t="str">
        <f ca="1">IF(ROWS($1:2)&gt;COUNT(Dong12),"",IF(MID(OFFSET(TH!D$1,SMALL(Dong12,ROWS($1:2)),),4,1)="N",OFFSET(TH!D$1,SMALL(Dong12,ROWS($1:2)),),""))</f>
        <v/>
      </c>
      <c r="D15" s="757" t="str">
        <f ca="1">IF(ROWS($1:2)&gt;COUNT(Dong12),"",IF(MID(OFFSET(TH!D$1,SMALL(Dong12,ROWS($1:2)),),4,1)="X",OFFSET(TH!D$1,SMALL(Dong12,ROWS($1:2)),),""))</f>
        <v/>
      </c>
      <c r="E15" s="758" t="str">
        <f ca="1">IF(ROWS($1:2)&gt;COUNT(Dong12),"",OFFSET(TH!F$1,SMALL(Dong12,ROWS($1:2)),)&amp;" - "&amp;OFFSET(TH!H$1,SMALL(Dong12,ROWS($1:2)),))</f>
        <v/>
      </c>
      <c r="F15" s="757" t="str">
        <f t="shared" ref="F15:F30" ca="1" si="0">B15</f>
        <v/>
      </c>
      <c r="G15" s="759">
        <f ca="1">IF(ROWS($1:2)&gt;COUNT(Dong12),0,IF(MID(OFFSET(TH!D$1,SMALL(Dong12,ROWS($1:2)),),4,1)="N",OFFSET(TH!I$1,SMALL(Dong12,ROWS($1:2)),),0))</f>
        <v>0</v>
      </c>
      <c r="H15" s="759">
        <f ca="1">IF(ROWS($1:2)&gt;COUNT(Dong12),0,IF(MID(OFFSET(TH!D$1,SMALL(Dong12,ROWS($1:2)),),4,1)="X",OFFSET(TH!I$1,SMALL(Dong12,ROWS($1:2)),),0))</f>
        <v>0</v>
      </c>
      <c r="I15" s="760">
        <f t="shared" ref="I15:I30" ca="1" si="1">IF(E15&lt;&gt;"",I14+G15-H15,0)</f>
        <v>0</v>
      </c>
      <c r="J15" s="761"/>
      <c r="K15" s="762"/>
    </row>
    <row r="16" spans="1:12" ht="16.5" customHeight="1">
      <c r="A16" s="763" t="str">
        <f t="shared" ref="A16:A30" ca="1" si="2">IF(B16&lt;&gt;"",A15+1,"")</f>
        <v/>
      </c>
      <c r="B16" s="757" t="str">
        <f ca="1">IF(ROWS($1:3)&gt;COUNT(Dong12),"",OFFSET(TH!E$1,SMALL(Dong12,ROWS($1:3)),))</f>
        <v/>
      </c>
      <c r="C16" s="971" t="str">
        <f ca="1">IF(ROWS($1:3)&gt;COUNT(Dong12),"",IF(MID(OFFSET(TH!D$1,SMALL(Dong12,ROWS($1:3)),),4,1)="N",OFFSET(TH!D$1,SMALL(Dong12,ROWS($1:3)),),""))</f>
        <v/>
      </c>
      <c r="D16" s="757" t="str">
        <f ca="1">IF(ROWS($1:3)&gt;COUNT(Dong12),"",IF(MID(OFFSET(TH!D$1,SMALL(Dong12,ROWS($1:3)),),4,1)="X",OFFSET(TH!D$1,SMALL(Dong12,ROWS($1:3)),),""))</f>
        <v/>
      </c>
      <c r="E16" s="758" t="str">
        <f ca="1">IF(ROWS($1:3)&gt;COUNT(Dong12),"",OFFSET(TH!F$1,SMALL(Dong12,ROWS($1:3)),)&amp;" - "&amp;OFFSET(TH!H$1,SMALL(Dong12,ROWS($1:3)),))</f>
        <v/>
      </c>
      <c r="F16" s="757" t="str">
        <f t="shared" ca="1" si="0"/>
        <v/>
      </c>
      <c r="G16" s="759">
        <f ca="1">IF(ROWS($1:3)&gt;COUNT(Dong12),0,IF(MID(OFFSET(TH!D$1,SMALL(Dong12,ROWS($1:3)),),4,1)="N",OFFSET(TH!I$1,SMALL(Dong12,ROWS($1:3)),),0))</f>
        <v>0</v>
      </c>
      <c r="H16" s="759">
        <f ca="1">IF(ROWS($1:3)&gt;COUNT(Dong12),0,IF(MID(OFFSET(TH!D$1,SMALL(Dong12,ROWS($1:3)),),4,1)="X",OFFSET(TH!I$1,SMALL(Dong12,ROWS($1:3)),),0))</f>
        <v>0</v>
      </c>
      <c r="I16" s="760">
        <f t="shared" ca="1" si="1"/>
        <v>0</v>
      </c>
      <c r="J16" s="761"/>
      <c r="K16" s="762"/>
    </row>
    <row r="17" spans="1:11" ht="16.5" customHeight="1">
      <c r="A17" s="763" t="str">
        <f t="shared" ca="1" si="2"/>
        <v/>
      </c>
      <c r="B17" s="757" t="str">
        <f ca="1">IF(ROWS($1:4)&gt;COUNT(Dong12),"",OFFSET(TH!E$1,SMALL(Dong12,ROWS($1:4)),))</f>
        <v/>
      </c>
      <c r="C17" s="971" t="str">
        <f ca="1">IF(ROWS($1:4)&gt;COUNT(Dong12),"",IF(MID(OFFSET(TH!D$1,SMALL(Dong12,ROWS($1:4)),),4,1)="N",OFFSET(TH!D$1,SMALL(Dong12,ROWS($1:4)),),""))</f>
        <v/>
      </c>
      <c r="D17" s="757" t="str">
        <f ca="1">IF(ROWS($1:4)&gt;COUNT(Dong12),"",IF(MID(OFFSET(TH!D$1,SMALL(Dong12,ROWS($1:4)),),4,1)="X",OFFSET(TH!D$1,SMALL(Dong12,ROWS($1:4)),),""))</f>
        <v/>
      </c>
      <c r="E17" s="758" t="str">
        <f ca="1">IF(ROWS($1:4)&gt;COUNT(Dong12),"",OFFSET(TH!F$1,SMALL(Dong12,ROWS($1:4)),)&amp;" - "&amp;OFFSET(TH!H$1,SMALL(Dong12,ROWS($1:4)),))</f>
        <v/>
      </c>
      <c r="F17" s="757" t="str">
        <f t="shared" ca="1" si="0"/>
        <v/>
      </c>
      <c r="G17" s="759">
        <f ca="1">IF(ROWS($1:4)&gt;COUNT(Dong12),0,IF(MID(OFFSET(TH!D$1,SMALL(Dong12,ROWS($1:4)),),4,1)="N",OFFSET(TH!I$1,SMALL(Dong12,ROWS($1:4)),),0))</f>
        <v>0</v>
      </c>
      <c r="H17" s="759">
        <f ca="1">IF(ROWS($1:4)&gt;COUNT(Dong12),0,IF(MID(OFFSET(TH!D$1,SMALL(Dong12,ROWS($1:4)),),4,1)="X",OFFSET(TH!I$1,SMALL(Dong12,ROWS($1:4)),),0))</f>
        <v>0</v>
      </c>
      <c r="I17" s="760">
        <f t="shared" ca="1" si="1"/>
        <v>0</v>
      </c>
      <c r="J17" s="761"/>
      <c r="K17" s="762"/>
    </row>
    <row r="18" spans="1:11" ht="16.5" customHeight="1">
      <c r="A18" s="763" t="str">
        <f t="shared" ca="1" si="2"/>
        <v/>
      </c>
      <c r="B18" s="757" t="str">
        <f ca="1">IF(ROWS($1:5)&gt;COUNT(Dong12),"",OFFSET(TH!E$1,SMALL(Dong12,ROWS($1:5)),))</f>
        <v/>
      </c>
      <c r="C18" s="971" t="str">
        <f ca="1">IF(ROWS($1:5)&gt;COUNT(Dong12),"",IF(MID(OFFSET(TH!D$1,SMALL(Dong12,ROWS($1:5)),),4,1)="N",OFFSET(TH!D$1,SMALL(Dong12,ROWS($1:5)),),""))</f>
        <v/>
      </c>
      <c r="D18" s="757" t="str">
        <f ca="1">IF(ROWS($1:5)&gt;COUNT(Dong12),"",IF(MID(OFFSET(TH!D$1,SMALL(Dong12,ROWS($1:5)),),4,1)="X",OFFSET(TH!D$1,SMALL(Dong12,ROWS($1:5)),),""))</f>
        <v/>
      </c>
      <c r="E18" s="758" t="str">
        <f ca="1">IF(ROWS($1:5)&gt;COUNT(Dong12),"",OFFSET(TH!F$1,SMALL(Dong12,ROWS($1:5)),)&amp;" - "&amp;OFFSET(TH!H$1,SMALL(Dong12,ROWS($1:5)),))</f>
        <v/>
      </c>
      <c r="F18" s="757" t="str">
        <f t="shared" ca="1" si="0"/>
        <v/>
      </c>
      <c r="G18" s="759">
        <f ca="1">IF(ROWS($1:5)&gt;COUNT(Dong12),0,IF(MID(OFFSET(TH!D$1,SMALL(Dong12,ROWS($1:5)),),4,1)="N",OFFSET(TH!I$1,SMALL(Dong12,ROWS($1:5)),),0))</f>
        <v>0</v>
      </c>
      <c r="H18" s="759">
        <f ca="1">IF(ROWS($1:5)&gt;COUNT(Dong12),0,IF(MID(OFFSET(TH!D$1,SMALL(Dong12,ROWS($1:5)),),4,1)="X",OFFSET(TH!I$1,SMALL(Dong12,ROWS($1:5)),),0))</f>
        <v>0</v>
      </c>
      <c r="I18" s="760">
        <f t="shared" ca="1" si="1"/>
        <v>0</v>
      </c>
      <c r="J18" s="761"/>
      <c r="K18" s="762"/>
    </row>
    <row r="19" spans="1:11" ht="16.5" customHeight="1">
      <c r="A19" s="763" t="str">
        <f t="shared" ca="1" si="2"/>
        <v/>
      </c>
      <c r="B19" s="757" t="str">
        <f ca="1">IF(ROWS($1:6)&gt;COUNT(Dong12),"",OFFSET(TH!E$1,SMALL(Dong12,ROWS($1:6)),))</f>
        <v/>
      </c>
      <c r="C19" s="971" t="str">
        <f ca="1">IF(ROWS($1:6)&gt;COUNT(Dong12),"",IF(MID(OFFSET(TH!D$1,SMALL(Dong12,ROWS($1:6)),),4,1)="N",OFFSET(TH!D$1,SMALL(Dong12,ROWS($1:6)),),""))</f>
        <v/>
      </c>
      <c r="D19" s="757" t="str">
        <f ca="1">IF(ROWS($1:6)&gt;COUNT(Dong12),"",IF(MID(OFFSET(TH!D$1,SMALL(Dong12,ROWS($1:6)),),4,1)="X",OFFSET(TH!D$1,SMALL(Dong12,ROWS($1:6)),),""))</f>
        <v/>
      </c>
      <c r="E19" s="758" t="str">
        <f ca="1">IF(ROWS($1:6)&gt;COUNT(Dong12),"",OFFSET(TH!F$1,SMALL(Dong12,ROWS($1:6)),)&amp;" - "&amp;OFFSET(TH!H$1,SMALL(Dong12,ROWS($1:6)),))</f>
        <v/>
      </c>
      <c r="F19" s="757" t="str">
        <f t="shared" ca="1" si="0"/>
        <v/>
      </c>
      <c r="G19" s="759">
        <f ca="1">IF(ROWS($1:6)&gt;COUNT(Dong12),0,IF(MID(OFFSET(TH!D$1,SMALL(Dong12,ROWS($1:6)),),4,1)="N",OFFSET(TH!I$1,SMALL(Dong12,ROWS($1:6)),),0))</f>
        <v>0</v>
      </c>
      <c r="H19" s="759">
        <f ca="1">IF(ROWS($1:6)&gt;COUNT(Dong12),0,IF(MID(OFFSET(TH!D$1,SMALL(Dong12,ROWS($1:6)),),4,1)="X",OFFSET(TH!I$1,SMALL(Dong12,ROWS($1:6)),),0))</f>
        <v>0</v>
      </c>
      <c r="I19" s="760">
        <f t="shared" ca="1" si="1"/>
        <v>0</v>
      </c>
      <c r="J19" s="761"/>
      <c r="K19" s="762"/>
    </row>
    <row r="20" spans="1:11" ht="16.5" customHeight="1">
      <c r="A20" s="763" t="str">
        <f t="shared" ca="1" si="2"/>
        <v/>
      </c>
      <c r="B20" s="757" t="str">
        <f ca="1">IF(ROWS($1:7)&gt;COUNT(Dong12),"",OFFSET(TH!E$1,SMALL(Dong12,ROWS($1:7)),))</f>
        <v/>
      </c>
      <c r="C20" s="971" t="str">
        <f ca="1">IF(ROWS($1:7)&gt;COUNT(Dong12),"",IF(MID(OFFSET(TH!D$1,SMALL(Dong12,ROWS($1:7)),),4,1)="N",OFFSET(TH!D$1,SMALL(Dong12,ROWS($1:7)),),""))</f>
        <v/>
      </c>
      <c r="D20" s="757" t="str">
        <f ca="1">IF(ROWS($1:7)&gt;COUNT(Dong12),"",IF(MID(OFFSET(TH!D$1,SMALL(Dong12,ROWS($1:7)),),4,1)="X",OFFSET(TH!D$1,SMALL(Dong12,ROWS($1:7)),),""))</f>
        <v/>
      </c>
      <c r="E20" s="758" t="str">
        <f ca="1">IF(ROWS($1:7)&gt;COUNT(Dong12),"",OFFSET(TH!F$1,SMALL(Dong12,ROWS($1:7)),)&amp;" - "&amp;OFFSET(TH!H$1,SMALL(Dong12,ROWS($1:7)),))</f>
        <v/>
      </c>
      <c r="F20" s="757" t="str">
        <f t="shared" ca="1" si="0"/>
        <v/>
      </c>
      <c r="G20" s="759">
        <f ca="1">IF(ROWS($1:7)&gt;COUNT(Dong12),0,IF(MID(OFFSET(TH!D$1,SMALL(Dong12,ROWS($1:7)),),4,1)="N",OFFSET(TH!I$1,SMALL(Dong12,ROWS($1:7)),),0))</f>
        <v>0</v>
      </c>
      <c r="H20" s="759">
        <f ca="1">IF(ROWS($1:7)&gt;COUNT(Dong12),0,IF(MID(OFFSET(TH!D$1,SMALL(Dong12,ROWS($1:7)),),4,1)="X",OFFSET(TH!I$1,SMALL(Dong12,ROWS($1:7)),),0))</f>
        <v>0</v>
      </c>
      <c r="I20" s="760">
        <f t="shared" ca="1" si="1"/>
        <v>0</v>
      </c>
      <c r="J20" s="761"/>
      <c r="K20" s="762"/>
    </row>
    <row r="21" spans="1:11" ht="16.5" customHeight="1">
      <c r="A21" s="763" t="str">
        <f t="shared" ca="1" si="2"/>
        <v/>
      </c>
      <c r="B21" s="757" t="str">
        <f ca="1">IF(ROWS($1:8)&gt;COUNT(Dong12),"",OFFSET(TH!E$1,SMALL(Dong12,ROWS($1:8)),))</f>
        <v/>
      </c>
      <c r="C21" s="971" t="str">
        <f ca="1">IF(ROWS($1:8)&gt;COUNT(Dong12),"",IF(MID(OFFSET(TH!D$1,SMALL(Dong12,ROWS($1:8)),),4,1)="N",OFFSET(TH!D$1,SMALL(Dong12,ROWS($1:8)),),""))</f>
        <v/>
      </c>
      <c r="D21" s="757" t="str">
        <f ca="1">IF(ROWS($1:8)&gt;COUNT(Dong12),"",IF(MID(OFFSET(TH!D$1,SMALL(Dong12,ROWS($1:8)),),4,1)="X",OFFSET(TH!D$1,SMALL(Dong12,ROWS($1:8)),),""))</f>
        <v/>
      </c>
      <c r="E21" s="758" t="str">
        <f ca="1">IF(ROWS($1:8)&gt;COUNT(Dong12),"",OFFSET(TH!F$1,SMALL(Dong12,ROWS($1:8)),)&amp;" - "&amp;OFFSET(TH!H$1,SMALL(Dong12,ROWS($1:8)),))</f>
        <v/>
      </c>
      <c r="F21" s="757" t="str">
        <f t="shared" ca="1" si="0"/>
        <v/>
      </c>
      <c r="G21" s="759">
        <f ca="1">IF(ROWS($1:8)&gt;COUNT(Dong12),0,IF(MID(OFFSET(TH!D$1,SMALL(Dong12,ROWS($1:8)),),4,1)="N",OFFSET(TH!I$1,SMALL(Dong12,ROWS($1:8)),),0))</f>
        <v>0</v>
      </c>
      <c r="H21" s="759">
        <f ca="1">IF(ROWS($1:8)&gt;COUNT(Dong12),0,IF(MID(OFFSET(TH!D$1,SMALL(Dong12,ROWS($1:8)),),4,1)="X",OFFSET(TH!I$1,SMALL(Dong12,ROWS($1:8)),),0))</f>
        <v>0</v>
      </c>
      <c r="I21" s="760">
        <f t="shared" ca="1" si="1"/>
        <v>0</v>
      </c>
      <c r="J21" s="761"/>
      <c r="K21" s="762"/>
    </row>
    <row r="22" spans="1:11" ht="16.5" customHeight="1">
      <c r="A22" s="763" t="str">
        <f t="shared" ca="1" si="2"/>
        <v/>
      </c>
      <c r="B22" s="757" t="str">
        <f ca="1">IF(ROWS($1:9)&gt;COUNT(Dong12),"",OFFSET(TH!E$1,SMALL(Dong12,ROWS($1:9)),))</f>
        <v/>
      </c>
      <c r="C22" s="971" t="str">
        <f ca="1">IF(ROWS($1:9)&gt;COUNT(Dong12),"",IF(MID(OFFSET(TH!D$1,SMALL(Dong12,ROWS($1:9)),),4,1)="N",OFFSET(TH!D$1,SMALL(Dong12,ROWS($1:9)),),""))</f>
        <v/>
      </c>
      <c r="D22" s="757" t="str">
        <f ca="1">IF(ROWS($1:9)&gt;COUNT(Dong12),"",IF(MID(OFFSET(TH!D$1,SMALL(Dong12,ROWS($1:9)),),4,1)="X",OFFSET(TH!D$1,SMALL(Dong12,ROWS($1:9)),),""))</f>
        <v/>
      </c>
      <c r="E22" s="758" t="str">
        <f ca="1">IF(ROWS($1:9)&gt;COUNT(Dong12),"",OFFSET(TH!F$1,SMALL(Dong12,ROWS($1:9)),)&amp;" - "&amp;OFFSET(TH!H$1,SMALL(Dong12,ROWS($1:9)),))</f>
        <v/>
      </c>
      <c r="F22" s="757" t="str">
        <f t="shared" ca="1" si="0"/>
        <v/>
      </c>
      <c r="G22" s="759">
        <f ca="1">IF(ROWS($1:9)&gt;COUNT(Dong12),0,IF(MID(OFFSET(TH!D$1,SMALL(Dong12,ROWS($1:9)),),4,1)="N",OFFSET(TH!I$1,SMALL(Dong12,ROWS($1:9)),),0))</f>
        <v>0</v>
      </c>
      <c r="H22" s="759">
        <f ca="1">IF(ROWS($1:9)&gt;COUNT(Dong12),0,IF(MID(OFFSET(TH!D$1,SMALL(Dong12,ROWS($1:9)),),4,1)="X",OFFSET(TH!I$1,SMALL(Dong12,ROWS($1:9)),),0))</f>
        <v>0</v>
      </c>
      <c r="I22" s="760">
        <f t="shared" ca="1" si="1"/>
        <v>0</v>
      </c>
      <c r="J22" s="761"/>
      <c r="K22" s="762"/>
    </row>
    <row r="23" spans="1:11" ht="16.5" customHeight="1">
      <c r="A23" s="763" t="str">
        <f t="shared" ca="1" si="2"/>
        <v/>
      </c>
      <c r="B23" s="757" t="str">
        <f ca="1">IF(ROWS($1:10)&gt;COUNT(Dong12),"",OFFSET(TH!E$1,SMALL(Dong12,ROWS($1:10)),))</f>
        <v/>
      </c>
      <c r="C23" s="971" t="str">
        <f ca="1">IF(ROWS($1:10)&gt;COUNT(Dong12),"",IF(MID(OFFSET(TH!D$1,SMALL(Dong12,ROWS($1:10)),),4,1)="N",OFFSET(TH!D$1,SMALL(Dong12,ROWS($1:10)),),""))</f>
        <v/>
      </c>
      <c r="D23" s="757" t="str">
        <f ca="1">IF(ROWS($1:10)&gt;COUNT(Dong12),"",IF(MID(OFFSET(TH!D$1,SMALL(Dong12,ROWS($1:10)),),4,1)="X",OFFSET(TH!D$1,SMALL(Dong12,ROWS($1:10)),),""))</f>
        <v/>
      </c>
      <c r="E23" s="758" t="str">
        <f ca="1">IF(ROWS($1:10)&gt;COUNT(Dong12),"",OFFSET(TH!F$1,SMALL(Dong12,ROWS($1:10)),)&amp;" - "&amp;OFFSET(TH!H$1,SMALL(Dong12,ROWS($1:10)),))</f>
        <v/>
      </c>
      <c r="F23" s="757" t="str">
        <f t="shared" ca="1" si="0"/>
        <v/>
      </c>
      <c r="G23" s="759">
        <f ca="1">IF(ROWS($1:10)&gt;COUNT(Dong12),0,IF(MID(OFFSET(TH!D$1,SMALL(Dong12,ROWS($1:10)),),4,1)="N",OFFSET(TH!I$1,SMALL(Dong12,ROWS($1:10)),),0))</f>
        <v>0</v>
      </c>
      <c r="H23" s="759">
        <f ca="1">IF(ROWS($1:10)&gt;COUNT(Dong12),0,IF(MID(OFFSET(TH!D$1,SMALL(Dong12,ROWS($1:10)),),4,1)="X",OFFSET(TH!I$1,SMALL(Dong12,ROWS($1:10)),),0))</f>
        <v>0</v>
      </c>
      <c r="I23" s="760">
        <f t="shared" ca="1" si="1"/>
        <v>0</v>
      </c>
      <c r="J23" s="761"/>
      <c r="K23" s="762"/>
    </row>
    <row r="24" spans="1:11" ht="16.5" customHeight="1">
      <c r="A24" s="763" t="str">
        <f t="shared" ca="1" si="2"/>
        <v/>
      </c>
      <c r="B24" s="757" t="str">
        <f ca="1">IF(ROWS($1:11)&gt;COUNT(Dong12),"",OFFSET(TH!E$1,SMALL(Dong12,ROWS($1:11)),))</f>
        <v/>
      </c>
      <c r="C24" s="971" t="str">
        <f ca="1">IF(ROWS($1:11)&gt;COUNT(Dong12),"",IF(MID(OFFSET(TH!D$1,SMALL(Dong12,ROWS($1:11)),),4,1)="N",OFFSET(TH!D$1,SMALL(Dong12,ROWS($1:11)),),""))</f>
        <v/>
      </c>
      <c r="D24" s="757" t="str">
        <f ca="1">IF(ROWS($1:11)&gt;COUNT(Dong12),"",IF(MID(OFFSET(TH!D$1,SMALL(Dong12,ROWS($1:11)),),4,1)="X",OFFSET(TH!D$1,SMALL(Dong12,ROWS($1:11)),),""))</f>
        <v/>
      </c>
      <c r="E24" s="758" t="str">
        <f ca="1">IF(ROWS($1:11)&gt;COUNT(Dong12),"",OFFSET(TH!F$1,SMALL(Dong12,ROWS($1:11)),)&amp;" - "&amp;OFFSET(TH!H$1,SMALL(Dong12,ROWS($1:11)),))</f>
        <v/>
      </c>
      <c r="F24" s="757" t="str">
        <f t="shared" ca="1" si="0"/>
        <v/>
      </c>
      <c r="G24" s="759">
        <f ca="1">IF(ROWS($1:11)&gt;COUNT(Dong12),0,IF(MID(OFFSET(TH!D$1,SMALL(Dong12,ROWS($1:11)),),4,1)="N",OFFSET(TH!I$1,SMALL(Dong12,ROWS($1:11)),),0))</f>
        <v>0</v>
      </c>
      <c r="H24" s="759">
        <f ca="1">IF(ROWS($1:11)&gt;COUNT(Dong12),0,IF(MID(OFFSET(TH!D$1,SMALL(Dong12,ROWS($1:11)),),4,1)="X",OFFSET(TH!I$1,SMALL(Dong12,ROWS($1:11)),),0))</f>
        <v>0</v>
      </c>
      <c r="I24" s="760">
        <f t="shared" ca="1" si="1"/>
        <v>0</v>
      </c>
      <c r="J24" s="761"/>
      <c r="K24" s="762"/>
    </row>
    <row r="25" spans="1:11" ht="16.5" customHeight="1">
      <c r="A25" s="763" t="str">
        <f t="shared" ca="1" si="2"/>
        <v/>
      </c>
      <c r="B25" s="757" t="str">
        <f ca="1">IF(ROWS($1:12)&gt;COUNT(Dong12),"",OFFSET(TH!E$1,SMALL(Dong12,ROWS($1:12)),))</f>
        <v/>
      </c>
      <c r="C25" s="971" t="str">
        <f ca="1">IF(ROWS($1:12)&gt;COUNT(Dong12),"",IF(MID(OFFSET(TH!D$1,SMALL(Dong12,ROWS($1:12)),),4,1)="N",OFFSET(TH!D$1,SMALL(Dong12,ROWS($1:12)),),""))</f>
        <v/>
      </c>
      <c r="D25" s="757" t="str">
        <f ca="1">IF(ROWS($1:12)&gt;COUNT(Dong12),"",IF(MID(OFFSET(TH!D$1,SMALL(Dong12,ROWS($1:12)),),4,1)="X",OFFSET(TH!D$1,SMALL(Dong12,ROWS($1:12)),),""))</f>
        <v/>
      </c>
      <c r="E25" s="758" t="str">
        <f ca="1">IF(ROWS($1:12)&gt;COUNT(Dong12),"",OFFSET(TH!F$1,SMALL(Dong12,ROWS($1:12)),)&amp;" - "&amp;OFFSET(TH!H$1,SMALL(Dong12,ROWS($1:12)),))</f>
        <v/>
      </c>
      <c r="F25" s="757" t="str">
        <f t="shared" ca="1" si="0"/>
        <v/>
      </c>
      <c r="G25" s="759">
        <f ca="1">IF(ROWS($1:12)&gt;COUNT(Dong12),0,IF(MID(OFFSET(TH!D$1,SMALL(Dong12,ROWS($1:12)),),4,1)="N",OFFSET(TH!I$1,SMALL(Dong12,ROWS($1:12)),),0))</f>
        <v>0</v>
      </c>
      <c r="H25" s="759">
        <f ca="1">IF(ROWS($1:12)&gt;COUNT(Dong12),0,IF(MID(OFFSET(TH!D$1,SMALL(Dong12,ROWS($1:12)),),4,1)="X",OFFSET(TH!I$1,SMALL(Dong12,ROWS($1:12)),),0))</f>
        <v>0</v>
      </c>
      <c r="I25" s="760">
        <f t="shared" ca="1" si="1"/>
        <v>0</v>
      </c>
      <c r="J25" s="761"/>
      <c r="K25" s="762"/>
    </row>
    <row r="26" spans="1:11" ht="16.5" customHeight="1">
      <c r="A26" s="763" t="str">
        <f t="shared" ca="1" si="2"/>
        <v/>
      </c>
      <c r="B26" s="757" t="str">
        <f ca="1">IF(ROWS($1:13)&gt;COUNT(Dong12),"",OFFSET(TH!E$1,SMALL(Dong12,ROWS($1:13)),))</f>
        <v/>
      </c>
      <c r="C26" s="971" t="str">
        <f ca="1">IF(ROWS($1:13)&gt;COUNT(Dong12),"",IF(MID(OFFSET(TH!D$1,SMALL(Dong12,ROWS($1:13)),),4,1)="N",OFFSET(TH!D$1,SMALL(Dong12,ROWS($1:13)),),""))</f>
        <v/>
      </c>
      <c r="D26" s="757" t="str">
        <f ca="1">IF(ROWS($1:13)&gt;COUNT(Dong12),"",IF(MID(OFFSET(TH!D$1,SMALL(Dong12,ROWS($1:13)),),4,1)="X",OFFSET(TH!D$1,SMALL(Dong12,ROWS($1:13)),),""))</f>
        <v/>
      </c>
      <c r="E26" s="758" t="str">
        <f ca="1">IF(ROWS($1:13)&gt;COUNT(Dong12),"",OFFSET(TH!F$1,SMALL(Dong12,ROWS($1:13)),)&amp;" - "&amp;OFFSET(TH!H$1,SMALL(Dong12,ROWS($1:13)),))</f>
        <v/>
      </c>
      <c r="F26" s="757" t="str">
        <f t="shared" ca="1" si="0"/>
        <v/>
      </c>
      <c r="G26" s="759">
        <f ca="1">IF(ROWS($1:13)&gt;COUNT(Dong12),0,IF(MID(OFFSET(TH!D$1,SMALL(Dong12,ROWS($1:13)),),4,1)="N",OFFSET(TH!I$1,SMALL(Dong12,ROWS($1:13)),),0))</f>
        <v>0</v>
      </c>
      <c r="H26" s="759">
        <f ca="1">IF(ROWS($1:13)&gt;COUNT(Dong12),0,IF(MID(OFFSET(TH!D$1,SMALL(Dong12,ROWS($1:13)),),4,1)="X",OFFSET(TH!I$1,SMALL(Dong12,ROWS($1:13)),),0))</f>
        <v>0</v>
      </c>
      <c r="I26" s="760">
        <f t="shared" ca="1" si="1"/>
        <v>0</v>
      </c>
      <c r="J26" s="761"/>
      <c r="K26" s="762"/>
    </row>
    <row r="27" spans="1:11" ht="16.5" customHeight="1">
      <c r="A27" s="763" t="str">
        <f t="shared" ca="1" si="2"/>
        <v/>
      </c>
      <c r="B27" s="757" t="str">
        <f ca="1">IF(ROWS($1:14)&gt;COUNT(Dong12),"",OFFSET(TH!E$1,SMALL(Dong12,ROWS($1:14)),))</f>
        <v/>
      </c>
      <c r="C27" s="971" t="str">
        <f ca="1">IF(ROWS($1:14)&gt;COUNT(Dong12),"",IF(MID(OFFSET(TH!D$1,SMALL(Dong12,ROWS($1:14)),),4,1)="N",OFFSET(TH!D$1,SMALL(Dong12,ROWS($1:14)),),""))</f>
        <v/>
      </c>
      <c r="D27" s="757" t="str">
        <f ca="1">IF(ROWS($1:14)&gt;COUNT(Dong12),"",IF(MID(OFFSET(TH!D$1,SMALL(Dong12,ROWS($1:14)),),4,1)="X",OFFSET(TH!D$1,SMALL(Dong12,ROWS($1:14)),),""))</f>
        <v/>
      </c>
      <c r="E27" s="758" t="str">
        <f ca="1">IF(ROWS($1:14)&gt;COUNT(Dong12),"",OFFSET(TH!F$1,SMALL(Dong12,ROWS($1:14)),)&amp;" - "&amp;OFFSET(TH!H$1,SMALL(Dong12,ROWS($1:14)),))</f>
        <v/>
      </c>
      <c r="F27" s="757" t="str">
        <f t="shared" ca="1" si="0"/>
        <v/>
      </c>
      <c r="G27" s="759">
        <f ca="1">IF(ROWS($1:14)&gt;COUNT(Dong12),0,IF(MID(OFFSET(TH!D$1,SMALL(Dong12,ROWS($1:14)),),4,1)="N",OFFSET(TH!I$1,SMALL(Dong12,ROWS($1:14)),),0))</f>
        <v>0</v>
      </c>
      <c r="H27" s="759">
        <f ca="1">IF(ROWS($1:14)&gt;COUNT(Dong12),0,IF(MID(OFFSET(TH!D$1,SMALL(Dong12,ROWS($1:14)),),4,1)="X",OFFSET(TH!I$1,SMALL(Dong12,ROWS($1:14)),),0))</f>
        <v>0</v>
      </c>
      <c r="I27" s="760">
        <f t="shared" ca="1" si="1"/>
        <v>0</v>
      </c>
      <c r="J27" s="761"/>
      <c r="K27" s="762"/>
    </row>
    <row r="28" spans="1:11" ht="16.5" customHeight="1">
      <c r="A28" s="763" t="str">
        <f t="shared" ca="1" si="2"/>
        <v/>
      </c>
      <c r="B28" s="757" t="str">
        <f ca="1">IF(ROWS($1:15)&gt;COUNT(Dong12),"",OFFSET(TH!E$1,SMALL(Dong12,ROWS($1:15)),))</f>
        <v/>
      </c>
      <c r="C28" s="971" t="str">
        <f ca="1">IF(ROWS($1:15)&gt;COUNT(Dong12),"",IF(MID(OFFSET(TH!D$1,SMALL(Dong12,ROWS($1:15)),),4,1)="N",OFFSET(TH!D$1,SMALL(Dong12,ROWS($1:15)),),""))</f>
        <v/>
      </c>
      <c r="D28" s="757" t="str">
        <f ca="1">IF(ROWS($1:15)&gt;COUNT(Dong12),"",IF(MID(OFFSET(TH!D$1,SMALL(Dong12,ROWS($1:15)),),4,1)="X",OFFSET(TH!D$1,SMALL(Dong12,ROWS($1:15)),),""))</f>
        <v/>
      </c>
      <c r="E28" s="758" t="str">
        <f ca="1">IF(ROWS($1:15)&gt;COUNT(Dong12),"",OFFSET(TH!F$1,SMALL(Dong12,ROWS($1:15)),)&amp;" - "&amp;OFFSET(TH!H$1,SMALL(Dong12,ROWS($1:15)),))</f>
        <v/>
      </c>
      <c r="F28" s="757" t="str">
        <f t="shared" ca="1" si="0"/>
        <v/>
      </c>
      <c r="G28" s="759">
        <f ca="1">IF(ROWS($1:15)&gt;COUNT(Dong12),0,IF(MID(OFFSET(TH!D$1,SMALL(Dong12,ROWS($1:15)),),4,1)="N",OFFSET(TH!I$1,SMALL(Dong12,ROWS($1:15)),),0))</f>
        <v>0</v>
      </c>
      <c r="H28" s="759">
        <f ca="1">IF(ROWS($1:15)&gt;COUNT(Dong12),0,IF(MID(OFFSET(TH!D$1,SMALL(Dong12,ROWS($1:15)),),4,1)="X",OFFSET(TH!I$1,SMALL(Dong12,ROWS($1:15)),),0))</f>
        <v>0</v>
      </c>
      <c r="I28" s="760">
        <f t="shared" ca="1" si="1"/>
        <v>0</v>
      </c>
      <c r="J28" s="761"/>
      <c r="K28" s="762"/>
    </row>
    <row r="29" spans="1:11" ht="16.5" customHeight="1">
      <c r="A29" s="763" t="str">
        <f t="shared" ca="1" si="2"/>
        <v/>
      </c>
      <c r="B29" s="757" t="str">
        <f ca="1">IF(ROWS($1:16)&gt;COUNT(Dong12),"",OFFSET(TH!E$1,SMALL(Dong12,ROWS($1:16)),))</f>
        <v/>
      </c>
      <c r="C29" s="971" t="str">
        <f ca="1">IF(ROWS($1:16)&gt;COUNT(Dong12),"",IF(MID(OFFSET(TH!D$1,SMALL(Dong12,ROWS($1:16)),),4,1)="N",OFFSET(TH!D$1,SMALL(Dong12,ROWS($1:16)),),""))</f>
        <v/>
      </c>
      <c r="D29" s="757" t="str">
        <f ca="1">IF(ROWS($1:16)&gt;COUNT(Dong12),"",IF(MID(OFFSET(TH!D$1,SMALL(Dong12,ROWS($1:16)),),4,1)="X",OFFSET(TH!D$1,SMALL(Dong12,ROWS($1:16)),),""))</f>
        <v/>
      </c>
      <c r="E29" s="758" t="str">
        <f ca="1">IF(ROWS($1:16)&gt;COUNT(Dong12),"",OFFSET(TH!F$1,SMALL(Dong12,ROWS($1:16)),)&amp;" - "&amp;OFFSET(TH!H$1,SMALL(Dong12,ROWS($1:16)),))</f>
        <v/>
      </c>
      <c r="F29" s="757" t="str">
        <f t="shared" ca="1" si="0"/>
        <v/>
      </c>
      <c r="G29" s="759">
        <f ca="1">IF(ROWS($1:16)&gt;COUNT(Dong12),0,IF(MID(OFFSET(TH!D$1,SMALL(Dong12,ROWS($1:16)),),4,1)="N",OFFSET(TH!I$1,SMALL(Dong12,ROWS($1:16)),),0))</f>
        <v>0</v>
      </c>
      <c r="H29" s="759">
        <f ca="1">IF(ROWS($1:16)&gt;COUNT(Dong12),0,IF(MID(OFFSET(TH!D$1,SMALL(Dong12,ROWS($1:16)),),4,1)="X",OFFSET(TH!I$1,SMALL(Dong12,ROWS($1:16)),),0))</f>
        <v>0</v>
      </c>
      <c r="I29" s="760">
        <f t="shared" ca="1" si="1"/>
        <v>0</v>
      </c>
      <c r="J29" s="761"/>
      <c r="K29" s="762"/>
    </row>
    <row r="30" spans="1:11" ht="16.5" customHeight="1">
      <c r="A30" s="763" t="str">
        <f t="shared" ca="1" si="2"/>
        <v/>
      </c>
      <c r="B30" s="757" t="str">
        <f ca="1">IF(ROWS($1:17)&gt;COUNT(Dong12),"",OFFSET(TH!E$1,SMALL(Dong12,ROWS($1:17)),))</f>
        <v/>
      </c>
      <c r="C30" s="971" t="str">
        <f ca="1">IF(ROWS($1:17)&gt;COUNT(Dong12),"",IF(MID(OFFSET(TH!D$1,SMALL(Dong12,ROWS($1:17)),),4,1)="N",OFFSET(TH!D$1,SMALL(Dong12,ROWS($1:17)),),""))</f>
        <v/>
      </c>
      <c r="D30" s="757" t="str">
        <f ca="1">IF(ROWS($1:17)&gt;COUNT(Dong12),"",IF(MID(OFFSET(TH!D$1,SMALL(Dong12,ROWS($1:17)),),4,1)="X",OFFSET(TH!D$1,SMALL(Dong12,ROWS($1:17)),),""))</f>
        <v/>
      </c>
      <c r="E30" s="758" t="str">
        <f ca="1">IF(ROWS($1:17)&gt;COUNT(Dong12),"",OFFSET(TH!F$1,SMALL(Dong12,ROWS($1:17)),)&amp;" - "&amp;OFFSET(TH!H$1,SMALL(Dong12,ROWS($1:17)),))</f>
        <v/>
      </c>
      <c r="F30" s="757" t="str">
        <f t="shared" ca="1" si="0"/>
        <v/>
      </c>
      <c r="G30" s="759">
        <f ca="1">IF(ROWS($1:17)&gt;COUNT(Dong12),0,IF(MID(OFFSET(TH!D$1,SMALL(Dong12,ROWS($1:17)),),4,1)="N",OFFSET(TH!I$1,SMALL(Dong12,ROWS($1:17)),),0))</f>
        <v>0</v>
      </c>
      <c r="H30" s="759">
        <f ca="1">IF(ROWS($1:17)&gt;COUNT(Dong12),0,IF(MID(OFFSET(TH!D$1,SMALL(Dong12,ROWS($1:17)),),4,1)="X",OFFSET(TH!I$1,SMALL(Dong12,ROWS($1:17)),),0))</f>
        <v>0</v>
      </c>
      <c r="I30" s="760">
        <f t="shared" ca="1" si="1"/>
        <v>0</v>
      </c>
      <c r="J30" s="761"/>
      <c r="K30" s="762"/>
    </row>
    <row r="31" spans="1:11" ht="16.5" customHeight="1">
      <c r="A31" s="764" t="str">
        <f>IF(D31&lt;&gt;"",A21+1,"")</f>
        <v/>
      </c>
      <c r="B31" s="765"/>
      <c r="C31" s="766"/>
      <c r="D31" s="766"/>
      <c r="E31" s="767"/>
      <c r="F31" s="765"/>
      <c r="G31" s="768"/>
      <c r="H31" s="768"/>
      <c r="I31" s="768"/>
      <c r="J31" s="769"/>
      <c r="K31" s="762"/>
    </row>
    <row r="32" spans="1:11" ht="16.5" customHeight="1">
      <c r="A32" s="751"/>
      <c r="B32" s="770"/>
      <c r="C32" s="751"/>
      <c r="D32" s="751"/>
      <c r="E32" s="752" t="s">
        <v>680</v>
      </c>
      <c r="F32" s="771" t="s">
        <v>26</v>
      </c>
      <c r="G32" s="772">
        <f ca="1">SUM(G14:G31)</f>
        <v>500</v>
      </c>
      <c r="H32" s="772">
        <f ca="1">SUM(H14:H31)</f>
        <v>0</v>
      </c>
      <c r="I32" s="772">
        <f ca="1">I13+G32-H32</f>
        <v>500</v>
      </c>
      <c r="J32" s="751" t="s">
        <v>26</v>
      </c>
      <c r="K32" s="773"/>
    </row>
    <row r="33" spans="1:11" ht="12.75" customHeight="1">
      <c r="A33" s="774"/>
      <c r="B33" s="728"/>
      <c r="C33" s="774"/>
      <c r="D33" s="774"/>
      <c r="E33" s="736"/>
      <c r="F33" s="728"/>
      <c r="G33" s="737"/>
      <c r="H33" s="737"/>
      <c r="I33" s="737"/>
      <c r="J33" s="723"/>
      <c r="K33" s="723"/>
    </row>
    <row r="34" spans="1:11" ht="15">
      <c r="A34" s="775" t="s">
        <v>681</v>
      </c>
      <c r="B34" s="775"/>
      <c r="C34" s="776"/>
      <c r="D34" s="776"/>
      <c r="E34" s="736"/>
      <c r="F34" s="728"/>
      <c r="G34" s="737"/>
      <c r="H34" s="737"/>
      <c r="I34" s="737"/>
      <c r="J34" s="723"/>
      <c r="K34" s="723"/>
    </row>
    <row r="35" spans="1:11" ht="15">
      <c r="A35" s="1229"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30"/>
      <c r="C35" s="1230"/>
      <c r="D35" s="1230"/>
      <c r="E35" s="1230"/>
      <c r="F35" s="728"/>
      <c r="G35" s="737"/>
      <c r="H35" s="737"/>
      <c r="I35" s="737"/>
      <c r="J35" s="723"/>
      <c r="K35" s="723"/>
    </row>
    <row r="36" spans="1:11" ht="15">
      <c r="A36" s="777"/>
      <c r="B36" s="778"/>
      <c r="C36" s="779"/>
      <c r="D36" s="774"/>
      <c r="E36" s="736"/>
      <c r="F36" s="728"/>
      <c r="G36" s="1200" t="s">
        <v>634</v>
      </c>
      <c r="H36" s="1200"/>
      <c r="I36" s="1200"/>
      <c r="J36" s="1200"/>
      <c r="K36" s="629"/>
    </row>
    <row r="37" spans="1:11" ht="15">
      <c r="A37" s="777"/>
      <c r="B37" s="780" t="s">
        <v>682</v>
      </c>
      <c r="C37" s="777"/>
      <c r="D37" s="774"/>
      <c r="E37" s="1231" t="s">
        <v>15</v>
      </c>
      <c r="F37" s="1231"/>
      <c r="G37" s="737"/>
      <c r="H37" s="1232" t="s">
        <v>206</v>
      </c>
      <c r="I37" s="1232"/>
      <c r="J37" s="1232"/>
      <c r="K37" s="777"/>
    </row>
    <row r="38" spans="1:11" ht="15">
      <c r="A38" s="781"/>
      <c r="B38" s="782" t="s">
        <v>16</v>
      </c>
      <c r="C38" s="781"/>
      <c r="D38" s="783"/>
      <c r="E38" s="1224" t="s">
        <v>16</v>
      </c>
      <c r="F38" s="1224"/>
      <c r="G38" s="737"/>
      <c r="H38" s="1225" t="s">
        <v>241</v>
      </c>
      <c r="I38" s="1225"/>
      <c r="J38" s="1225"/>
      <c r="K38" s="781"/>
    </row>
    <row r="39" spans="1:11" ht="15">
      <c r="A39" s="781"/>
      <c r="B39" s="782"/>
      <c r="C39" s="781"/>
      <c r="D39" s="774"/>
      <c r="E39" s="784"/>
      <c r="F39" s="785"/>
      <c r="G39" s="737"/>
      <c r="H39" s="781"/>
      <c r="I39" s="781"/>
      <c r="J39" s="781"/>
      <c r="K39" s="781"/>
    </row>
    <row r="40" spans="1:11" ht="15">
      <c r="A40" s="781"/>
      <c r="B40" s="782"/>
      <c r="C40" s="781"/>
      <c r="D40" s="774"/>
      <c r="E40" s="784"/>
      <c r="F40" s="785"/>
      <c r="G40" s="737"/>
      <c r="H40" s="781"/>
      <c r="I40" s="781"/>
      <c r="J40" s="781"/>
      <c r="K40" s="781"/>
    </row>
    <row r="41" spans="1:11" ht="15">
      <c r="A41" s="781"/>
      <c r="B41" s="782"/>
      <c r="C41" s="781"/>
      <c r="D41" s="774"/>
      <c r="E41" s="784"/>
      <c r="F41" s="785"/>
      <c r="G41" s="737"/>
      <c r="H41" s="781"/>
      <c r="I41" s="781"/>
      <c r="J41" s="781"/>
      <c r="K41" s="781"/>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2" customWidth="1"/>
    <col min="2" max="2" width="26.85546875" style="790" customWidth="1"/>
    <col min="3" max="3" width="5.85546875" style="790" customWidth="1"/>
    <col min="4" max="4" width="8" style="790" customWidth="1"/>
    <col min="5" max="5" width="25.42578125" style="790" customWidth="1"/>
    <col min="6" max="6" width="10.7109375" style="790" bestFit="1" customWidth="1"/>
    <col min="7" max="7" width="16.42578125" style="790" customWidth="1"/>
    <col min="8" max="8" width="7.85546875" style="794" customWidth="1"/>
    <col min="9" max="9" width="9" style="794" customWidth="1"/>
    <col min="10" max="10" width="13.140625" style="790" customWidth="1"/>
    <col min="11" max="12" width="6.7109375" style="790" customWidth="1"/>
    <col min="13" max="13" width="7.140625" style="791" customWidth="1"/>
    <col min="14" max="14" width="18.7109375" style="791" customWidth="1"/>
    <col min="15" max="85" width="10.28515625" style="791" customWidth="1"/>
    <col min="86" max="16384" width="9.140625" style="790"/>
  </cols>
  <sheetData>
    <row r="1" spans="1:86" ht="15.95" customHeight="1">
      <c r="A1" s="1238" t="s">
        <v>683</v>
      </c>
      <c r="B1" s="1238"/>
      <c r="C1" s="1238"/>
      <c r="D1" s="1238"/>
      <c r="E1" s="1238"/>
      <c r="F1" s="1238"/>
      <c r="G1" s="1238"/>
      <c r="H1" s="1238"/>
      <c r="I1" s="1238"/>
      <c r="J1" s="1239" t="s">
        <v>684</v>
      </c>
      <c r="K1" s="1240"/>
      <c r="M1" s="790"/>
      <c r="CH1" s="791"/>
    </row>
    <row r="2" spans="1:86" ht="15.95" customHeight="1">
      <c r="A2" s="1238"/>
      <c r="B2" s="1238"/>
      <c r="C2" s="1238"/>
      <c r="D2" s="1238"/>
      <c r="E2" s="1238"/>
      <c r="F2" s="1238"/>
      <c r="G2" s="1238"/>
      <c r="H2" s="1238"/>
      <c r="I2" s="1238"/>
      <c r="J2" s="1241"/>
      <c r="K2" s="1242"/>
      <c r="M2" s="790"/>
      <c r="CH2" s="791"/>
    </row>
    <row r="3" spans="1:86" ht="12.75" customHeight="1">
      <c r="A3" s="1238"/>
      <c r="B3" s="1238"/>
      <c r="C3" s="1238"/>
      <c r="D3" s="1238"/>
      <c r="E3" s="1238"/>
      <c r="F3" s="1238"/>
      <c r="G3" s="1238"/>
      <c r="H3" s="1238"/>
      <c r="I3" s="1238"/>
      <c r="J3" s="1241"/>
      <c r="K3" s="1242"/>
      <c r="M3" s="790"/>
      <c r="CH3" s="791"/>
    </row>
    <row r="4" spans="1:86" ht="18" customHeight="1">
      <c r="A4" s="1245" t="str">
        <f>"( " &amp; IF(OR($M$11=1,$M$11=4,$M$11=6,$M$11=9,$M$11=11),"Ngày  30  tháng  "&amp;$M$11&amp;"  năm 2016",IF(OR($M$11=3,$M$11=5,$M$11=7,$M$11=8,$M$11=10,$M$11=12),"Ngày  31  tháng  "&amp;$M$11&amp;"  năm 2016","Ngày  29  tháng  "&amp;$M$11&amp;"  năm 2016")) &amp; " ) "</f>
        <v xml:space="preserve">( Ngày  30  tháng  1  năm 2016 ) </v>
      </c>
      <c r="B4" s="1245"/>
      <c r="C4" s="1245"/>
      <c r="D4" s="1245"/>
      <c r="E4" s="1245"/>
      <c r="F4" s="1245"/>
      <c r="G4" s="1245"/>
      <c r="H4" s="1245"/>
      <c r="I4" s="1245"/>
      <c r="J4" s="1243"/>
      <c r="K4" s="1244"/>
      <c r="M4" s="790"/>
      <c r="CH4" s="791"/>
    </row>
    <row r="5" spans="1:86" ht="15" hidden="1" customHeight="1">
      <c r="E5" s="793"/>
      <c r="F5" s="793"/>
    </row>
    <row r="6" spans="1:86" ht="18" customHeight="1">
      <c r="A6" s="792" t="s">
        <v>685</v>
      </c>
      <c r="G6" s="790" t="s">
        <v>686</v>
      </c>
    </row>
    <row r="7" spans="1:86" ht="18" customHeight="1">
      <c r="A7" s="792" t="s">
        <v>687</v>
      </c>
    </row>
    <row r="8" spans="1:86" ht="18" hidden="1" customHeight="1">
      <c r="A8" s="792" t="s">
        <v>688</v>
      </c>
    </row>
    <row r="9" spans="1:86" ht="18" hidden="1" customHeight="1">
      <c r="A9" s="792" t="s">
        <v>689</v>
      </c>
    </row>
    <row r="10" spans="1:86" ht="10.5" hidden="1" customHeight="1">
      <c r="M10" s="795"/>
    </row>
    <row r="11" spans="1:86" s="796" customFormat="1" ht="17.25" customHeight="1">
      <c r="A11" s="1246" t="s">
        <v>756</v>
      </c>
      <c r="B11" s="1248" t="s">
        <v>690</v>
      </c>
      <c r="C11" s="1249"/>
      <c r="D11" s="1249"/>
      <c r="E11" s="1249"/>
      <c r="F11" s="1250"/>
      <c r="G11" s="1251" t="s">
        <v>691</v>
      </c>
      <c r="H11" s="1251"/>
      <c r="I11" s="1251"/>
      <c r="J11" s="1251"/>
      <c r="K11" s="1252" t="s">
        <v>232</v>
      </c>
      <c r="M11" s="797">
        <v>1</v>
      </c>
      <c r="N11" s="798"/>
      <c r="O11" s="798"/>
      <c r="P11" s="798"/>
      <c r="Q11" s="798"/>
      <c r="R11" s="798"/>
      <c r="S11" s="798"/>
      <c r="T11" s="798"/>
      <c r="U11" s="798"/>
      <c r="V11" s="798"/>
      <c r="W11" s="798"/>
      <c r="X11" s="798"/>
      <c r="Y11" s="798"/>
      <c r="Z11" s="798"/>
      <c r="AA11" s="798"/>
      <c r="AB11" s="798"/>
      <c r="AC11" s="798"/>
      <c r="AD11" s="798"/>
      <c r="AE11" s="798"/>
      <c r="AF11" s="798"/>
      <c r="AG11" s="798"/>
      <c r="AH11" s="798"/>
      <c r="AI11" s="798"/>
      <c r="AJ11" s="798"/>
      <c r="AK11" s="798"/>
      <c r="AL11" s="798"/>
      <c r="AM11" s="798"/>
      <c r="AN11" s="798"/>
      <c r="AO11" s="798"/>
      <c r="AP11" s="798"/>
      <c r="AQ11" s="798"/>
      <c r="AR11" s="798"/>
      <c r="AS11" s="798"/>
      <c r="AT11" s="798"/>
      <c r="AU11" s="798"/>
      <c r="AV11" s="798"/>
      <c r="AW11" s="798"/>
      <c r="AX11" s="798"/>
      <c r="AY11" s="798"/>
      <c r="AZ11" s="798"/>
      <c r="BA11" s="798"/>
      <c r="BB11" s="798"/>
      <c r="BC11" s="798"/>
      <c r="BD11" s="798"/>
      <c r="BE11" s="798"/>
      <c r="BF11" s="798"/>
      <c r="BG11" s="798"/>
      <c r="BH11" s="798"/>
      <c r="BI11" s="798"/>
      <c r="BJ11" s="798"/>
      <c r="BK11" s="798"/>
      <c r="BL11" s="798"/>
      <c r="BM11" s="798"/>
      <c r="BN11" s="798"/>
      <c r="BO11" s="798"/>
      <c r="BP11" s="798"/>
      <c r="BQ11" s="798"/>
      <c r="BR11" s="798"/>
      <c r="BS11" s="798"/>
      <c r="BT11" s="798"/>
      <c r="BU11" s="798"/>
      <c r="BV11" s="798"/>
      <c r="BW11" s="798"/>
      <c r="BX11" s="798"/>
      <c r="BY11" s="798"/>
      <c r="BZ11" s="798"/>
      <c r="CA11" s="798"/>
      <c r="CB11" s="798"/>
      <c r="CC11" s="798"/>
      <c r="CD11" s="798"/>
      <c r="CE11" s="798"/>
      <c r="CF11" s="798"/>
      <c r="CG11" s="798"/>
    </row>
    <row r="12" spans="1:86" s="801" customFormat="1" ht="36" customHeight="1">
      <c r="A12" s="1247"/>
      <c r="B12" s="799" t="s">
        <v>692</v>
      </c>
      <c r="C12" s="799"/>
      <c r="D12" s="799" t="s">
        <v>693</v>
      </c>
      <c r="E12" s="799" t="s">
        <v>694</v>
      </c>
      <c r="F12" s="799" t="s">
        <v>695</v>
      </c>
      <c r="G12" s="799" t="s">
        <v>696</v>
      </c>
      <c r="H12" s="800" t="s">
        <v>645</v>
      </c>
      <c r="I12" s="800" t="s">
        <v>646</v>
      </c>
      <c r="J12" s="799" t="s">
        <v>697</v>
      </c>
      <c r="K12" s="1253"/>
      <c r="M12" s="802"/>
      <c r="N12" s="802"/>
      <c r="O12" s="802"/>
      <c r="P12" s="802"/>
      <c r="Q12" s="802"/>
      <c r="R12" s="802"/>
      <c r="S12" s="802"/>
      <c r="T12" s="802"/>
      <c r="U12" s="802"/>
      <c r="V12" s="802"/>
      <c r="W12" s="802"/>
      <c r="X12" s="802"/>
      <c r="Y12" s="802"/>
      <c r="Z12" s="802"/>
      <c r="AA12" s="802"/>
      <c r="AB12" s="802"/>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c r="BC12" s="802"/>
      <c r="BD12" s="802"/>
      <c r="BE12" s="802"/>
      <c r="BF12" s="802"/>
      <c r="BG12" s="802"/>
      <c r="BH12" s="802"/>
      <c r="BI12" s="802"/>
      <c r="BJ12" s="802"/>
      <c r="BK12" s="802"/>
      <c r="BL12" s="802"/>
      <c r="BM12" s="802"/>
      <c r="BN12" s="802"/>
      <c r="BO12" s="802"/>
      <c r="BP12" s="802"/>
      <c r="BQ12" s="802"/>
      <c r="BR12" s="802"/>
      <c r="BS12" s="802"/>
      <c r="BT12" s="802"/>
      <c r="BU12" s="802"/>
      <c r="BV12" s="802"/>
      <c r="BW12" s="802"/>
      <c r="BX12" s="802"/>
      <c r="BY12" s="802"/>
      <c r="BZ12" s="802"/>
      <c r="CA12" s="802"/>
      <c r="CB12" s="802"/>
      <c r="CC12" s="802"/>
      <c r="CD12" s="802"/>
      <c r="CE12" s="802"/>
      <c r="CF12" s="802"/>
      <c r="CG12" s="802"/>
    </row>
    <row r="13" spans="1:86" s="807" customFormat="1" ht="9.75" customHeight="1">
      <c r="A13" s="803" t="s">
        <v>260</v>
      </c>
      <c r="B13" s="804">
        <v>2</v>
      </c>
      <c r="C13" s="804"/>
      <c r="D13" s="804"/>
      <c r="E13" s="804">
        <v>3</v>
      </c>
      <c r="F13" s="804">
        <v>4</v>
      </c>
      <c r="G13" s="804">
        <v>5</v>
      </c>
      <c r="H13" s="805" t="s">
        <v>698</v>
      </c>
      <c r="I13" s="805" t="s">
        <v>699</v>
      </c>
      <c r="J13" s="804">
        <v>8</v>
      </c>
      <c r="K13" s="804">
        <v>9</v>
      </c>
      <c r="L13" s="806"/>
      <c r="M13" s="806"/>
      <c r="N13" s="806"/>
      <c r="O13" s="806"/>
      <c r="P13" s="806"/>
      <c r="Q13" s="806"/>
      <c r="R13" s="806"/>
      <c r="S13" s="806"/>
      <c r="T13" s="806"/>
      <c r="U13" s="806"/>
      <c r="V13" s="806"/>
      <c r="W13" s="806"/>
      <c r="X13" s="806"/>
      <c r="Y13" s="806"/>
      <c r="Z13" s="806"/>
      <c r="AA13" s="806"/>
      <c r="AB13" s="806"/>
      <c r="AC13" s="806"/>
      <c r="AD13" s="806"/>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c r="BC13" s="806"/>
      <c r="BD13" s="806"/>
      <c r="BE13" s="806"/>
      <c r="BF13" s="806"/>
      <c r="BG13" s="806"/>
      <c r="BH13" s="806"/>
      <c r="BI13" s="806"/>
      <c r="BJ13" s="806"/>
      <c r="BK13" s="806"/>
      <c r="BL13" s="806"/>
      <c r="BM13" s="806"/>
      <c r="BN13" s="806"/>
      <c r="BO13" s="806"/>
      <c r="BP13" s="806"/>
      <c r="BQ13" s="806"/>
      <c r="BR13" s="806"/>
      <c r="BS13" s="806"/>
      <c r="BT13" s="806"/>
      <c r="BU13" s="806"/>
      <c r="BV13" s="806"/>
      <c r="BW13" s="806"/>
      <c r="BX13" s="806"/>
      <c r="BY13" s="806"/>
      <c r="BZ13" s="806"/>
      <c r="CA13" s="806"/>
      <c r="CB13" s="806"/>
      <c r="CC13" s="806"/>
      <c r="CD13" s="806"/>
      <c r="CE13" s="806"/>
      <c r="CF13" s="806"/>
      <c r="CG13" s="806"/>
    </row>
    <row r="14" spans="1:86" s="814" customFormat="1" ht="21.75" customHeight="1">
      <c r="A14" s="254" t="str">
        <f ca="1">IF(ROWS($1:1)&gt;COUNT(Dong13),"",OFFSET(TH!E$1,SMALL(Dong13,ROWS($1:1)),))</f>
        <v/>
      </c>
      <c r="B14" s="264" t="str">
        <f ca="1">IF(ROWS($1:1)&gt;COUNT(Dong13),"",OFFSET(TH!H$1,SMALL(Dong13,ROWS($1:1)),))</f>
        <v/>
      </c>
      <c r="C14" s="808" t="str">
        <f t="shared" ref="C14:C40" ca="1" si="0">IF(ISNA(VLOOKUP($B14,DSNL,6,0)),"",VLOOKUP($B14,DSNL,6,0))</f>
        <v/>
      </c>
      <c r="D14" s="808" t="str">
        <f ca="1">IF(ROWS($1:1)&gt;COUNT(Dong13),"",OFFSET(TH!D$1,SMALL(Dong13,ROWS($1:1)),))</f>
        <v/>
      </c>
      <c r="E14" s="809" t="str">
        <f t="shared" ref="E14:E40" ca="1" si="1">IF(ISNA(VLOOKUP($B14,DSNL,4,0)),"",VLOOKUP($B14,DSNL,4,0))</f>
        <v/>
      </c>
      <c r="F14" s="809" t="str">
        <f t="shared" ref="F14:F40" ca="1" si="2">IF(ISNA(VLOOKUP($B14,DSNL,3,0)),"",VLOOKUP($B14,DSNL,3,0))</f>
        <v/>
      </c>
      <c r="G14" s="810" t="str">
        <f ca="1">IF(ROWS($1:1)&gt;COUNT(Dong13),"",OFFSET(TH!F$1,SMALL(Dong13,ROWS($1:1)),))</f>
        <v/>
      </c>
      <c r="H14" s="811" t="str">
        <f ca="1">IF(ROWS($1:1)&gt;COUNT(Dong13),"",OFFSET(TH!I$1,SMALL(Dong13,ROWS($1:1)),))</f>
        <v/>
      </c>
      <c r="I14" s="811" t="str">
        <f ca="1">IF(ROWS($1:1)&gt;COUNT(Dong13),"",OFFSET(TH!J$1,SMALL(Dong13,ROWS($1:1)),))</f>
        <v/>
      </c>
      <c r="J14" s="812">
        <f ca="1">IF(B14&lt;&gt;"",H14*I14,0)</f>
        <v>0</v>
      </c>
      <c r="K14" s="812"/>
      <c r="L14" s="813"/>
      <c r="M14" s="791"/>
      <c r="N14" s="791"/>
      <c r="O14" s="791"/>
      <c r="P14" s="791"/>
      <c r="Q14" s="791"/>
      <c r="R14" s="791"/>
      <c r="S14" s="791"/>
      <c r="T14" s="791"/>
      <c r="U14" s="791"/>
      <c r="V14" s="791"/>
      <c r="W14" s="791"/>
      <c r="X14" s="791"/>
      <c r="Y14" s="791"/>
      <c r="Z14" s="791"/>
      <c r="AA14" s="791"/>
      <c r="AB14" s="791"/>
      <c r="AC14" s="791"/>
      <c r="AD14" s="791"/>
      <c r="AE14" s="791"/>
      <c r="AF14" s="791"/>
      <c r="AG14" s="791"/>
      <c r="AH14" s="791"/>
      <c r="AI14" s="791"/>
      <c r="AJ14" s="791"/>
      <c r="AK14" s="791"/>
      <c r="AL14" s="791"/>
      <c r="AM14" s="791"/>
      <c r="AN14" s="791"/>
      <c r="AO14" s="791"/>
      <c r="AP14" s="791"/>
      <c r="AQ14" s="791"/>
      <c r="AR14" s="791"/>
      <c r="AS14" s="791"/>
      <c r="AT14" s="791"/>
      <c r="AU14" s="791"/>
      <c r="AV14" s="791"/>
      <c r="AW14" s="791"/>
      <c r="AX14" s="791"/>
      <c r="AY14" s="791"/>
      <c r="AZ14" s="791"/>
      <c r="BA14" s="791"/>
      <c r="BB14" s="791"/>
      <c r="BC14" s="791"/>
      <c r="BD14" s="791"/>
      <c r="BE14" s="791"/>
      <c r="BF14" s="791"/>
      <c r="BG14" s="791"/>
      <c r="BH14" s="791"/>
      <c r="BI14" s="791"/>
      <c r="BJ14" s="791"/>
      <c r="BK14" s="791"/>
      <c r="BL14" s="791"/>
      <c r="BM14" s="791"/>
      <c r="BN14" s="791"/>
      <c r="BO14" s="791"/>
      <c r="BP14" s="791"/>
      <c r="BQ14" s="791"/>
      <c r="BR14" s="791"/>
      <c r="BS14" s="791"/>
      <c r="BT14" s="791"/>
      <c r="BU14" s="791"/>
      <c r="BV14" s="791"/>
      <c r="BW14" s="791"/>
      <c r="BX14" s="791"/>
      <c r="BY14" s="791"/>
      <c r="BZ14" s="791"/>
      <c r="CA14" s="791"/>
      <c r="CB14" s="791"/>
      <c r="CC14" s="791"/>
      <c r="CD14" s="791"/>
      <c r="CE14" s="791"/>
      <c r="CF14" s="791"/>
      <c r="CG14" s="791"/>
    </row>
    <row r="15" spans="1:86" s="814" customFormat="1" ht="21.75" customHeight="1">
      <c r="A15" s="254" t="str">
        <f ca="1">IF(ROWS($1:2)&gt;COUNT(Dong13),"",OFFSET(TH!E$1,SMALL(Dong13,ROWS($1:2)),))</f>
        <v/>
      </c>
      <c r="B15" s="264" t="str">
        <f ca="1">IF(ROWS($1:2)&gt;COUNT(Dong13),"",OFFSET(TH!H$1,SMALL(Dong13,ROWS($1:2)),))</f>
        <v/>
      </c>
      <c r="C15" s="808" t="str">
        <f t="shared" ca="1" si="0"/>
        <v/>
      </c>
      <c r="D15" s="808" t="str">
        <f ca="1">IF(ROWS($1:2)&gt;COUNT(Dong13),"",OFFSET(TH!D$1,SMALL(Dong13,ROWS($1:2)),))</f>
        <v/>
      </c>
      <c r="E15" s="809" t="str">
        <f t="shared" ca="1" si="1"/>
        <v/>
      </c>
      <c r="F15" s="809" t="str">
        <f t="shared" ca="1" si="2"/>
        <v/>
      </c>
      <c r="G15" s="810" t="str">
        <f ca="1">IF(ROWS($1:2)&gt;COUNT(Dong13),"",OFFSET(TH!F$1,SMALL(Dong13,ROWS($1:2)),))</f>
        <v/>
      </c>
      <c r="H15" s="811" t="str">
        <f ca="1">IF(ROWS($1:2)&gt;COUNT(Dong13),"",OFFSET(TH!I$1,SMALL(Dong13,ROWS($1:2)),))</f>
        <v/>
      </c>
      <c r="I15" s="811" t="str">
        <f ca="1">IF(ROWS($1:2)&gt;COUNT(Dong13),"",OFFSET(TH!J$1,SMALL(Dong13,ROWS($1:2)),))</f>
        <v/>
      </c>
      <c r="J15" s="812">
        <f t="shared" ref="J15:J40" ca="1" si="3">IF(B15&lt;&gt;"",H15*I15,0)</f>
        <v>0</v>
      </c>
      <c r="K15" s="815"/>
      <c r="L15" s="813"/>
      <c r="M15" s="791"/>
      <c r="N15" s="791"/>
      <c r="O15" s="791"/>
      <c r="P15" s="791"/>
      <c r="Q15" s="791"/>
      <c r="R15" s="791"/>
      <c r="S15" s="791"/>
      <c r="T15" s="791"/>
      <c r="U15" s="791"/>
      <c r="V15" s="791"/>
      <c r="W15" s="791"/>
      <c r="X15" s="791"/>
      <c r="Y15" s="791"/>
      <c r="Z15" s="791"/>
      <c r="AA15" s="791"/>
      <c r="AB15" s="791"/>
      <c r="AC15" s="791"/>
      <c r="AD15" s="791"/>
      <c r="AE15" s="791"/>
      <c r="AF15" s="791"/>
      <c r="AG15" s="791"/>
      <c r="AH15" s="791"/>
      <c r="AI15" s="791"/>
      <c r="AJ15" s="791"/>
      <c r="AK15" s="791"/>
      <c r="AL15" s="791"/>
      <c r="AM15" s="791"/>
      <c r="AN15" s="791"/>
      <c r="AO15" s="791"/>
      <c r="AP15" s="791"/>
      <c r="AQ15" s="791"/>
      <c r="AR15" s="791"/>
      <c r="AS15" s="791"/>
      <c r="AT15" s="791"/>
      <c r="AU15" s="791"/>
      <c r="AV15" s="791"/>
      <c r="AW15" s="791"/>
      <c r="AX15" s="791"/>
      <c r="AY15" s="791"/>
      <c r="AZ15" s="791"/>
      <c r="BA15" s="791"/>
      <c r="BB15" s="791"/>
      <c r="BC15" s="791"/>
      <c r="BD15" s="791"/>
      <c r="BE15" s="791"/>
      <c r="BF15" s="791"/>
      <c r="BG15" s="791"/>
      <c r="BH15" s="791"/>
      <c r="BI15" s="791"/>
      <c r="BJ15" s="791"/>
      <c r="BK15" s="791"/>
      <c r="BL15" s="791"/>
      <c r="BM15" s="791"/>
      <c r="BN15" s="791"/>
      <c r="BO15" s="791"/>
      <c r="BP15" s="791"/>
      <c r="BQ15" s="791"/>
      <c r="BR15" s="791"/>
      <c r="BS15" s="791"/>
      <c r="BT15" s="791"/>
      <c r="BU15" s="791"/>
      <c r="BV15" s="791"/>
      <c r="BW15" s="791"/>
      <c r="BX15" s="791"/>
      <c r="BY15" s="791"/>
      <c r="BZ15" s="791"/>
      <c r="CA15" s="791"/>
      <c r="CB15" s="791"/>
      <c r="CC15" s="791"/>
      <c r="CD15" s="791"/>
      <c r="CE15" s="791"/>
      <c r="CF15" s="791"/>
      <c r="CG15" s="791"/>
    </row>
    <row r="16" spans="1:86" s="814" customFormat="1" ht="21.75" customHeight="1">
      <c r="A16" s="254" t="str">
        <f ca="1">IF(ROWS($1:3)&gt;COUNT(Dong13),"",OFFSET(TH!E$1,SMALL(Dong13,ROWS($1:3)),))</f>
        <v/>
      </c>
      <c r="B16" s="264" t="str">
        <f ca="1">IF(ROWS($1:3)&gt;COUNT(Dong13),"",OFFSET(TH!H$1,SMALL(Dong13,ROWS($1:3)),))</f>
        <v/>
      </c>
      <c r="C16" s="808" t="str">
        <f t="shared" ca="1" si="0"/>
        <v/>
      </c>
      <c r="D16" s="808" t="str">
        <f ca="1">IF(ROWS($1:3)&gt;COUNT(Dong13),"",OFFSET(TH!D$1,SMALL(Dong13,ROWS($1:3)),))</f>
        <v/>
      </c>
      <c r="E16" s="809" t="str">
        <f t="shared" ca="1" si="1"/>
        <v/>
      </c>
      <c r="F16" s="809" t="str">
        <f t="shared" ca="1" si="2"/>
        <v/>
      </c>
      <c r="G16" s="810" t="str">
        <f ca="1">IF(ROWS($1:3)&gt;COUNT(Dong13),"",OFFSET(TH!F$1,SMALL(Dong13,ROWS($1:3)),))</f>
        <v/>
      </c>
      <c r="H16" s="811" t="str">
        <f ca="1">IF(ROWS($1:3)&gt;COUNT(Dong13),"",OFFSET(TH!I$1,SMALL(Dong13,ROWS($1:3)),))</f>
        <v/>
      </c>
      <c r="I16" s="811" t="str">
        <f ca="1">IF(ROWS($1:3)&gt;COUNT(Dong13),"",OFFSET(TH!J$1,SMALL(Dong13,ROWS($1:3)),))</f>
        <v/>
      </c>
      <c r="J16" s="812">
        <f t="shared" ca="1" si="3"/>
        <v>0</v>
      </c>
      <c r="K16" s="815"/>
      <c r="L16" s="813"/>
      <c r="M16" s="791"/>
      <c r="N16" s="791"/>
      <c r="O16" s="791"/>
      <c r="P16" s="791"/>
      <c r="Q16" s="791"/>
      <c r="R16" s="791"/>
      <c r="S16" s="791"/>
      <c r="T16" s="791"/>
      <c r="U16" s="791"/>
      <c r="V16" s="791"/>
      <c r="W16" s="791"/>
      <c r="X16" s="791"/>
      <c r="Y16" s="791"/>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c r="BC16" s="791"/>
      <c r="BD16" s="791"/>
      <c r="BE16" s="791"/>
      <c r="BF16" s="791"/>
      <c r="BG16" s="791"/>
      <c r="BH16" s="791"/>
      <c r="BI16" s="791"/>
      <c r="BJ16" s="791"/>
      <c r="BK16" s="791"/>
      <c r="BL16" s="791"/>
      <c r="BM16" s="791"/>
      <c r="BN16" s="791"/>
      <c r="BO16" s="791"/>
      <c r="BP16" s="791"/>
      <c r="BQ16" s="791"/>
      <c r="BR16" s="791"/>
      <c r="BS16" s="791"/>
      <c r="BT16" s="791"/>
      <c r="BU16" s="791"/>
      <c r="BV16" s="791"/>
      <c r="BW16" s="791"/>
      <c r="BX16" s="791"/>
      <c r="BY16" s="791"/>
      <c r="BZ16" s="791"/>
      <c r="CA16" s="791"/>
      <c r="CB16" s="791"/>
      <c r="CC16" s="791"/>
      <c r="CD16" s="791"/>
      <c r="CE16" s="791"/>
      <c r="CF16" s="791"/>
      <c r="CG16" s="791"/>
    </row>
    <row r="17" spans="1:85" s="814" customFormat="1" ht="21.75" customHeight="1">
      <c r="A17" s="254" t="str">
        <f ca="1">IF(ROWS($1:4)&gt;COUNT(Dong13),"",OFFSET(TH!E$1,SMALL(Dong13,ROWS($1:4)),))</f>
        <v/>
      </c>
      <c r="B17" s="264" t="str">
        <f ca="1">IF(ROWS($1:4)&gt;COUNT(Dong13),"",OFFSET(TH!H$1,SMALL(Dong13,ROWS($1:4)),))</f>
        <v/>
      </c>
      <c r="C17" s="808" t="str">
        <f t="shared" ca="1" si="0"/>
        <v/>
      </c>
      <c r="D17" s="808" t="str">
        <f ca="1">IF(ROWS($1:4)&gt;COUNT(Dong13),"",OFFSET(TH!D$1,SMALL(Dong13,ROWS($1:4)),))</f>
        <v/>
      </c>
      <c r="E17" s="809" t="str">
        <f t="shared" ca="1" si="1"/>
        <v/>
      </c>
      <c r="F17" s="809" t="str">
        <f t="shared" ca="1" si="2"/>
        <v/>
      </c>
      <c r="G17" s="810" t="str">
        <f ca="1">IF(ROWS($1:4)&gt;COUNT(Dong13),"",OFFSET(TH!F$1,SMALL(Dong13,ROWS($1:4)),))</f>
        <v/>
      </c>
      <c r="H17" s="811" t="str">
        <f ca="1">IF(ROWS($1:4)&gt;COUNT(Dong13),"",OFFSET(TH!I$1,SMALL(Dong13,ROWS($1:4)),))</f>
        <v/>
      </c>
      <c r="I17" s="811" t="str">
        <f ca="1">IF(ROWS($1:4)&gt;COUNT(Dong13),"",OFFSET(TH!J$1,SMALL(Dong13,ROWS($1:4)),))</f>
        <v/>
      </c>
      <c r="J17" s="812">
        <f t="shared" ca="1" si="3"/>
        <v>0</v>
      </c>
      <c r="K17" s="815"/>
      <c r="L17" s="813"/>
      <c r="M17" s="791"/>
      <c r="N17" s="791"/>
      <c r="O17" s="791"/>
      <c r="P17" s="791"/>
      <c r="Q17" s="791"/>
      <c r="R17" s="791"/>
      <c r="S17" s="791"/>
      <c r="T17" s="791"/>
      <c r="U17" s="791"/>
      <c r="V17" s="791"/>
      <c r="W17" s="791"/>
      <c r="X17" s="791"/>
      <c r="Y17" s="791"/>
      <c r="Z17" s="791"/>
      <c r="AA17" s="791"/>
      <c r="AB17" s="791"/>
      <c r="AC17" s="791"/>
      <c r="AD17" s="791"/>
      <c r="AE17" s="791"/>
      <c r="AF17" s="791"/>
      <c r="AG17" s="791"/>
      <c r="AH17" s="791"/>
      <c r="AI17" s="791"/>
      <c r="AJ17" s="791"/>
      <c r="AK17" s="791"/>
      <c r="AL17" s="791"/>
      <c r="AM17" s="791"/>
      <c r="AN17" s="791"/>
      <c r="AO17" s="791"/>
      <c r="AP17" s="791"/>
      <c r="AQ17" s="791"/>
      <c r="AR17" s="791"/>
      <c r="AS17" s="791"/>
      <c r="AT17" s="791"/>
      <c r="AU17" s="791"/>
      <c r="AV17" s="791"/>
      <c r="AW17" s="791"/>
      <c r="AX17" s="791"/>
      <c r="AY17" s="791"/>
      <c r="AZ17" s="791"/>
      <c r="BA17" s="791"/>
      <c r="BB17" s="791"/>
      <c r="BC17" s="791"/>
      <c r="BD17" s="791"/>
      <c r="BE17" s="791"/>
      <c r="BF17" s="791"/>
      <c r="BG17" s="791"/>
      <c r="BH17" s="791"/>
      <c r="BI17" s="791"/>
      <c r="BJ17" s="791"/>
      <c r="BK17" s="791"/>
      <c r="BL17" s="791"/>
      <c r="BM17" s="791"/>
      <c r="BN17" s="791"/>
      <c r="BO17" s="791"/>
      <c r="BP17" s="791"/>
      <c r="BQ17" s="791"/>
      <c r="BR17" s="791"/>
      <c r="BS17" s="791"/>
      <c r="BT17" s="791"/>
      <c r="BU17" s="791"/>
      <c r="BV17" s="791"/>
      <c r="BW17" s="791"/>
      <c r="BX17" s="791"/>
      <c r="BY17" s="791"/>
      <c r="BZ17" s="791"/>
      <c r="CA17" s="791"/>
      <c r="CB17" s="791"/>
      <c r="CC17" s="791"/>
      <c r="CD17" s="791"/>
      <c r="CE17" s="791"/>
      <c r="CF17" s="791"/>
      <c r="CG17" s="791"/>
    </row>
    <row r="18" spans="1:85" s="814" customFormat="1" ht="21.75" customHeight="1">
      <c r="A18" s="254" t="str">
        <f ca="1">IF(ROWS($1:5)&gt;COUNT(Dong13),"",OFFSET(TH!E$1,SMALL(Dong13,ROWS($1:5)),))</f>
        <v/>
      </c>
      <c r="B18" s="264" t="str">
        <f ca="1">IF(ROWS($1:5)&gt;COUNT(Dong13),"",OFFSET(TH!H$1,SMALL(Dong13,ROWS($1:5)),))</f>
        <v/>
      </c>
      <c r="C18" s="808" t="str">
        <f t="shared" ca="1" si="0"/>
        <v/>
      </c>
      <c r="D18" s="808" t="str">
        <f ca="1">IF(ROWS($1:5)&gt;COUNT(Dong13),"",OFFSET(TH!D$1,SMALL(Dong13,ROWS($1:5)),))</f>
        <v/>
      </c>
      <c r="E18" s="809" t="str">
        <f t="shared" ca="1" si="1"/>
        <v/>
      </c>
      <c r="F18" s="809" t="str">
        <f t="shared" ca="1" si="2"/>
        <v/>
      </c>
      <c r="G18" s="810" t="str">
        <f ca="1">IF(ROWS($1:5)&gt;COUNT(Dong13),"",OFFSET(TH!F$1,SMALL(Dong13,ROWS($1:5)),))</f>
        <v/>
      </c>
      <c r="H18" s="811" t="str">
        <f ca="1">IF(ROWS($1:5)&gt;COUNT(Dong13),"",OFFSET(TH!I$1,SMALL(Dong13,ROWS($1:5)),))</f>
        <v/>
      </c>
      <c r="I18" s="811" t="str">
        <f ca="1">IF(ROWS($1:5)&gt;COUNT(Dong13),"",OFFSET(TH!J$1,SMALL(Dong13,ROWS($1:5)),))</f>
        <v/>
      </c>
      <c r="J18" s="812">
        <f t="shared" ca="1" si="3"/>
        <v>0</v>
      </c>
      <c r="K18" s="815"/>
      <c r="L18" s="813"/>
      <c r="M18" s="791"/>
      <c r="N18" s="791"/>
      <c r="O18" s="791"/>
      <c r="P18" s="791"/>
      <c r="Q18" s="791"/>
      <c r="R18" s="791"/>
      <c r="S18" s="791"/>
      <c r="T18" s="791"/>
      <c r="U18" s="791"/>
      <c r="V18" s="791"/>
      <c r="W18" s="791"/>
      <c r="X18" s="791"/>
      <c r="Y18" s="791"/>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c r="BC18" s="791"/>
      <c r="BD18" s="791"/>
      <c r="BE18" s="791"/>
      <c r="BF18" s="791"/>
      <c r="BG18" s="791"/>
      <c r="BH18" s="791"/>
      <c r="BI18" s="791"/>
      <c r="BJ18" s="791"/>
      <c r="BK18" s="791"/>
      <c r="BL18" s="791"/>
      <c r="BM18" s="791"/>
      <c r="BN18" s="791"/>
      <c r="BO18" s="791"/>
      <c r="BP18" s="791"/>
      <c r="BQ18" s="791"/>
      <c r="BR18" s="791"/>
      <c r="BS18" s="791"/>
      <c r="BT18" s="791"/>
      <c r="BU18" s="791"/>
      <c r="BV18" s="791"/>
      <c r="BW18" s="791"/>
      <c r="BX18" s="791"/>
      <c r="BY18" s="791"/>
      <c r="BZ18" s="791"/>
      <c r="CA18" s="791"/>
      <c r="CB18" s="791"/>
      <c r="CC18" s="791"/>
      <c r="CD18" s="791"/>
      <c r="CE18" s="791"/>
      <c r="CF18" s="791"/>
      <c r="CG18" s="791"/>
    </row>
    <row r="19" spans="1:85" s="814" customFormat="1" ht="21.75" customHeight="1">
      <c r="A19" s="254" t="str">
        <f ca="1">IF(ROWS($1:6)&gt;COUNT(Dong13),"",OFFSET(TH!E$1,SMALL(Dong13,ROWS($1:6)),))</f>
        <v/>
      </c>
      <c r="B19" s="264" t="str">
        <f ca="1">IF(ROWS($1:6)&gt;COUNT(Dong13),"",OFFSET(TH!H$1,SMALL(Dong13,ROWS($1:6)),))</f>
        <v/>
      </c>
      <c r="C19" s="808" t="str">
        <f t="shared" ca="1" si="0"/>
        <v/>
      </c>
      <c r="D19" s="808" t="str">
        <f ca="1">IF(ROWS($1:6)&gt;COUNT(Dong13),"",OFFSET(TH!D$1,SMALL(Dong13,ROWS($1:6)),))</f>
        <v/>
      </c>
      <c r="E19" s="809" t="str">
        <f t="shared" ca="1" si="1"/>
        <v/>
      </c>
      <c r="F19" s="809" t="str">
        <f t="shared" ca="1" si="2"/>
        <v/>
      </c>
      <c r="G19" s="810" t="str">
        <f ca="1">IF(ROWS($1:6)&gt;COUNT(Dong13),"",OFFSET(TH!F$1,SMALL(Dong13,ROWS($1:6)),))</f>
        <v/>
      </c>
      <c r="H19" s="811" t="str">
        <f ca="1">IF(ROWS($1:6)&gt;COUNT(Dong13),"",OFFSET(TH!I$1,SMALL(Dong13,ROWS($1:6)),))</f>
        <v/>
      </c>
      <c r="I19" s="811" t="str">
        <f ca="1">IF(ROWS($1:6)&gt;COUNT(Dong13),"",OFFSET(TH!J$1,SMALL(Dong13,ROWS($1:6)),))</f>
        <v/>
      </c>
      <c r="J19" s="812">
        <f t="shared" ca="1" si="3"/>
        <v>0</v>
      </c>
      <c r="K19" s="815"/>
      <c r="L19" s="813"/>
      <c r="M19" s="791"/>
      <c r="N19" s="791"/>
      <c r="O19" s="791"/>
      <c r="P19" s="791"/>
      <c r="Q19" s="791"/>
      <c r="R19" s="791"/>
      <c r="S19" s="791"/>
      <c r="T19" s="791"/>
      <c r="U19" s="791"/>
      <c r="V19" s="791"/>
      <c r="W19" s="791"/>
      <c r="X19" s="791"/>
      <c r="Y19" s="791"/>
      <c r="Z19" s="791"/>
      <c r="AA19" s="791"/>
      <c r="AB19" s="791"/>
      <c r="AC19" s="791"/>
      <c r="AD19" s="791"/>
      <c r="AE19" s="791"/>
      <c r="AF19" s="791"/>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c r="BC19" s="791"/>
      <c r="BD19" s="791"/>
      <c r="BE19" s="791"/>
      <c r="BF19" s="791"/>
      <c r="BG19" s="791"/>
      <c r="BH19" s="791"/>
      <c r="BI19" s="791"/>
      <c r="BJ19" s="791"/>
      <c r="BK19" s="791"/>
      <c r="BL19" s="791"/>
      <c r="BM19" s="791"/>
      <c r="BN19" s="791"/>
      <c r="BO19" s="791"/>
      <c r="BP19" s="791"/>
      <c r="BQ19" s="791"/>
      <c r="BR19" s="791"/>
      <c r="BS19" s="791"/>
      <c r="BT19" s="791"/>
      <c r="BU19" s="791"/>
      <c r="BV19" s="791"/>
      <c r="BW19" s="791"/>
      <c r="BX19" s="791"/>
      <c r="BY19" s="791"/>
      <c r="BZ19" s="791"/>
      <c r="CA19" s="791"/>
      <c r="CB19" s="791"/>
      <c r="CC19" s="791"/>
      <c r="CD19" s="791"/>
      <c r="CE19" s="791"/>
      <c r="CF19" s="791"/>
      <c r="CG19" s="791"/>
    </row>
    <row r="20" spans="1:85" s="814" customFormat="1" ht="21.75" customHeight="1">
      <c r="A20" s="254" t="str">
        <f ca="1">IF(ROWS($1:7)&gt;COUNT(Dong13),"",OFFSET(TH!E$1,SMALL(Dong13,ROWS($1:7)),))</f>
        <v/>
      </c>
      <c r="B20" s="264" t="str">
        <f ca="1">IF(ROWS($1:7)&gt;COUNT(Dong13),"",OFFSET(TH!H$1,SMALL(Dong13,ROWS($1:7)),))</f>
        <v/>
      </c>
      <c r="C20" s="808" t="str">
        <f t="shared" ca="1" si="0"/>
        <v/>
      </c>
      <c r="D20" s="808" t="str">
        <f ca="1">IF(ROWS($1:7)&gt;COUNT(Dong13),"",OFFSET(TH!D$1,SMALL(Dong13,ROWS($1:7)),))</f>
        <v/>
      </c>
      <c r="E20" s="809" t="str">
        <f t="shared" ca="1" si="1"/>
        <v/>
      </c>
      <c r="F20" s="809" t="str">
        <f t="shared" ca="1" si="2"/>
        <v/>
      </c>
      <c r="G20" s="810" t="str">
        <f ca="1">IF(ROWS($1:7)&gt;COUNT(Dong13),"",OFFSET(TH!F$1,SMALL(Dong13,ROWS($1:7)),))</f>
        <v/>
      </c>
      <c r="H20" s="811" t="str">
        <f ca="1">IF(ROWS($1:7)&gt;COUNT(Dong13),"",OFFSET(TH!I$1,SMALL(Dong13,ROWS($1:7)),))</f>
        <v/>
      </c>
      <c r="I20" s="811" t="str">
        <f ca="1">IF(ROWS($1:7)&gt;COUNT(Dong13),"",OFFSET(TH!J$1,SMALL(Dong13,ROWS($1:7)),))</f>
        <v/>
      </c>
      <c r="J20" s="812">
        <f t="shared" ca="1" si="3"/>
        <v>0</v>
      </c>
      <c r="K20" s="815"/>
      <c r="L20" s="813"/>
      <c r="M20" s="791"/>
      <c r="N20" s="791"/>
      <c r="O20" s="791"/>
      <c r="P20" s="791"/>
      <c r="Q20" s="791"/>
      <c r="R20" s="791"/>
      <c r="S20" s="791"/>
      <c r="T20" s="791"/>
      <c r="U20" s="791"/>
      <c r="V20" s="791"/>
      <c r="W20" s="791"/>
      <c r="X20" s="791"/>
      <c r="Y20" s="791"/>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c r="BC20" s="791"/>
      <c r="BD20" s="791"/>
      <c r="BE20" s="791"/>
      <c r="BF20" s="791"/>
      <c r="BG20" s="791"/>
      <c r="BH20" s="791"/>
      <c r="BI20" s="791"/>
      <c r="BJ20" s="791"/>
      <c r="BK20" s="791"/>
      <c r="BL20" s="791"/>
      <c r="BM20" s="791"/>
      <c r="BN20" s="791"/>
      <c r="BO20" s="791"/>
      <c r="BP20" s="791"/>
      <c r="BQ20" s="791"/>
      <c r="BR20" s="791"/>
      <c r="BS20" s="791"/>
      <c r="BT20" s="791"/>
      <c r="BU20" s="791"/>
      <c r="BV20" s="791"/>
      <c r="BW20" s="791"/>
      <c r="BX20" s="791"/>
      <c r="BY20" s="791"/>
      <c r="BZ20" s="791"/>
      <c r="CA20" s="791"/>
      <c r="CB20" s="791"/>
      <c r="CC20" s="791"/>
      <c r="CD20" s="791"/>
      <c r="CE20" s="791"/>
      <c r="CF20" s="791"/>
      <c r="CG20" s="791"/>
    </row>
    <row r="21" spans="1:85" s="814" customFormat="1" ht="21.75" customHeight="1">
      <c r="A21" s="254" t="str">
        <f ca="1">IF(ROWS($1:8)&gt;COUNT(Dong13),"",OFFSET(TH!E$1,SMALL(Dong13,ROWS($1:8)),))</f>
        <v/>
      </c>
      <c r="B21" s="264" t="str">
        <f ca="1">IF(ROWS($1:8)&gt;COUNT(Dong13),"",OFFSET(TH!H$1,SMALL(Dong13,ROWS($1:8)),))</f>
        <v/>
      </c>
      <c r="C21" s="808" t="str">
        <f t="shared" ca="1" si="0"/>
        <v/>
      </c>
      <c r="D21" s="808" t="str">
        <f ca="1">IF(ROWS($1:8)&gt;COUNT(Dong13),"",OFFSET(TH!D$1,SMALL(Dong13,ROWS($1:8)),))</f>
        <v/>
      </c>
      <c r="E21" s="809" t="str">
        <f t="shared" ca="1" si="1"/>
        <v/>
      </c>
      <c r="F21" s="809" t="str">
        <f t="shared" ca="1" si="2"/>
        <v/>
      </c>
      <c r="G21" s="810" t="str">
        <f ca="1">IF(ROWS($1:8)&gt;COUNT(Dong13),"",OFFSET(TH!F$1,SMALL(Dong13,ROWS($1:8)),))</f>
        <v/>
      </c>
      <c r="H21" s="811" t="str">
        <f ca="1">IF(ROWS($1:8)&gt;COUNT(Dong13),"",OFFSET(TH!I$1,SMALL(Dong13,ROWS($1:8)),))</f>
        <v/>
      </c>
      <c r="I21" s="811" t="str">
        <f ca="1">IF(ROWS($1:8)&gt;COUNT(Dong13),"",OFFSET(TH!J$1,SMALL(Dong13,ROWS($1:8)),))</f>
        <v/>
      </c>
      <c r="J21" s="812">
        <f t="shared" ca="1" si="3"/>
        <v>0</v>
      </c>
      <c r="K21" s="815"/>
      <c r="L21" s="813"/>
      <c r="M21" s="791"/>
      <c r="N21" s="791"/>
      <c r="O21" s="791"/>
      <c r="P21" s="791"/>
      <c r="Q21" s="791"/>
      <c r="R21" s="791"/>
      <c r="S21" s="791"/>
      <c r="T21" s="791"/>
      <c r="U21" s="791"/>
      <c r="V21" s="791"/>
      <c r="W21" s="791"/>
      <c r="X21" s="791"/>
      <c r="Y21" s="791"/>
      <c r="Z21" s="791"/>
      <c r="AA21" s="791"/>
      <c r="AB21" s="791"/>
      <c r="AC21" s="791"/>
      <c r="AD21" s="791"/>
      <c r="AE21" s="791"/>
      <c r="AF21" s="791"/>
      <c r="AG21" s="791"/>
      <c r="AH21" s="791"/>
      <c r="AI21" s="791"/>
      <c r="AJ21" s="791"/>
      <c r="AK21" s="791"/>
      <c r="AL21" s="791"/>
      <c r="AM21" s="791"/>
      <c r="AN21" s="791"/>
      <c r="AO21" s="791"/>
      <c r="AP21" s="791"/>
      <c r="AQ21" s="791"/>
      <c r="AR21" s="791"/>
      <c r="AS21" s="791"/>
      <c r="AT21" s="791"/>
      <c r="AU21" s="791"/>
      <c r="AV21" s="791"/>
      <c r="AW21" s="791"/>
      <c r="AX21" s="791"/>
      <c r="AY21" s="791"/>
      <c r="AZ21" s="791"/>
      <c r="BA21" s="791"/>
      <c r="BB21" s="791"/>
      <c r="BC21" s="791"/>
      <c r="BD21" s="791"/>
      <c r="BE21" s="791"/>
      <c r="BF21" s="791"/>
      <c r="BG21" s="791"/>
      <c r="BH21" s="791"/>
      <c r="BI21" s="791"/>
      <c r="BJ21" s="791"/>
      <c r="BK21" s="791"/>
      <c r="BL21" s="791"/>
      <c r="BM21" s="791"/>
      <c r="BN21" s="791"/>
      <c r="BO21" s="791"/>
      <c r="BP21" s="791"/>
      <c r="BQ21" s="791"/>
      <c r="BR21" s="791"/>
      <c r="BS21" s="791"/>
      <c r="BT21" s="791"/>
      <c r="BU21" s="791"/>
      <c r="BV21" s="791"/>
      <c r="BW21" s="791"/>
      <c r="BX21" s="791"/>
      <c r="BY21" s="791"/>
      <c r="BZ21" s="791"/>
      <c r="CA21" s="791"/>
      <c r="CB21" s="791"/>
      <c r="CC21" s="791"/>
      <c r="CD21" s="791"/>
      <c r="CE21" s="791"/>
      <c r="CF21" s="791"/>
      <c r="CG21" s="791"/>
    </row>
    <row r="22" spans="1:85" s="814" customFormat="1" ht="21.75" customHeight="1">
      <c r="A22" s="254" t="str">
        <f ca="1">IF(ROWS($1:9)&gt;COUNT(Dong13),"",OFFSET(TH!E$1,SMALL(Dong13,ROWS($1:9)),))</f>
        <v/>
      </c>
      <c r="B22" s="264" t="str">
        <f ca="1">IF(ROWS($1:9)&gt;COUNT(Dong13),"",OFFSET(TH!H$1,SMALL(Dong13,ROWS($1:9)),))</f>
        <v/>
      </c>
      <c r="C22" s="808" t="str">
        <f t="shared" ca="1" si="0"/>
        <v/>
      </c>
      <c r="D22" s="808" t="str">
        <f ca="1">IF(ROWS($1:9)&gt;COUNT(Dong13),"",OFFSET(TH!D$1,SMALL(Dong13,ROWS($1:9)),))</f>
        <v/>
      </c>
      <c r="E22" s="809" t="str">
        <f t="shared" ca="1" si="1"/>
        <v/>
      </c>
      <c r="F22" s="809" t="str">
        <f t="shared" ca="1" si="2"/>
        <v/>
      </c>
      <c r="G22" s="810" t="str">
        <f ca="1">IF(ROWS($1:9)&gt;COUNT(Dong13),"",OFFSET(TH!F$1,SMALL(Dong13,ROWS($1:9)),))</f>
        <v/>
      </c>
      <c r="H22" s="811" t="str">
        <f ca="1">IF(ROWS($1:9)&gt;COUNT(Dong13),"",OFFSET(TH!I$1,SMALL(Dong13,ROWS($1:9)),))</f>
        <v/>
      </c>
      <c r="I22" s="811" t="str">
        <f ca="1">IF(ROWS($1:9)&gt;COUNT(Dong13),"",OFFSET(TH!J$1,SMALL(Dong13,ROWS($1:9)),))</f>
        <v/>
      </c>
      <c r="J22" s="812">
        <f t="shared" ca="1" si="3"/>
        <v>0</v>
      </c>
      <c r="K22" s="815"/>
      <c r="L22" s="813"/>
      <c r="M22" s="791"/>
      <c r="N22" s="791"/>
      <c r="O22" s="791"/>
      <c r="P22" s="791"/>
      <c r="Q22" s="791"/>
      <c r="R22" s="791"/>
      <c r="S22" s="791"/>
      <c r="T22" s="791"/>
      <c r="U22" s="791"/>
      <c r="V22" s="791"/>
      <c r="W22" s="791"/>
      <c r="X22" s="791"/>
      <c r="Y22" s="791"/>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c r="BC22" s="791"/>
      <c r="BD22" s="791"/>
      <c r="BE22" s="791"/>
      <c r="BF22" s="791"/>
      <c r="BG22" s="791"/>
      <c r="BH22" s="791"/>
      <c r="BI22" s="791"/>
      <c r="BJ22" s="791"/>
      <c r="BK22" s="791"/>
      <c r="BL22" s="791"/>
      <c r="BM22" s="791"/>
      <c r="BN22" s="791"/>
      <c r="BO22" s="791"/>
      <c r="BP22" s="791"/>
      <c r="BQ22" s="791"/>
      <c r="BR22" s="791"/>
      <c r="BS22" s="791"/>
      <c r="BT22" s="791"/>
      <c r="BU22" s="791"/>
      <c r="BV22" s="791"/>
      <c r="BW22" s="791"/>
      <c r="BX22" s="791"/>
      <c r="BY22" s="791"/>
      <c r="BZ22" s="791"/>
      <c r="CA22" s="791"/>
      <c r="CB22" s="791"/>
      <c r="CC22" s="791"/>
      <c r="CD22" s="791"/>
      <c r="CE22" s="791"/>
      <c r="CF22" s="791"/>
      <c r="CG22" s="791"/>
    </row>
    <row r="23" spans="1:85" s="814" customFormat="1" ht="21.75" customHeight="1">
      <c r="A23" s="254" t="str">
        <f ca="1">IF(ROWS($1:10)&gt;COUNT(Dong13),"",OFFSET(TH!E$1,SMALL(Dong13,ROWS($1:10)),))</f>
        <v/>
      </c>
      <c r="B23" s="264" t="str">
        <f ca="1">IF(ROWS($1:10)&gt;COUNT(Dong13),"",OFFSET(TH!H$1,SMALL(Dong13,ROWS($1:10)),))</f>
        <v/>
      </c>
      <c r="C23" s="808" t="str">
        <f t="shared" ca="1" si="0"/>
        <v/>
      </c>
      <c r="D23" s="808" t="str">
        <f ca="1">IF(ROWS($1:10)&gt;COUNT(Dong13),"",OFFSET(TH!D$1,SMALL(Dong13,ROWS($1:10)),))</f>
        <v/>
      </c>
      <c r="E23" s="809" t="str">
        <f t="shared" ca="1" si="1"/>
        <v/>
      </c>
      <c r="F23" s="809" t="str">
        <f t="shared" ca="1" si="2"/>
        <v/>
      </c>
      <c r="G23" s="810" t="str">
        <f ca="1">IF(ROWS($1:10)&gt;COUNT(Dong13),"",OFFSET(TH!F$1,SMALL(Dong13,ROWS($1:10)),))</f>
        <v/>
      </c>
      <c r="H23" s="811" t="str">
        <f ca="1">IF(ROWS($1:10)&gt;COUNT(Dong13),"",OFFSET(TH!I$1,SMALL(Dong13,ROWS($1:10)),))</f>
        <v/>
      </c>
      <c r="I23" s="811" t="str">
        <f ca="1">IF(ROWS($1:10)&gt;COUNT(Dong13),"",OFFSET(TH!J$1,SMALL(Dong13,ROWS($1:10)),))</f>
        <v/>
      </c>
      <c r="J23" s="812">
        <f t="shared" ca="1" si="3"/>
        <v>0</v>
      </c>
      <c r="K23" s="815"/>
      <c r="L23" s="813"/>
      <c r="M23" s="791"/>
      <c r="N23" s="791"/>
      <c r="O23" s="791"/>
      <c r="P23" s="791"/>
      <c r="Q23" s="791"/>
      <c r="R23" s="791"/>
      <c r="S23" s="791"/>
      <c r="T23" s="791"/>
      <c r="U23" s="791"/>
      <c r="V23" s="791"/>
      <c r="W23" s="791"/>
      <c r="X23" s="791"/>
      <c r="Y23" s="791"/>
      <c r="Z23" s="791"/>
      <c r="AA23" s="791"/>
      <c r="AB23" s="791"/>
      <c r="AC23" s="791"/>
      <c r="AD23" s="791"/>
      <c r="AE23" s="791"/>
      <c r="AF23" s="791"/>
      <c r="AG23" s="791"/>
      <c r="AH23" s="791"/>
      <c r="AI23" s="791"/>
      <c r="AJ23" s="791"/>
      <c r="AK23" s="791"/>
      <c r="AL23" s="791"/>
      <c r="AM23" s="791"/>
      <c r="AN23" s="791"/>
      <c r="AO23" s="791"/>
      <c r="AP23" s="791"/>
      <c r="AQ23" s="791"/>
      <c r="AR23" s="791"/>
      <c r="AS23" s="791"/>
      <c r="AT23" s="791"/>
      <c r="AU23" s="791"/>
      <c r="AV23" s="791"/>
      <c r="AW23" s="791"/>
      <c r="AX23" s="791"/>
      <c r="AY23" s="791"/>
      <c r="AZ23" s="791"/>
      <c r="BA23" s="791"/>
      <c r="BB23" s="791"/>
      <c r="BC23" s="791"/>
      <c r="BD23" s="791"/>
      <c r="BE23" s="791"/>
      <c r="BF23" s="791"/>
      <c r="BG23" s="791"/>
      <c r="BH23" s="791"/>
      <c r="BI23" s="791"/>
      <c r="BJ23" s="791"/>
      <c r="BK23" s="791"/>
      <c r="BL23" s="791"/>
      <c r="BM23" s="791"/>
      <c r="BN23" s="791"/>
      <c r="BO23" s="791"/>
      <c r="BP23" s="791"/>
      <c r="BQ23" s="791"/>
      <c r="BR23" s="791"/>
      <c r="BS23" s="791"/>
      <c r="BT23" s="791"/>
      <c r="BU23" s="791"/>
      <c r="BV23" s="791"/>
      <c r="BW23" s="791"/>
      <c r="BX23" s="791"/>
      <c r="BY23" s="791"/>
      <c r="BZ23" s="791"/>
      <c r="CA23" s="791"/>
      <c r="CB23" s="791"/>
      <c r="CC23" s="791"/>
      <c r="CD23" s="791"/>
      <c r="CE23" s="791"/>
      <c r="CF23" s="791"/>
      <c r="CG23" s="791"/>
    </row>
    <row r="24" spans="1:85" s="814" customFormat="1" ht="21.75" customHeight="1">
      <c r="A24" s="254" t="str">
        <f ca="1">IF(ROWS($1:11)&gt;COUNT(Dong13),"",OFFSET(TH!E$1,SMALL(Dong13,ROWS($1:11)),))</f>
        <v/>
      </c>
      <c r="B24" s="264" t="str">
        <f ca="1">IF(ROWS($1:11)&gt;COUNT(Dong13),"",OFFSET(TH!H$1,SMALL(Dong13,ROWS($1:11)),))</f>
        <v/>
      </c>
      <c r="C24" s="808" t="str">
        <f t="shared" ca="1" si="0"/>
        <v/>
      </c>
      <c r="D24" s="808" t="str">
        <f ca="1">IF(ROWS($1:11)&gt;COUNT(Dong13),"",OFFSET(TH!D$1,SMALL(Dong13,ROWS($1:11)),))</f>
        <v/>
      </c>
      <c r="E24" s="809" t="str">
        <f t="shared" ca="1" si="1"/>
        <v/>
      </c>
      <c r="F24" s="809" t="str">
        <f t="shared" ca="1" si="2"/>
        <v/>
      </c>
      <c r="G24" s="810" t="str">
        <f ca="1">IF(ROWS($1:11)&gt;COUNT(Dong13),"",OFFSET(TH!F$1,SMALL(Dong13,ROWS($1:11)),))</f>
        <v/>
      </c>
      <c r="H24" s="811" t="str">
        <f ca="1">IF(ROWS($1:11)&gt;COUNT(Dong13),"",OFFSET(TH!I$1,SMALL(Dong13,ROWS($1:11)),))</f>
        <v/>
      </c>
      <c r="I24" s="811" t="str">
        <f ca="1">IF(ROWS($1:11)&gt;COUNT(Dong13),"",OFFSET(TH!J$1,SMALL(Dong13,ROWS($1:11)),))</f>
        <v/>
      </c>
      <c r="J24" s="812">
        <f t="shared" ca="1" si="3"/>
        <v>0</v>
      </c>
      <c r="K24" s="815"/>
      <c r="L24" s="813"/>
      <c r="M24" s="791"/>
      <c r="N24" s="791"/>
      <c r="O24" s="791"/>
      <c r="P24" s="791"/>
      <c r="Q24" s="791"/>
      <c r="R24" s="791"/>
      <c r="S24" s="791"/>
      <c r="T24" s="791"/>
      <c r="U24" s="791"/>
      <c r="V24" s="791"/>
      <c r="W24" s="791"/>
      <c r="X24" s="791"/>
      <c r="Y24" s="791"/>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c r="BC24" s="791"/>
      <c r="BD24" s="791"/>
      <c r="BE24" s="791"/>
      <c r="BF24" s="791"/>
      <c r="BG24" s="791"/>
      <c r="BH24" s="791"/>
      <c r="BI24" s="791"/>
      <c r="BJ24" s="791"/>
      <c r="BK24" s="791"/>
      <c r="BL24" s="791"/>
      <c r="BM24" s="791"/>
      <c r="BN24" s="791"/>
      <c r="BO24" s="791"/>
      <c r="BP24" s="791"/>
      <c r="BQ24" s="791"/>
      <c r="BR24" s="791"/>
      <c r="BS24" s="791"/>
      <c r="BT24" s="791"/>
      <c r="BU24" s="791"/>
      <c r="BV24" s="791"/>
      <c r="BW24" s="791"/>
      <c r="BX24" s="791"/>
      <c r="BY24" s="791"/>
      <c r="BZ24" s="791"/>
      <c r="CA24" s="791"/>
      <c r="CB24" s="791"/>
      <c r="CC24" s="791"/>
      <c r="CD24" s="791"/>
      <c r="CE24" s="791"/>
      <c r="CF24" s="791"/>
      <c r="CG24" s="791"/>
    </row>
    <row r="25" spans="1:85" s="814" customFormat="1" ht="21.75" customHeight="1">
      <c r="A25" s="254" t="str">
        <f ca="1">IF(ROWS($1:12)&gt;COUNT(Dong13),"",OFFSET(TH!E$1,SMALL(Dong13,ROWS($1:12)),))</f>
        <v/>
      </c>
      <c r="B25" s="264" t="str">
        <f ca="1">IF(ROWS($1:12)&gt;COUNT(Dong13),"",OFFSET(TH!H$1,SMALL(Dong13,ROWS($1:12)),))</f>
        <v/>
      </c>
      <c r="C25" s="808" t="str">
        <f t="shared" ca="1" si="0"/>
        <v/>
      </c>
      <c r="D25" s="808" t="str">
        <f ca="1">IF(ROWS($1:12)&gt;COUNT(Dong13),"",OFFSET(TH!D$1,SMALL(Dong13,ROWS($1:12)),))</f>
        <v/>
      </c>
      <c r="E25" s="809" t="str">
        <f t="shared" ca="1" si="1"/>
        <v/>
      </c>
      <c r="F25" s="809" t="str">
        <f t="shared" ca="1" si="2"/>
        <v/>
      </c>
      <c r="G25" s="810" t="str">
        <f ca="1">IF(ROWS($1:12)&gt;COUNT(Dong13),"",OFFSET(TH!F$1,SMALL(Dong13,ROWS($1:12)),))</f>
        <v/>
      </c>
      <c r="H25" s="811" t="str">
        <f ca="1">IF(ROWS($1:12)&gt;COUNT(Dong13),"",OFFSET(TH!I$1,SMALL(Dong13,ROWS($1:12)),))</f>
        <v/>
      </c>
      <c r="I25" s="811" t="str">
        <f ca="1">IF(ROWS($1:12)&gt;COUNT(Dong13),"",OFFSET(TH!J$1,SMALL(Dong13,ROWS($1:12)),))</f>
        <v/>
      </c>
      <c r="J25" s="812">
        <f t="shared" ca="1" si="3"/>
        <v>0</v>
      </c>
      <c r="K25" s="815"/>
      <c r="L25" s="813"/>
      <c r="M25" s="791"/>
      <c r="N25" s="791"/>
      <c r="O25" s="791"/>
      <c r="P25" s="791"/>
      <c r="Q25" s="791"/>
      <c r="R25" s="791"/>
      <c r="S25" s="791"/>
      <c r="T25" s="791"/>
      <c r="U25" s="791"/>
      <c r="V25" s="791"/>
      <c r="W25" s="791"/>
      <c r="X25" s="791"/>
      <c r="Y25" s="791"/>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c r="BC25" s="791"/>
      <c r="BD25" s="791"/>
      <c r="BE25" s="791"/>
      <c r="BF25" s="791"/>
      <c r="BG25" s="791"/>
      <c r="BH25" s="791"/>
      <c r="BI25" s="791"/>
      <c r="BJ25" s="791"/>
      <c r="BK25" s="791"/>
      <c r="BL25" s="791"/>
      <c r="BM25" s="791"/>
      <c r="BN25" s="791"/>
      <c r="BO25" s="791"/>
      <c r="BP25" s="791"/>
      <c r="BQ25" s="791"/>
      <c r="BR25" s="791"/>
      <c r="BS25" s="791"/>
      <c r="BT25" s="791"/>
      <c r="BU25" s="791"/>
      <c r="BV25" s="791"/>
      <c r="BW25" s="791"/>
      <c r="BX25" s="791"/>
      <c r="BY25" s="791"/>
      <c r="BZ25" s="791"/>
      <c r="CA25" s="791"/>
      <c r="CB25" s="791"/>
      <c r="CC25" s="791"/>
      <c r="CD25" s="791"/>
      <c r="CE25" s="791"/>
      <c r="CF25" s="791"/>
      <c r="CG25" s="791"/>
    </row>
    <row r="26" spans="1:85" s="814" customFormat="1" ht="21.75" customHeight="1">
      <c r="A26" s="254" t="str">
        <f ca="1">IF(ROWS($1:13)&gt;COUNT(Dong13),"",OFFSET(TH!E$1,SMALL(Dong13,ROWS($1:13)),))</f>
        <v/>
      </c>
      <c r="B26" s="264" t="str">
        <f ca="1">IF(ROWS($1:13)&gt;COUNT(Dong13),"",OFFSET(TH!H$1,SMALL(Dong13,ROWS($1:13)),))</f>
        <v/>
      </c>
      <c r="C26" s="808" t="str">
        <f t="shared" ca="1" si="0"/>
        <v/>
      </c>
      <c r="D26" s="808" t="str">
        <f ca="1">IF(ROWS($1:13)&gt;COUNT(Dong13),"",OFFSET(TH!D$1,SMALL(Dong13,ROWS($1:13)),))</f>
        <v/>
      </c>
      <c r="E26" s="809" t="str">
        <f t="shared" ca="1" si="1"/>
        <v/>
      </c>
      <c r="F26" s="809" t="str">
        <f t="shared" ca="1" si="2"/>
        <v/>
      </c>
      <c r="G26" s="810" t="str">
        <f ca="1">IF(ROWS($1:13)&gt;COUNT(Dong13),"",OFFSET(TH!F$1,SMALL(Dong13,ROWS($1:13)),))</f>
        <v/>
      </c>
      <c r="H26" s="811" t="str">
        <f ca="1">IF(ROWS($1:13)&gt;COUNT(Dong13),"",OFFSET(TH!I$1,SMALL(Dong13,ROWS($1:13)),))</f>
        <v/>
      </c>
      <c r="I26" s="811" t="str">
        <f ca="1">IF(ROWS($1:13)&gt;COUNT(Dong13),"",OFFSET(TH!J$1,SMALL(Dong13,ROWS($1:13)),))</f>
        <v/>
      </c>
      <c r="J26" s="812">
        <f t="shared" ca="1" si="3"/>
        <v>0</v>
      </c>
      <c r="K26" s="815"/>
      <c r="L26" s="813"/>
      <c r="M26" s="791"/>
      <c r="N26" s="791"/>
      <c r="O26" s="791"/>
      <c r="P26" s="791"/>
      <c r="Q26" s="791"/>
      <c r="R26" s="791"/>
      <c r="S26" s="791"/>
      <c r="T26" s="791"/>
      <c r="U26" s="791"/>
      <c r="V26" s="791"/>
      <c r="W26" s="791"/>
      <c r="X26" s="791"/>
      <c r="Y26" s="791"/>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c r="BC26" s="791"/>
      <c r="BD26" s="791"/>
      <c r="BE26" s="791"/>
      <c r="BF26" s="791"/>
      <c r="BG26" s="791"/>
      <c r="BH26" s="791"/>
      <c r="BI26" s="791"/>
      <c r="BJ26" s="791"/>
      <c r="BK26" s="791"/>
      <c r="BL26" s="791"/>
      <c r="BM26" s="791"/>
      <c r="BN26" s="791"/>
      <c r="BO26" s="791"/>
      <c r="BP26" s="791"/>
      <c r="BQ26" s="791"/>
      <c r="BR26" s="791"/>
      <c r="BS26" s="791"/>
      <c r="BT26" s="791"/>
      <c r="BU26" s="791"/>
      <c r="BV26" s="791"/>
      <c r="BW26" s="791"/>
      <c r="BX26" s="791"/>
      <c r="BY26" s="791"/>
      <c r="BZ26" s="791"/>
      <c r="CA26" s="791"/>
      <c r="CB26" s="791"/>
      <c r="CC26" s="791"/>
      <c r="CD26" s="791"/>
      <c r="CE26" s="791"/>
      <c r="CF26" s="791"/>
      <c r="CG26" s="791"/>
    </row>
    <row r="27" spans="1:85" s="814" customFormat="1" ht="21.75" customHeight="1">
      <c r="A27" s="254" t="str">
        <f ca="1">IF(ROWS($1:14)&gt;COUNT(Dong13),"",OFFSET(TH!E$1,SMALL(Dong13,ROWS($1:14)),))</f>
        <v/>
      </c>
      <c r="B27" s="264" t="str">
        <f ca="1">IF(ROWS($1:14)&gt;COUNT(Dong13),"",OFFSET(TH!H$1,SMALL(Dong13,ROWS($1:14)),))</f>
        <v/>
      </c>
      <c r="C27" s="808" t="str">
        <f t="shared" ca="1" si="0"/>
        <v/>
      </c>
      <c r="D27" s="808" t="str">
        <f ca="1">IF(ROWS($1:14)&gt;COUNT(Dong13),"",OFFSET(TH!D$1,SMALL(Dong13,ROWS($1:14)),))</f>
        <v/>
      </c>
      <c r="E27" s="809" t="str">
        <f t="shared" ca="1" si="1"/>
        <v/>
      </c>
      <c r="F27" s="809" t="str">
        <f t="shared" ca="1" si="2"/>
        <v/>
      </c>
      <c r="G27" s="810" t="str">
        <f ca="1">IF(ROWS($1:14)&gt;COUNT(Dong13),"",OFFSET(TH!F$1,SMALL(Dong13,ROWS($1:14)),))</f>
        <v/>
      </c>
      <c r="H27" s="811" t="str">
        <f ca="1">IF(ROWS($1:14)&gt;COUNT(Dong13),"",OFFSET(TH!I$1,SMALL(Dong13,ROWS($1:14)),))</f>
        <v/>
      </c>
      <c r="I27" s="811" t="str">
        <f ca="1">IF(ROWS($1:14)&gt;COUNT(Dong13),"",OFFSET(TH!J$1,SMALL(Dong13,ROWS($1:14)),))</f>
        <v/>
      </c>
      <c r="J27" s="812">
        <f t="shared" ca="1" si="3"/>
        <v>0</v>
      </c>
      <c r="K27" s="815"/>
      <c r="L27" s="813"/>
      <c r="M27" s="791"/>
      <c r="N27" s="791"/>
      <c r="O27" s="791"/>
      <c r="P27" s="791"/>
      <c r="Q27" s="791"/>
      <c r="R27" s="791"/>
      <c r="S27" s="791"/>
      <c r="T27" s="791"/>
      <c r="U27" s="791"/>
      <c r="V27" s="791"/>
      <c r="W27" s="791"/>
      <c r="X27" s="791"/>
      <c r="Y27" s="791"/>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c r="BC27" s="791"/>
      <c r="BD27" s="791"/>
      <c r="BE27" s="791"/>
      <c r="BF27" s="791"/>
      <c r="BG27" s="791"/>
      <c r="BH27" s="791"/>
      <c r="BI27" s="791"/>
      <c r="BJ27" s="791"/>
      <c r="BK27" s="791"/>
      <c r="BL27" s="791"/>
      <c r="BM27" s="791"/>
      <c r="BN27" s="791"/>
      <c r="BO27" s="791"/>
      <c r="BP27" s="791"/>
      <c r="BQ27" s="791"/>
      <c r="BR27" s="791"/>
      <c r="BS27" s="791"/>
      <c r="BT27" s="791"/>
      <c r="BU27" s="791"/>
      <c r="BV27" s="791"/>
      <c r="BW27" s="791"/>
      <c r="BX27" s="791"/>
      <c r="BY27" s="791"/>
      <c r="BZ27" s="791"/>
      <c r="CA27" s="791"/>
      <c r="CB27" s="791"/>
      <c r="CC27" s="791"/>
      <c r="CD27" s="791"/>
      <c r="CE27" s="791"/>
      <c r="CF27" s="791"/>
      <c r="CG27" s="791"/>
    </row>
    <row r="28" spans="1:85" s="814" customFormat="1" ht="21.75" customHeight="1">
      <c r="A28" s="254" t="str">
        <f ca="1">IF(ROWS($1:15)&gt;COUNT(Dong13),"",OFFSET(TH!E$1,SMALL(Dong13,ROWS($1:15)),))</f>
        <v/>
      </c>
      <c r="B28" s="264" t="str">
        <f ca="1">IF(ROWS($1:15)&gt;COUNT(Dong13),"",OFFSET(TH!H$1,SMALL(Dong13,ROWS($1:15)),))</f>
        <v/>
      </c>
      <c r="C28" s="808" t="str">
        <f t="shared" ca="1" si="0"/>
        <v/>
      </c>
      <c r="D28" s="808" t="str">
        <f ca="1">IF(ROWS($1:15)&gt;COUNT(Dong13),"",OFFSET(TH!D$1,SMALL(Dong13,ROWS($1:15)),))</f>
        <v/>
      </c>
      <c r="E28" s="809" t="str">
        <f t="shared" ca="1" si="1"/>
        <v/>
      </c>
      <c r="F28" s="809" t="str">
        <f t="shared" ca="1" si="2"/>
        <v/>
      </c>
      <c r="G28" s="810" t="str">
        <f ca="1">IF(ROWS($1:15)&gt;COUNT(Dong13),"",OFFSET(TH!F$1,SMALL(Dong13,ROWS($1:15)),))</f>
        <v/>
      </c>
      <c r="H28" s="811" t="str">
        <f ca="1">IF(ROWS($1:15)&gt;COUNT(Dong13),"",OFFSET(TH!I$1,SMALL(Dong13,ROWS($1:15)),))</f>
        <v/>
      </c>
      <c r="I28" s="811" t="str">
        <f ca="1">IF(ROWS($1:15)&gt;COUNT(Dong13),"",OFFSET(TH!J$1,SMALL(Dong13,ROWS($1:15)),))</f>
        <v/>
      </c>
      <c r="J28" s="812">
        <f t="shared" ca="1" si="3"/>
        <v>0</v>
      </c>
      <c r="K28" s="815"/>
      <c r="L28" s="813"/>
      <c r="M28" s="791"/>
      <c r="N28" s="791"/>
      <c r="O28" s="791"/>
      <c r="P28" s="791"/>
      <c r="Q28" s="791"/>
      <c r="R28" s="791"/>
      <c r="S28" s="791"/>
      <c r="T28" s="791"/>
      <c r="U28" s="791"/>
      <c r="V28" s="791"/>
      <c r="W28" s="791"/>
      <c r="X28" s="791"/>
      <c r="Y28" s="791"/>
      <c r="Z28" s="791"/>
      <c r="AA28" s="791"/>
      <c r="AB28" s="791"/>
      <c r="AC28" s="791"/>
      <c r="AD28" s="791"/>
      <c r="AE28" s="791"/>
      <c r="AF28" s="791"/>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c r="BC28" s="791"/>
      <c r="BD28" s="791"/>
      <c r="BE28" s="791"/>
      <c r="BF28" s="791"/>
      <c r="BG28" s="791"/>
      <c r="BH28" s="791"/>
      <c r="BI28" s="791"/>
      <c r="BJ28" s="791"/>
      <c r="BK28" s="791"/>
      <c r="BL28" s="791"/>
      <c r="BM28" s="791"/>
      <c r="BN28" s="791"/>
      <c r="BO28" s="791"/>
      <c r="BP28" s="791"/>
      <c r="BQ28" s="791"/>
      <c r="BR28" s="791"/>
      <c r="BS28" s="791"/>
      <c r="BT28" s="791"/>
      <c r="BU28" s="791"/>
      <c r="BV28" s="791"/>
      <c r="BW28" s="791"/>
      <c r="BX28" s="791"/>
      <c r="BY28" s="791"/>
      <c r="BZ28" s="791"/>
      <c r="CA28" s="791"/>
      <c r="CB28" s="791"/>
      <c r="CC28" s="791"/>
      <c r="CD28" s="791"/>
      <c r="CE28" s="791"/>
      <c r="CF28" s="791"/>
      <c r="CG28" s="791"/>
    </row>
    <row r="29" spans="1:85" s="814" customFormat="1" ht="21.75" customHeight="1">
      <c r="A29" s="254" t="str">
        <f ca="1">IF(ROWS($1:16)&gt;COUNT(Dong13),"",OFFSET(TH!E$1,SMALL(Dong13,ROWS($1:16)),))</f>
        <v/>
      </c>
      <c r="B29" s="264" t="str">
        <f ca="1">IF(ROWS($1:16)&gt;COUNT(Dong13),"",OFFSET(TH!H$1,SMALL(Dong13,ROWS($1:16)),))</f>
        <v/>
      </c>
      <c r="C29" s="808" t="str">
        <f t="shared" ca="1" si="0"/>
        <v/>
      </c>
      <c r="D29" s="808" t="str">
        <f ca="1">IF(ROWS($1:16)&gt;COUNT(Dong13),"",OFFSET(TH!D$1,SMALL(Dong13,ROWS($1:16)),))</f>
        <v/>
      </c>
      <c r="E29" s="809" t="str">
        <f t="shared" ca="1" si="1"/>
        <v/>
      </c>
      <c r="F29" s="809" t="str">
        <f t="shared" ca="1" si="2"/>
        <v/>
      </c>
      <c r="G29" s="810" t="str">
        <f ca="1">IF(ROWS($1:16)&gt;COUNT(Dong13),"",OFFSET(TH!F$1,SMALL(Dong13,ROWS($1:16)),))</f>
        <v/>
      </c>
      <c r="H29" s="811" t="str">
        <f ca="1">IF(ROWS($1:16)&gt;COUNT(Dong13),"",OFFSET(TH!I$1,SMALL(Dong13,ROWS($1:16)),))</f>
        <v/>
      </c>
      <c r="I29" s="811" t="str">
        <f ca="1">IF(ROWS($1:16)&gt;COUNT(Dong13),"",OFFSET(TH!J$1,SMALL(Dong13,ROWS($1:16)),))</f>
        <v/>
      </c>
      <c r="J29" s="812">
        <f t="shared" ca="1" si="3"/>
        <v>0</v>
      </c>
      <c r="K29" s="815"/>
      <c r="L29" s="813"/>
      <c r="M29" s="791"/>
      <c r="N29" s="791"/>
      <c r="O29" s="791"/>
      <c r="P29" s="791"/>
      <c r="Q29" s="791"/>
      <c r="R29" s="791"/>
      <c r="S29" s="791"/>
      <c r="T29" s="791"/>
      <c r="U29" s="791"/>
      <c r="V29" s="791"/>
      <c r="W29" s="791"/>
      <c r="X29" s="791"/>
      <c r="Y29" s="791"/>
      <c r="Z29" s="791"/>
      <c r="AA29" s="791"/>
      <c r="AB29" s="791"/>
      <c r="AC29" s="791"/>
      <c r="AD29" s="791"/>
      <c r="AE29" s="791"/>
      <c r="AF29" s="791"/>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c r="BC29" s="791"/>
      <c r="BD29" s="791"/>
      <c r="BE29" s="791"/>
      <c r="BF29" s="791"/>
      <c r="BG29" s="791"/>
      <c r="BH29" s="791"/>
      <c r="BI29" s="791"/>
      <c r="BJ29" s="791"/>
      <c r="BK29" s="791"/>
      <c r="BL29" s="791"/>
      <c r="BM29" s="791"/>
      <c r="BN29" s="791"/>
      <c r="BO29" s="791"/>
      <c r="BP29" s="791"/>
      <c r="BQ29" s="791"/>
      <c r="BR29" s="791"/>
      <c r="BS29" s="791"/>
      <c r="BT29" s="791"/>
      <c r="BU29" s="791"/>
      <c r="BV29" s="791"/>
      <c r="BW29" s="791"/>
      <c r="BX29" s="791"/>
      <c r="BY29" s="791"/>
      <c r="BZ29" s="791"/>
      <c r="CA29" s="791"/>
      <c r="CB29" s="791"/>
      <c r="CC29" s="791"/>
      <c r="CD29" s="791"/>
      <c r="CE29" s="791"/>
      <c r="CF29" s="791"/>
      <c r="CG29" s="791"/>
    </row>
    <row r="30" spans="1:85" s="814" customFormat="1" ht="21.75" customHeight="1">
      <c r="A30" s="254" t="str">
        <f ca="1">IF(ROWS($1:17)&gt;COUNT(Dong13),"",OFFSET(TH!E$1,SMALL(Dong13,ROWS($1:17)),))</f>
        <v/>
      </c>
      <c r="B30" s="264" t="str">
        <f ca="1">IF(ROWS($1:17)&gt;COUNT(Dong13),"",OFFSET(TH!H$1,SMALL(Dong13,ROWS($1:17)),))</f>
        <v/>
      </c>
      <c r="C30" s="808" t="str">
        <f t="shared" ca="1" si="0"/>
        <v/>
      </c>
      <c r="D30" s="808" t="str">
        <f ca="1">IF(ROWS($1:17)&gt;COUNT(Dong13),"",OFFSET(TH!D$1,SMALL(Dong13,ROWS($1:17)),))</f>
        <v/>
      </c>
      <c r="E30" s="809" t="str">
        <f t="shared" ca="1" si="1"/>
        <v/>
      </c>
      <c r="F30" s="809" t="str">
        <f t="shared" ca="1" si="2"/>
        <v/>
      </c>
      <c r="G30" s="810" t="str">
        <f ca="1">IF(ROWS($1:17)&gt;COUNT(Dong13),"",OFFSET(TH!F$1,SMALL(Dong13,ROWS($1:17)),))</f>
        <v/>
      </c>
      <c r="H30" s="811" t="str">
        <f ca="1">IF(ROWS($1:17)&gt;COUNT(Dong13),"",OFFSET(TH!I$1,SMALL(Dong13,ROWS($1:17)),))</f>
        <v/>
      </c>
      <c r="I30" s="811" t="str">
        <f ca="1">IF(ROWS($1:17)&gt;COUNT(Dong13),"",OFFSET(TH!J$1,SMALL(Dong13,ROWS($1:17)),))</f>
        <v/>
      </c>
      <c r="J30" s="812">
        <f t="shared" ca="1" si="3"/>
        <v>0</v>
      </c>
      <c r="K30" s="815"/>
      <c r="L30" s="813"/>
      <c r="M30" s="791"/>
      <c r="N30" s="791"/>
      <c r="O30" s="791"/>
      <c r="P30" s="791"/>
      <c r="Q30" s="791"/>
      <c r="R30" s="791"/>
      <c r="S30" s="791"/>
      <c r="T30" s="791"/>
      <c r="U30" s="791"/>
      <c r="V30" s="791"/>
      <c r="W30" s="791"/>
      <c r="X30" s="791"/>
      <c r="Y30" s="791"/>
      <c r="Z30" s="791"/>
      <c r="AA30" s="791"/>
      <c r="AB30" s="791"/>
      <c r="AC30" s="791"/>
      <c r="AD30" s="791"/>
      <c r="AE30" s="791"/>
      <c r="AF30" s="791"/>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c r="BC30" s="791"/>
      <c r="BD30" s="791"/>
      <c r="BE30" s="791"/>
      <c r="BF30" s="791"/>
      <c r="BG30" s="791"/>
      <c r="BH30" s="791"/>
      <c r="BI30" s="791"/>
      <c r="BJ30" s="791"/>
      <c r="BK30" s="791"/>
      <c r="BL30" s="791"/>
      <c r="BM30" s="791"/>
      <c r="BN30" s="791"/>
      <c r="BO30" s="791"/>
      <c r="BP30" s="791"/>
      <c r="BQ30" s="791"/>
      <c r="BR30" s="791"/>
      <c r="BS30" s="791"/>
      <c r="BT30" s="791"/>
      <c r="BU30" s="791"/>
      <c r="BV30" s="791"/>
      <c r="BW30" s="791"/>
      <c r="BX30" s="791"/>
      <c r="BY30" s="791"/>
      <c r="BZ30" s="791"/>
      <c r="CA30" s="791"/>
      <c r="CB30" s="791"/>
      <c r="CC30" s="791"/>
      <c r="CD30" s="791"/>
      <c r="CE30" s="791"/>
      <c r="CF30" s="791"/>
      <c r="CG30" s="791"/>
    </row>
    <row r="31" spans="1:85" s="814" customFormat="1" ht="21.75" customHeight="1">
      <c r="A31" s="254" t="str">
        <f ca="1">IF(ROWS($1:18)&gt;COUNT(Dong13),"",OFFSET(TH!E$1,SMALL(Dong13,ROWS($1:18)),))</f>
        <v/>
      </c>
      <c r="B31" s="264" t="str">
        <f ca="1">IF(ROWS($1:18)&gt;COUNT(Dong13),"",OFFSET(TH!H$1,SMALL(Dong13,ROWS($1:18)),))</f>
        <v/>
      </c>
      <c r="C31" s="808" t="str">
        <f t="shared" ca="1" si="0"/>
        <v/>
      </c>
      <c r="D31" s="808" t="str">
        <f ca="1">IF(ROWS($1:18)&gt;COUNT(Dong13),"",OFFSET(TH!D$1,SMALL(Dong13,ROWS($1:18)),))</f>
        <v/>
      </c>
      <c r="E31" s="809" t="str">
        <f t="shared" ca="1" si="1"/>
        <v/>
      </c>
      <c r="F31" s="809" t="str">
        <f t="shared" ca="1" si="2"/>
        <v/>
      </c>
      <c r="G31" s="810" t="str">
        <f ca="1">IF(ROWS($1:18)&gt;COUNT(Dong13),"",OFFSET(TH!F$1,SMALL(Dong13,ROWS($1:18)),))</f>
        <v/>
      </c>
      <c r="H31" s="811" t="str">
        <f ca="1">IF(ROWS($1:18)&gt;COUNT(Dong13),"",OFFSET(TH!I$1,SMALL(Dong13,ROWS($1:18)),))</f>
        <v/>
      </c>
      <c r="I31" s="811" t="str">
        <f ca="1">IF(ROWS($1:18)&gt;COUNT(Dong13),"",OFFSET(TH!J$1,SMALL(Dong13,ROWS($1:18)),))</f>
        <v/>
      </c>
      <c r="J31" s="812">
        <f t="shared" ca="1" si="3"/>
        <v>0</v>
      </c>
      <c r="K31" s="815"/>
      <c r="L31" s="813"/>
      <c r="M31" s="791"/>
      <c r="N31" s="791"/>
      <c r="O31" s="791"/>
      <c r="P31" s="791"/>
      <c r="Q31" s="791"/>
      <c r="R31" s="791"/>
      <c r="S31" s="791"/>
      <c r="T31" s="791"/>
      <c r="U31" s="791"/>
      <c r="V31" s="791"/>
      <c r="W31" s="791"/>
      <c r="X31" s="791"/>
      <c r="Y31" s="791"/>
      <c r="Z31" s="791"/>
      <c r="AA31" s="791"/>
      <c r="AB31" s="791"/>
      <c r="AC31" s="791"/>
      <c r="AD31" s="791"/>
      <c r="AE31" s="791"/>
      <c r="AF31" s="791"/>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c r="BC31" s="791"/>
      <c r="BD31" s="791"/>
      <c r="BE31" s="791"/>
      <c r="BF31" s="791"/>
      <c r="BG31" s="791"/>
      <c r="BH31" s="791"/>
      <c r="BI31" s="791"/>
      <c r="BJ31" s="791"/>
      <c r="BK31" s="791"/>
      <c r="BL31" s="791"/>
      <c r="BM31" s="791"/>
      <c r="BN31" s="791"/>
      <c r="BO31" s="791"/>
      <c r="BP31" s="791"/>
      <c r="BQ31" s="791"/>
      <c r="BR31" s="791"/>
      <c r="BS31" s="791"/>
      <c r="BT31" s="791"/>
      <c r="BU31" s="791"/>
      <c r="BV31" s="791"/>
      <c r="BW31" s="791"/>
      <c r="BX31" s="791"/>
      <c r="BY31" s="791"/>
      <c r="BZ31" s="791"/>
      <c r="CA31" s="791"/>
      <c r="CB31" s="791"/>
      <c r="CC31" s="791"/>
      <c r="CD31" s="791"/>
      <c r="CE31" s="791"/>
      <c r="CF31" s="791"/>
      <c r="CG31" s="791"/>
    </row>
    <row r="32" spans="1:85" s="814" customFormat="1" ht="21.75" customHeight="1">
      <c r="A32" s="254" t="str">
        <f ca="1">IF(ROWS($1:19)&gt;COUNT(Dong13),"",OFFSET(TH!E$1,SMALL(Dong13,ROWS($1:19)),))</f>
        <v/>
      </c>
      <c r="B32" s="264" t="str">
        <f ca="1">IF(ROWS($1:19)&gt;COUNT(Dong13),"",OFFSET(TH!H$1,SMALL(Dong13,ROWS($1:19)),))</f>
        <v/>
      </c>
      <c r="C32" s="808" t="str">
        <f t="shared" ca="1" si="0"/>
        <v/>
      </c>
      <c r="D32" s="808" t="str">
        <f ca="1">IF(ROWS($1:19)&gt;COUNT(Dong13),"",OFFSET(TH!D$1,SMALL(Dong13,ROWS($1:19)),))</f>
        <v/>
      </c>
      <c r="E32" s="809" t="str">
        <f t="shared" ca="1" si="1"/>
        <v/>
      </c>
      <c r="F32" s="809" t="str">
        <f t="shared" ca="1" si="2"/>
        <v/>
      </c>
      <c r="G32" s="810" t="str">
        <f ca="1">IF(ROWS($1:19)&gt;COUNT(Dong13),"",OFFSET(TH!F$1,SMALL(Dong13,ROWS($1:19)),))</f>
        <v/>
      </c>
      <c r="H32" s="811" t="str">
        <f ca="1">IF(ROWS($1:19)&gt;COUNT(Dong13),"",OFFSET(TH!I$1,SMALL(Dong13,ROWS($1:19)),))</f>
        <v/>
      </c>
      <c r="I32" s="811" t="str">
        <f ca="1">IF(ROWS($1:19)&gt;COUNT(Dong13),"",OFFSET(TH!J$1,SMALL(Dong13,ROWS($1:19)),))</f>
        <v/>
      </c>
      <c r="J32" s="812">
        <f t="shared" ca="1" si="3"/>
        <v>0</v>
      </c>
      <c r="K32" s="815"/>
      <c r="L32" s="813"/>
      <c r="M32" s="791"/>
      <c r="N32" s="791"/>
      <c r="O32" s="791"/>
      <c r="P32" s="791"/>
      <c r="Q32" s="791"/>
      <c r="R32" s="791"/>
      <c r="S32" s="791"/>
      <c r="T32" s="791"/>
      <c r="U32" s="791"/>
      <c r="V32" s="791"/>
      <c r="W32" s="791"/>
      <c r="X32" s="791"/>
      <c r="Y32" s="791"/>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c r="BC32" s="791"/>
      <c r="BD32" s="791"/>
      <c r="BE32" s="791"/>
      <c r="BF32" s="791"/>
      <c r="BG32" s="791"/>
      <c r="BH32" s="791"/>
      <c r="BI32" s="791"/>
      <c r="BJ32" s="791"/>
      <c r="BK32" s="791"/>
      <c r="BL32" s="791"/>
      <c r="BM32" s="791"/>
      <c r="BN32" s="791"/>
      <c r="BO32" s="791"/>
      <c r="BP32" s="791"/>
      <c r="BQ32" s="791"/>
      <c r="BR32" s="791"/>
      <c r="BS32" s="791"/>
      <c r="BT32" s="791"/>
      <c r="BU32" s="791"/>
      <c r="BV32" s="791"/>
      <c r="BW32" s="791"/>
      <c r="BX32" s="791"/>
      <c r="BY32" s="791"/>
      <c r="BZ32" s="791"/>
      <c r="CA32" s="791"/>
      <c r="CB32" s="791"/>
      <c r="CC32" s="791"/>
      <c r="CD32" s="791"/>
      <c r="CE32" s="791"/>
      <c r="CF32" s="791"/>
      <c r="CG32" s="791"/>
    </row>
    <row r="33" spans="1:85" s="814" customFormat="1" ht="21.75" customHeight="1">
      <c r="A33" s="254" t="str">
        <f ca="1">IF(ROWS($1:20)&gt;COUNT(Dong13),"",OFFSET(TH!E$1,SMALL(Dong13,ROWS($1:20)),))</f>
        <v/>
      </c>
      <c r="B33" s="264" t="str">
        <f ca="1">IF(ROWS($1:20)&gt;COUNT(Dong13),"",OFFSET(TH!H$1,SMALL(Dong13,ROWS($1:20)),))</f>
        <v/>
      </c>
      <c r="C33" s="808" t="str">
        <f t="shared" ca="1" si="0"/>
        <v/>
      </c>
      <c r="D33" s="808" t="str">
        <f ca="1">IF(ROWS($1:20)&gt;COUNT(Dong13),"",OFFSET(TH!D$1,SMALL(Dong13,ROWS($1:20)),))</f>
        <v/>
      </c>
      <c r="E33" s="809" t="str">
        <f t="shared" ca="1" si="1"/>
        <v/>
      </c>
      <c r="F33" s="809" t="str">
        <f t="shared" ca="1" si="2"/>
        <v/>
      </c>
      <c r="G33" s="810" t="str">
        <f ca="1">IF(ROWS($1:20)&gt;COUNT(Dong13),"",OFFSET(TH!F$1,SMALL(Dong13,ROWS($1:20)),))</f>
        <v/>
      </c>
      <c r="H33" s="811" t="str">
        <f ca="1">IF(ROWS($1:20)&gt;COUNT(Dong13),"",OFFSET(TH!I$1,SMALL(Dong13,ROWS($1:20)),))</f>
        <v/>
      </c>
      <c r="I33" s="811" t="str">
        <f ca="1">IF(ROWS($1:20)&gt;COUNT(Dong13),"",OFFSET(TH!J$1,SMALL(Dong13,ROWS($1:20)),))</f>
        <v/>
      </c>
      <c r="J33" s="812">
        <f t="shared" ca="1" si="3"/>
        <v>0</v>
      </c>
      <c r="K33" s="815"/>
      <c r="L33" s="813"/>
      <c r="M33" s="791"/>
      <c r="N33" s="791"/>
      <c r="O33" s="791"/>
      <c r="P33" s="791"/>
      <c r="Q33" s="791"/>
      <c r="R33" s="791"/>
      <c r="S33" s="791"/>
      <c r="T33" s="791"/>
      <c r="U33" s="791"/>
      <c r="V33" s="791"/>
      <c r="W33" s="791"/>
      <c r="X33" s="791"/>
      <c r="Y33" s="791"/>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c r="BC33" s="791"/>
      <c r="BD33" s="791"/>
      <c r="BE33" s="791"/>
      <c r="BF33" s="791"/>
      <c r="BG33" s="791"/>
      <c r="BH33" s="791"/>
      <c r="BI33" s="791"/>
      <c r="BJ33" s="791"/>
      <c r="BK33" s="791"/>
      <c r="BL33" s="791"/>
      <c r="BM33" s="791"/>
      <c r="BN33" s="791"/>
      <c r="BO33" s="791"/>
      <c r="BP33" s="791"/>
      <c r="BQ33" s="791"/>
      <c r="BR33" s="791"/>
      <c r="BS33" s="791"/>
      <c r="BT33" s="791"/>
      <c r="BU33" s="791"/>
      <c r="BV33" s="791"/>
      <c r="BW33" s="791"/>
      <c r="BX33" s="791"/>
      <c r="BY33" s="791"/>
      <c r="BZ33" s="791"/>
      <c r="CA33" s="791"/>
      <c r="CB33" s="791"/>
      <c r="CC33" s="791"/>
      <c r="CD33" s="791"/>
      <c r="CE33" s="791"/>
      <c r="CF33" s="791"/>
      <c r="CG33" s="791"/>
    </row>
    <row r="34" spans="1:85" s="814" customFormat="1" ht="21.75" customHeight="1">
      <c r="A34" s="254" t="str">
        <f ca="1">IF(ROWS($1:21)&gt;COUNT(Dong13),"",OFFSET(TH!E$1,SMALL(Dong13,ROWS($1:21)),))</f>
        <v/>
      </c>
      <c r="B34" s="264" t="str">
        <f ca="1">IF(ROWS($1:21)&gt;COUNT(Dong13),"",OFFSET(TH!H$1,SMALL(Dong13,ROWS($1:21)),))</f>
        <v/>
      </c>
      <c r="C34" s="808" t="str">
        <f t="shared" ca="1" si="0"/>
        <v/>
      </c>
      <c r="D34" s="808" t="str">
        <f ca="1">IF(ROWS($1:21)&gt;COUNT(Dong13),"",OFFSET(TH!D$1,SMALL(Dong13,ROWS($1:21)),))</f>
        <v/>
      </c>
      <c r="E34" s="809" t="str">
        <f t="shared" ca="1" si="1"/>
        <v/>
      </c>
      <c r="F34" s="809" t="str">
        <f t="shared" ca="1" si="2"/>
        <v/>
      </c>
      <c r="G34" s="810" t="str">
        <f ca="1">IF(ROWS($1:21)&gt;COUNT(Dong13),"",OFFSET(TH!F$1,SMALL(Dong13,ROWS($1:21)),))</f>
        <v/>
      </c>
      <c r="H34" s="811" t="str">
        <f ca="1">IF(ROWS($1:21)&gt;COUNT(Dong13),"",OFFSET(TH!I$1,SMALL(Dong13,ROWS($1:21)),))</f>
        <v/>
      </c>
      <c r="I34" s="811" t="str">
        <f ca="1">IF(ROWS($1:21)&gt;COUNT(Dong13),"",OFFSET(TH!J$1,SMALL(Dong13,ROWS($1:21)),))</f>
        <v/>
      </c>
      <c r="J34" s="812">
        <f t="shared" ca="1" si="3"/>
        <v>0</v>
      </c>
      <c r="K34" s="815"/>
      <c r="L34" s="813"/>
      <c r="M34" s="791"/>
      <c r="N34" s="791"/>
      <c r="O34" s="791"/>
      <c r="P34" s="791"/>
      <c r="Q34" s="791"/>
      <c r="R34" s="791"/>
      <c r="S34" s="791"/>
      <c r="T34" s="791"/>
      <c r="U34" s="791"/>
      <c r="V34" s="791"/>
      <c r="W34" s="791"/>
      <c r="X34" s="791"/>
      <c r="Y34" s="791"/>
      <c r="Z34" s="791"/>
      <c r="AA34" s="791"/>
      <c r="AB34" s="791"/>
      <c r="AC34" s="791"/>
      <c r="AD34" s="791"/>
      <c r="AE34" s="791"/>
      <c r="AF34" s="791"/>
      <c r="AG34" s="791"/>
      <c r="AH34" s="791"/>
      <c r="AI34" s="791"/>
      <c r="AJ34" s="791"/>
      <c r="AK34" s="791"/>
      <c r="AL34" s="791"/>
      <c r="AM34" s="791"/>
      <c r="AN34" s="791"/>
      <c r="AO34" s="791"/>
      <c r="AP34" s="791"/>
      <c r="AQ34" s="791"/>
      <c r="AR34" s="791"/>
      <c r="AS34" s="791"/>
      <c r="AT34" s="791"/>
      <c r="AU34" s="791"/>
      <c r="AV34" s="791"/>
      <c r="AW34" s="791"/>
      <c r="AX34" s="791"/>
      <c r="AY34" s="791"/>
      <c r="AZ34" s="791"/>
      <c r="BA34" s="791"/>
      <c r="BB34" s="791"/>
      <c r="BC34" s="791"/>
      <c r="BD34" s="791"/>
      <c r="BE34" s="791"/>
      <c r="BF34" s="791"/>
      <c r="BG34" s="791"/>
      <c r="BH34" s="791"/>
      <c r="BI34" s="791"/>
      <c r="BJ34" s="791"/>
      <c r="BK34" s="791"/>
      <c r="BL34" s="791"/>
      <c r="BM34" s="791"/>
      <c r="BN34" s="791"/>
      <c r="BO34" s="791"/>
      <c r="BP34" s="791"/>
      <c r="BQ34" s="791"/>
      <c r="BR34" s="791"/>
      <c r="BS34" s="791"/>
      <c r="BT34" s="791"/>
      <c r="BU34" s="791"/>
      <c r="BV34" s="791"/>
      <c r="BW34" s="791"/>
      <c r="BX34" s="791"/>
      <c r="BY34" s="791"/>
      <c r="BZ34" s="791"/>
      <c r="CA34" s="791"/>
      <c r="CB34" s="791"/>
      <c r="CC34" s="791"/>
      <c r="CD34" s="791"/>
      <c r="CE34" s="791"/>
      <c r="CF34" s="791"/>
      <c r="CG34" s="791"/>
    </row>
    <row r="35" spans="1:85" s="814" customFormat="1" ht="21.75" customHeight="1">
      <c r="A35" s="254" t="str">
        <f ca="1">IF(ROWS($1:22)&gt;COUNT(Dong13),"",OFFSET(TH!E$1,SMALL(Dong13,ROWS($1:22)),))</f>
        <v/>
      </c>
      <c r="B35" s="264" t="str">
        <f ca="1">IF(ROWS($1:22)&gt;COUNT(Dong13),"",OFFSET(TH!H$1,SMALL(Dong13,ROWS($1:22)),))</f>
        <v/>
      </c>
      <c r="C35" s="808" t="str">
        <f t="shared" ca="1" si="0"/>
        <v/>
      </c>
      <c r="D35" s="808" t="str">
        <f ca="1">IF(ROWS($1:22)&gt;COUNT(Dong13),"",OFFSET(TH!D$1,SMALL(Dong13,ROWS($1:22)),))</f>
        <v/>
      </c>
      <c r="E35" s="809" t="str">
        <f t="shared" ca="1" si="1"/>
        <v/>
      </c>
      <c r="F35" s="809" t="str">
        <f t="shared" ca="1" si="2"/>
        <v/>
      </c>
      <c r="G35" s="810" t="str">
        <f ca="1">IF(ROWS($1:22)&gt;COUNT(Dong13),"",OFFSET(TH!F$1,SMALL(Dong13,ROWS($1:22)),))</f>
        <v/>
      </c>
      <c r="H35" s="811" t="str">
        <f ca="1">IF(ROWS($1:22)&gt;COUNT(Dong13),"",OFFSET(TH!I$1,SMALL(Dong13,ROWS($1:22)),))</f>
        <v/>
      </c>
      <c r="I35" s="811" t="str">
        <f ca="1">IF(ROWS($1:22)&gt;COUNT(Dong13),"",OFFSET(TH!J$1,SMALL(Dong13,ROWS($1:22)),))</f>
        <v/>
      </c>
      <c r="J35" s="812">
        <f t="shared" ca="1" si="3"/>
        <v>0</v>
      </c>
      <c r="K35" s="815"/>
      <c r="L35" s="813"/>
      <c r="M35" s="791"/>
      <c r="N35" s="791"/>
      <c r="O35" s="791"/>
      <c r="P35" s="791"/>
      <c r="Q35" s="791"/>
      <c r="R35" s="791"/>
      <c r="S35" s="791"/>
      <c r="T35" s="791"/>
      <c r="U35" s="791"/>
      <c r="V35" s="791"/>
      <c r="W35" s="791"/>
      <c r="X35" s="791"/>
      <c r="Y35" s="791"/>
      <c r="Z35" s="791"/>
      <c r="AA35" s="791"/>
      <c r="AB35" s="791"/>
      <c r="AC35" s="791"/>
      <c r="AD35" s="791"/>
      <c r="AE35" s="791"/>
      <c r="AF35" s="791"/>
      <c r="AG35" s="791"/>
      <c r="AH35" s="791"/>
      <c r="AI35" s="791"/>
      <c r="AJ35" s="791"/>
      <c r="AK35" s="791"/>
      <c r="AL35" s="791"/>
      <c r="AM35" s="791"/>
      <c r="AN35" s="791"/>
      <c r="AO35" s="791"/>
      <c r="AP35" s="791"/>
      <c r="AQ35" s="791"/>
      <c r="AR35" s="791"/>
      <c r="AS35" s="791"/>
      <c r="AT35" s="791"/>
      <c r="AU35" s="791"/>
      <c r="AV35" s="791"/>
      <c r="AW35" s="791"/>
      <c r="AX35" s="791"/>
      <c r="AY35" s="791"/>
      <c r="AZ35" s="791"/>
      <c r="BA35" s="791"/>
      <c r="BB35" s="791"/>
      <c r="BC35" s="791"/>
      <c r="BD35" s="791"/>
      <c r="BE35" s="791"/>
      <c r="BF35" s="791"/>
      <c r="BG35" s="791"/>
      <c r="BH35" s="791"/>
      <c r="BI35" s="791"/>
      <c r="BJ35" s="791"/>
      <c r="BK35" s="791"/>
      <c r="BL35" s="791"/>
      <c r="BM35" s="791"/>
      <c r="BN35" s="791"/>
      <c r="BO35" s="791"/>
      <c r="BP35" s="791"/>
      <c r="BQ35" s="791"/>
      <c r="BR35" s="791"/>
      <c r="BS35" s="791"/>
      <c r="BT35" s="791"/>
      <c r="BU35" s="791"/>
      <c r="BV35" s="791"/>
      <c r="BW35" s="791"/>
      <c r="BX35" s="791"/>
      <c r="BY35" s="791"/>
      <c r="BZ35" s="791"/>
      <c r="CA35" s="791"/>
      <c r="CB35" s="791"/>
      <c r="CC35" s="791"/>
      <c r="CD35" s="791"/>
      <c r="CE35" s="791"/>
      <c r="CF35" s="791"/>
      <c r="CG35" s="791"/>
    </row>
    <row r="36" spans="1:85" s="814" customFormat="1" ht="21.75" customHeight="1">
      <c r="A36" s="254" t="str">
        <f ca="1">IF(ROWS($1:23)&gt;COUNT(Dong13),"",OFFSET(TH!E$1,SMALL(Dong13,ROWS($1:23)),))</f>
        <v/>
      </c>
      <c r="B36" s="264" t="str">
        <f ca="1">IF(ROWS($1:23)&gt;COUNT(Dong13),"",OFFSET(TH!H$1,SMALL(Dong13,ROWS($1:23)),))</f>
        <v/>
      </c>
      <c r="C36" s="808" t="str">
        <f t="shared" ca="1" si="0"/>
        <v/>
      </c>
      <c r="D36" s="808" t="str">
        <f ca="1">IF(ROWS($1:23)&gt;COUNT(Dong13),"",OFFSET(TH!D$1,SMALL(Dong13,ROWS($1:23)),))</f>
        <v/>
      </c>
      <c r="E36" s="809" t="str">
        <f t="shared" ca="1" si="1"/>
        <v/>
      </c>
      <c r="F36" s="809" t="str">
        <f t="shared" ca="1" si="2"/>
        <v/>
      </c>
      <c r="G36" s="810" t="str">
        <f ca="1">IF(ROWS($1:23)&gt;COUNT(Dong13),"",OFFSET(TH!F$1,SMALL(Dong13,ROWS($1:23)),))</f>
        <v/>
      </c>
      <c r="H36" s="811" t="str">
        <f ca="1">IF(ROWS($1:23)&gt;COUNT(Dong13),"",OFFSET(TH!I$1,SMALL(Dong13,ROWS($1:23)),))</f>
        <v/>
      </c>
      <c r="I36" s="811" t="str">
        <f ca="1">IF(ROWS($1:23)&gt;COUNT(Dong13),"",OFFSET(TH!J$1,SMALL(Dong13,ROWS($1:23)),))</f>
        <v/>
      </c>
      <c r="J36" s="812">
        <f t="shared" ca="1" si="3"/>
        <v>0</v>
      </c>
      <c r="K36" s="815"/>
      <c r="L36" s="813"/>
      <c r="M36" s="791"/>
      <c r="N36" s="791"/>
      <c r="O36" s="791"/>
      <c r="P36" s="791"/>
      <c r="Q36" s="791"/>
      <c r="R36" s="791"/>
      <c r="S36" s="791"/>
      <c r="T36" s="791"/>
      <c r="U36" s="791"/>
      <c r="V36" s="791"/>
      <c r="W36" s="791"/>
      <c r="X36" s="791"/>
      <c r="Y36" s="791"/>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c r="BC36" s="791"/>
      <c r="BD36" s="791"/>
      <c r="BE36" s="791"/>
      <c r="BF36" s="791"/>
      <c r="BG36" s="791"/>
      <c r="BH36" s="791"/>
      <c r="BI36" s="791"/>
      <c r="BJ36" s="791"/>
      <c r="BK36" s="791"/>
      <c r="BL36" s="791"/>
      <c r="BM36" s="791"/>
      <c r="BN36" s="791"/>
      <c r="BO36" s="791"/>
      <c r="BP36" s="791"/>
      <c r="BQ36" s="791"/>
      <c r="BR36" s="791"/>
      <c r="BS36" s="791"/>
      <c r="BT36" s="791"/>
      <c r="BU36" s="791"/>
      <c r="BV36" s="791"/>
      <c r="BW36" s="791"/>
      <c r="BX36" s="791"/>
      <c r="BY36" s="791"/>
      <c r="BZ36" s="791"/>
      <c r="CA36" s="791"/>
      <c r="CB36" s="791"/>
      <c r="CC36" s="791"/>
      <c r="CD36" s="791"/>
      <c r="CE36" s="791"/>
      <c r="CF36" s="791"/>
      <c r="CG36" s="791"/>
    </row>
    <row r="37" spans="1:85" s="814" customFormat="1" ht="21.75" customHeight="1">
      <c r="A37" s="254" t="str">
        <f ca="1">IF(ROWS($1:24)&gt;COUNT(Dong13),"",OFFSET(TH!E$1,SMALL(Dong13,ROWS($1:24)),))</f>
        <v/>
      </c>
      <c r="B37" s="264" t="str">
        <f ca="1">IF(ROWS($1:24)&gt;COUNT(Dong13),"",OFFSET(TH!H$1,SMALL(Dong13,ROWS($1:24)),))</f>
        <v/>
      </c>
      <c r="C37" s="808" t="str">
        <f t="shared" ca="1" si="0"/>
        <v/>
      </c>
      <c r="D37" s="808" t="str">
        <f ca="1">IF(ROWS($1:24)&gt;COUNT(Dong13),"",OFFSET(TH!D$1,SMALL(Dong13,ROWS($1:24)),))</f>
        <v/>
      </c>
      <c r="E37" s="809" t="str">
        <f t="shared" ca="1" si="1"/>
        <v/>
      </c>
      <c r="F37" s="809" t="str">
        <f t="shared" ca="1" si="2"/>
        <v/>
      </c>
      <c r="G37" s="810" t="str">
        <f ca="1">IF(ROWS($1:24)&gt;COUNT(Dong13),"",OFFSET(TH!F$1,SMALL(Dong13,ROWS($1:24)),))</f>
        <v/>
      </c>
      <c r="H37" s="811" t="str">
        <f ca="1">IF(ROWS($1:24)&gt;COUNT(Dong13),"",OFFSET(TH!I$1,SMALL(Dong13,ROWS($1:24)),))</f>
        <v/>
      </c>
      <c r="I37" s="811" t="str">
        <f ca="1">IF(ROWS($1:24)&gt;COUNT(Dong13),"",OFFSET(TH!J$1,SMALL(Dong13,ROWS($1:24)),))</f>
        <v/>
      </c>
      <c r="J37" s="812">
        <f t="shared" ca="1" si="3"/>
        <v>0</v>
      </c>
      <c r="K37" s="815"/>
      <c r="L37" s="813"/>
      <c r="M37" s="791"/>
      <c r="N37" s="791"/>
      <c r="O37" s="791"/>
      <c r="P37" s="791"/>
      <c r="Q37" s="791"/>
      <c r="R37" s="791"/>
      <c r="S37" s="791"/>
      <c r="T37" s="791"/>
      <c r="U37" s="791"/>
      <c r="V37" s="791"/>
      <c r="W37" s="791"/>
      <c r="X37" s="791"/>
      <c r="Y37" s="791"/>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c r="BC37" s="791"/>
      <c r="BD37" s="791"/>
      <c r="BE37" s="791"/>
      <c r="BF37" s="791"/>
      <c r="BG37" s="791"/>
      <c r="BH37" s="791"/>
      <c r="BI37" s="791"/>
      <c r="BJ37" s="791"/>
      <c r="BK37" s="791"/>
      <c r="BL37" s="791"/>
      <c r="BM37" s="791"/>
      <c r="BN37" s="791"/>
      <c r="BO37" s="791"/>
      <c r="BP37" s="791"/>
      <c r="BQ37" s="791"/>
      <c r="BR37" s="791"/>
      <c r="BS37" s="791"/>
      <c r="BT37" s="791"/>
      <c r="BU37" s="791"/>
      <c r="BV37" s="791"/>
      <c r="BW37" s="791"/>
      <c r="BX37" s="791"/>
      <c r="BY37" s="791"/>
      <c r="BZ37" s="791"/>
      <c r="CA37" s="791"/>
      <c r="CB37" s="791"/>
      <c r="CC37" s="791"/>
      <c r="CD37" s="791"/>
      <c r="CE37" s="791"/>
      <c r="CF37" s="791"/>
      <c r="CG37" s="791"/>
    </row>
    <row r="38" spans="1:85" s="814" customFormat="1" ht="21.75" customHeight="1">
      <c r="A38" s="254" t="str">
        <f ca="1">IF(ROWS($1:25)&gt;COUNT(Dong13),"",OFFSET(TH!E$1,SMALL(Dong13,ROWS($1:25)),))</f>
        <v/>
      </c>
      <c r="B38" s="264" t="str">
        <f ca="1">IF(ROWS($1:25)&gt;COUNT(Dong13),"",OFFSET(TH!H$1,SMALL(Dong13,ROWS($1:25)),))</f>
        <v/>
      </c>
      <c r="C38" s="808" t="str">
        <f t="shared" ca="1" si="0"/>
        <v/>
      </c>
      <c r="D38" s="808" t="str">
        <f ca="1">IF(ROWS($1:25)&gt;COUNT(Dong13),"",OFFSET(TH!D$1,SMALL(Dong13,ROWS($1:25)),))</f>
        <v/>
      </c>
      <c r="E38" s="809" t="str">
        <f t="shared" ca="1" si="1"/>
        <v/>
      </c>
      <c r="F38" s="809" t="str">
        <f t="shared" ca="1" si="2"/>
        <v/>
      </c>
      <c r="G38" s="810" t="str">
        <f ca="1">IF(ROWS($1:25)&gt;COUNT(Dong13),"",OFFSET(TH!F$1,SMALL(Dong13,ROWS($1:25)),))</f>
        <v/>
      </c>
      <c r="H38" s="811" t="str">
        <f ca="1">IF(ROWS($1:25)&gt;COUNT(Dong13),"",OFFSET(TH!I$1,SMALL(Dong13,ROWS($1:25)),))</f>
        <v/>
      </c>
      <c r="I38" s="811" t="str">
        <f ca="1">IF(ROWS($1:25)&gt;COUNT(Dong13),"",OFFSET(TH!J$1,SMALL(Dong13,ROWS($1:25)),))</f>
        <v/>
      </c>
      <c r="J38" s="812">
        <f t="shared" ca="1" si="3"/>
        <v>0</v>
      </c>
      <c r="K38" s="815"/>
      <c r="L38" s="813"/>
      <c r="M38" s="791"/>
      <c r="N38" s="791"/>
      <c r="O38" s="791"/>
      <c r="P38" s="791"/>
      <c r="Q38" s="791"/>
      <c r="R38" s="791"/>
      <c r="S38" s="791"/>
      <c r="T38" s="791"/>
      <c r="U38" s="791"/>
      <c r="V38" s="791"/>
      <c r="W38" s="791"/>
      <c r="X38" s="791"/>
      <c r="Y38" s="791"/>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c r="BC38" s="791"/>
      <c r="BD38" s="791"/>
      <c r="BE38" s="791"/>
      <c r="BF38" s="791"/>
      <c r="BG38" s="791"/>
      <c r="BH38" s="791"/>
      <c r="BI38" s="791"/>
      <c r="BJ38" s="791"/>
      <c r="BK38" s="791"/>
      <c r="BL38" s="791"/>
      <c r="BM38" s="791"/>
      <c r="BN38" s="791"/>
      <c r="BO38" s="791"/>
      <c r="BP38" s="791"/>
      <c r="BQ38" s="791"/>
      <c r="BR38" s="791"/>
      <c r="BS38" s="791"/>
      <c r="BT38" s="791"/>
      <c r="BU38" s="791"/>
      <c r="BV38" s="791"/>
      <c r="BW38" s="791"/>
      <c r="BX38" s="791"/>
      <c r="BY38" s="791"/>
      <c r="BZ38" s="791"/>
      <c r="CA38" s="791"/>
      <c r="CB38" s="791"/>
      <c r="CC38" s="791"/>
      <c r="CD38" s="791"/>
      <c r="CE38" s="791"/>
      <c r="CF38" s="791"/>
      <c r="CG38" s="791"/>
    </row>
    <row r="39" spans="1:85" s="814" customFormat="1" ht="21.75" customHeight="1">
      <c r="A39" s="254" t="str">
        <f ca="1">IF(ROWS($1:26)&gt;COUNT(Dong13),"",OFFSET(TH!E$1,SMALL(Dong13,ROWS($1:26)),))</f>
        <v/>
      </c>
      <c r="B39" s="264" t="str">
        <f ca="1">IF(ROWS($1:26)&gt;COUNT(Dong13),"",OFFSET(TH!H$1,SMALL(Dong13,ROWS($1:26)),))</f>
        <v/>
      </c>
      <c r="C39" s="808" t="str">
        <f t="shared" ca="1" si="0"/>
        <v/>
      </c>
      <c r="D39" s="808" t="str">
        <f ca="1">IF(ROWS($1:26)&gt;COUNT(Dong13),"",OFFSET(TH!D$1,SMALL(Dong13,ROWS($1:26)),))</f>
        <v/>
      </c>
      <c r="E39" s="809" t="str">
        <f t="shared" ca="1" si="1"/>
        <v/>
      </c>
      <c r="F39" s="809" t="str">
        <f t="shared" ca="1" si="2"/>
        <v/>
      </c>
      <c r="G39" s="810" t="str">
        <f ca="1">IF(ROWS($1:26)&gt;COUNT(Dong13),"",OFFSET(TH!F$1,SMALL(Dong13,ROWS($1:26)),))</f>
        <v/>
      </c>
      <c r="H39" s="811" t="str">
        <f ca="1">IF(ROWS($1:26)&gt;COUNT(Dong13),"",OFFSET(TH!I$1,SMALL(Dong13,ROWS($1:26)),))</f>
        <v/>
      </c>
      <c r="I39" s="811" t="str">
        <f ca="1">IF(ROWS($1:26)&gt;COUNT(Dong13),"",OFFSET(TH!J$1,SMALL(Dong13,ROWS($1:26)),))</f>
        <v/>
      </c>
      <c r="J39" s="812">
        <f t="shared" ca="1" si="3"/>
        <v>0</v>
      </c>
      <c r="K39" s="815"/>
      <c r="L39" s="813"/>
      <c r="M39" s="791"/>
      <c r="N39" s="791"/>
      <c r="O39" s="791"/>
      <c r="P39" s="791"/>
      <c r="Q39" s="791"/>
      <c r="R39" s="791"/>
      <c r="S39" s="791"/>
      <c r="T39" s="791"/>
      <c r="U39" s="791"/>
      <c r="V39" s="791"/>
      <c r="W39" s="791"/>
      <c r="X39" s="791"/>
      <c r="Y39" s="791"/>
      <c r="Z39" s="791"/>
      <c r="AA39" s="791"/>
      <c r="AB39" s="791"/>
      <c r="AC39" s="791"/>
      <c r="AD39" s="791"/>
      <c r="AE39" s="791"/>
      <c r="AF39" s="791"/>
      <c r="AG39" s="791"/>
      <c r="AH39" s="791"/>
      <c r="AI39" s="791"/>
      <c r="AJ39" s="791"/>
      <c r="AK39" s="791"/>
      <c r="AL39" s="791"/>
      <c r="AM39" s="791"/>
      <c r="AN39" s="791"/>
      <c r="AO39" s="791"/>
      <c r="AP39" s="791"/>
      <c r="AQ39" s="791"/>
      <c r="AR39" s="791"/>
      <c r="AS39" s="791"/>
      <c r="AT39" s="791"/>
      <c r="AU39" s="791"/>
      <c r="AV39" s="791"/>
      <c r="AW39" s="791"/>
      <c r="AX39" s="791"/>
      <c r="AY39" s="791"/>
      <c r="AZ39" s="791"/>
      <c r="BA39" s="791"/>
      <c r="BB39" s="791"/>
      <c r="BC39" s="791"/>
      <c r="BD39" s="791"/>
      <c r="BE39" s="791"/>
      <c r="BF39" s="791"/>
      <c r="BG39" s="791"/>
      <c r="BH39" s="791"/>
      <c r="BI39" s="791"/>
      <c r="BJ39" s="791"/>
      <c r="BK39" s="791"/>
      <c r="BL39" s="791"/>
      <c r="BM39" s="791"/>
      <c r="BN39" s="791"/>
      <c r="BO39" s="791"/>
      <c r="BP39" s="791"/>
      <c r="BQ39" s="791"/>
      <c r="BR39" s="791"/>
      <c r="BS39" s="791"/>
      <c r="BT39" s="791"/>
      <c r="BU39" s="791"/>
      <c r="BV39" s="791"/>
      <c r="BW39" s="791"/>
      <c r="BX39" s="791"/>
      <c r="BY39" s="791"/>
      <c r="BZ39" s="791"/>
      <c r="CA39" s="791"/>
      <c r="CB39" s="791"/>
      <c r="CC39" s="791"/>
      <c r="CD39" s="791"/>
      <c r="CE39" s="791"/>
      <c r="CF39" s="791"/>
      <c r="CG39" s="791"/>
    </row>
    <row r="40" spans="1:85" s="814" customFormat="1" ht="21.75" customHeight="1">
      <c r="A40" s="254" t="str">
        <f ca="1">IF(ROWS($1:27)&gt;COUNT(Dong13),"",OFFSET(TH!E$1,SMALL(Dong13,ROWS($1:27)),))</f>
        <v/>
      </c>
      <c r="B40" s="264" t="str">
        <f ca="1">IF(ROWS($1:27)&gt;COUNT(Dong13),"",OFFSET(TH!H$1,SMALL(Dong13,ROWS($1:27)),))</f>
        <v/>
      </c>
      <c r="C40" s="808" t="str">
        <f t="shared" ca="1" si="0"/>
        <v/>
      </c>
      <c r="D40" s="808" t="str">
        <f ca="1">IF(ROWS($1:27)&gt;COUNT(Dong13),"",OFFSET(TH!D$1,SMALL(Dong13,ROWS($1:27)),))</f>
        <v/>
      </c>
      <c r="E40" s="809" t="str">
        <f t="shared" ca="1" si="1"/>
        <v/>
      </c>
      <c r="F40" s="809" t="str">
        <f t="shared" ca="1" si="2"/>
        <v/>
      </c>
      <c r="G40" s="810" t="str">
        <f ca="1">IF(ROWS($1:27)&gt;COUNT(Dong13),"",OFFSET(TH!F$1,SMALL(Dong13,ROWS($1:27)),))</f>
        <v/>
      </c>
      <c r="H40" s="811" t="str">
        <f ca="1">IF(ROWS($1:27)&gt;COUNT(Dong13),"",OFFSET(TH!I$1,SMALL(Dong13,ROWS($1:27)),))</f>
        <v/>
      </c>
      <c r="I40" s="811" t="str">
        <f ca="1">IF(ROWS($1:27)&gt;COUNT(Dong13),"",OFFSET(TH!J$1,SMALL(Dong13,ROWS($1:27)),))</f>
        <v/>
      </c>
      <c r="J40" s="812">
        <f t="shared" ca="1" si="3"/>
        <v>0</v>
      </c>
      <c r="K40" s="815"/>
      <c r="L40" s="813"/>
      <c r="M40" s="791"/>
      <c r="N40" s="791"/>
      <c r="O40" s="791"/>
      <c r="P40" s="791"/>
      <c r="Q40" s="791"/>
      <c r="R40" s="791"/>
      <c r="S40" s="791"/>
      <c r="T40" s="791"/>
      <c r="U40" s="791"/>
      <c r="V40" s="791"/>
      <c r="W40" s="791"/>
      <c r="X40" s="791"/>
      <c r="Y40" s="791"/>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c r="BC40" s="791"/>
      <c r="BD40" s="791"/>
      <c r="BE40" s="791"/>
      <c r="BF40" s="791"/>
      <c r="BG40" s="791"/>
      <c r="BH40" s="791"/>
      <c r="BI40" s="791"/>
      <c r="BJ40" s="791"/>
      <c r="BK40" s="791"/>
      <c r="BL40" s="791"/>
      <c r="BM40" s="791"/>
      <c r="BN40" s="791"/>
      <c r="BO40" s="791"/>
      <c r="BP40" s="791"/>
      <c r="BQ40" s="791"/>
      <c r="BR40" s="791"/>
      <c r="BS40" s="791"/>
      <c r="BT40" s="791"/>
      <c r="BU40" s="791"/>
      <c r="BV40" s="791"/>
      <c r="BW40" s="791"/>
      <c r="BX40" s="791"/>
      <c r="BY40" s="791"/>
      <c r="BZ40" s="791"/>
      <c r="CA40" s="791"/>
      <c r="CB40" s="791"/>
      <c r="CC40" s="791"/>
      <c r="CD40" s="791"/>
      <c r="CE40" s="791"/>
      <c r="CF40" s="791"/>
      <c r="CG40" s="791"/>
    </row>
    <row r="41" spans="1:85" ht="24" customHeight="1">
      <c r="A41" s="792" t="s">
        <v>700</v>
      </c>
      <c r="E41" s="816">
        <f ca="1">SUM(J14:J40)</f>
        <v>0</v>
      </c>
      <c r="F41" s="816"/>
      <c r="J41" s="817"/>
      <c r="N41" s="818">
        <f ca="1">SUBTOTAL(9,J14:J40)</f>
        <v>0</v>
      </c>
    </row>
    <row r="42" spans="1:85">
      <c r="E42" s="819"/>
      <c r="F42" s="794"/>
      <c r="J42" s="820" t="str">
        <f xml:space="preserve"> IF(OR($M$11=1,$M$11=4,$M$11=6,$M$11=9,$M$11=11),"Ngày  30  tháng  "&amp;$M$11&amp;"  năm 2016",IF(OR($M$11=3,$M$11=5,$M$11=7,$M$11=8,$M$11=10,$M$11=12),"Ngày  31  tháng  "&amp;$M$11&amp;"  năm 2016","Ngày  29  tháng  "&amp;$M$11&amp;"  năm 2016"))</f>
        <v>Ngày  30  tháng  1  năm 2016</v>
      </c>
      <c r="K42" s="821"/>
    </row>
    <row r="43" spans="1:85">
      <c r="B43" s="822" t="s">
        <v>701</v>
      </c>
      <c r="C43" s="822"/>
      <c r="D43" s="822"/>
      <c r="J43" s="823" t="s">
        <v>702</v>
      </c>
    </row>
    <row r="44" spans="1:85">
      <c r="B44" s="824" t="s">
        <v>703</v>
      </c>
      <c r="C44" s="824"/>
      <c r="D44" s="824"/>
      <c r="F44" s="825"/>
      <c r="J44" s="826" t="s">
        <v>704</v>
      </c>
    </row>
    <row r="45" spans="1:85">
      <c r="B45" s="824"/>
      <c r="C45" s="824"/>
      <c r="D45" s="824"/>
      <c r="F45" s="825"/>
      <c r="I45" s="826"/>
    </row>
    <row r="46" spans="1:85">
      <c r="B46" s="824"/>
      <c r="C46" s="824"/>
      <c r="D46" s="824"/>
      <c r="F46" s="825"/>
      <c r="I46" s="826"/>
    </row>
    <row r="47" spans="1:85">
      <c r="B47" s="819"/>
      <c r="F47" s="819"/>
      <c r="J47" s="580">
        <f ca="1">SUBTOTAL(9,J14:J46)</f>
        <v>0</v>
      </c>
    </row>
    <row r="48" spans="1:85" ht="36.75" customHeight="1">
      <c r="B48" s="827"/>
      <c r="C48" s="827"/>
      <c r="D48" s="827"/>
      <c r="E48" s="828"/>
      <c r="H48" s="1235"/>
      <c r="I48" s="1235"/>
      <c r="J48" s="1235"/>
    </row>
    <row r="50" spans="1:11">
      <c r="A50" s="829" t="s">
        <v>705</v>
      </c>
    </row>
    <row r="51" spans="1:11" ht="33.75" customHeight="1">
      <c r="A51" s="1236" t="s">
        <v>706</v>
      </c>
      <c r="B51" s="1237"/>
      <c r="C51" s="1237"/>
      <c r="D51" s="1237"/>
      <c r="E51" s="1237"/>
      <c r="F51" s="1237"/>
      <c r="G51" s="1237"/>
      <c r="H51" s="1237"/>
      <c r="I51" s="1237"/>
      <c r="J51" s="1237"/>
      <c r="K51" s="1237"/>
    </row>
    <row r="52" spans="1:11" ht="33.75" customHeight="1">
      <c r="A52" s="1236" t="s">
        <v>707</v>
      </c>
      <c r="B52" s="1236"/>
      <c r="C52" s="1236"/>
      <c r="D52" s="1236"/>
      <c r="E52" s="1236"/>
      <c r="F52" s="1236"/>
      <c r="G52" s="1236"/>
      <c r="H52" s="1236"/>
      <c r="I52" s="1236"/>
      <c r="J52" s="1236"/>
      <c r="K52" s="1236"/>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0" customWidth="1"/>
    <col min="2" max="2" width="23" style="830" customWidth="1"/>
    <col min="3" max="3" width="6.7109375" style="830" customWidth="1"/>
    <col min="4" max="5" width="8.85546875" style="830" customWidth="1"/>
    <col min="6" max="6" width="9.140625" style="830" customWidth="1"/>
    <col min="7" max="7" width="14.28515625" style="830" customWidth="1"/>
    <col min="8" max="11" width="13.7109375" style="830" customWidth="1"/>
    <col min="12" max="12" width="11.85546875" style="830" customWidth="1"/>
    <col min="13" max="13" width="13.7109375" style="830" hidden="1" customWidth="1"/>
    <col min="14" max="14" width="14.5703125" style="830" customWidth="1"/>
    <col min="15" max="15" width="7.28515625" style="830" customWidth="1"/>
    <col min="16" max="16" width="7.7109375" style="830" customWidth="1"/>
    <col min="17" max="17" width="3.42578125" style="831" customWidth="1"/>
    <col min="18" max="18" width="23" style="830" customWidth="1"/>
    <col min="19" max="19" width="10.140625" style="832" customWidth="1"/>
    <col min="20" max="21" width="7.5703125" style="833" customWidth="1"/>
    <col min="22" max="22" width="12.140625" style="830" customWidth="1"/>
    <col min="23" max="23" width="7.7109375" style="830" customWidth="1"/>
    <col min="24" max="16384" width="10.28515625" style="830"/>
  </cols>
  <sheetData>
    <row r="1" spans="1:25">
      <c r="B1" s="830">
        <v>1</v>
      </c>
      <c r="C1" s="830">
        <v>2</v>
      </c>
      <c r="D1" s="830">
        <v>3</v>
      </c>
      <c r="E1" s="830">
        <v>4</v>
      </c>
      <c r="F1" s="830">
        <v>5</v>
      </c>
      <c r="G1" s="830">
        <v>6</v>
      </c>
      <c r="H1" s="830">
        <v>8</v>
      </c>
      <c r="I1" s="830">
        <v>7</v>
      </c>
      <c r="J1" s="830">
        <v>9</v>
      </c>
      <c r="K1" s="830">
        <v>10</v>
      </c>
      <c r="L1" s="830">
        <v>11</v>
      </c>
      <c r="M1" s="830">
        <v>12</v>
      </c>
      <c r="N1" s="830">
        <v>13</v>
      </c>
      <c r="O1" s="830">
        <v>14</v>
      </c>
      <c r="P1" s="830">
        <v>15</v>
      </c>
    </row>
    <row r="2" spans="1:25" ht="18" customHeight="1">
      <c r="A2" s="834" t="s">
        <v>708</v>
      </c>
      <c r="B2" s="834"/>
      <c r="C2" s="835"/>
      <c r="D2" s="836"/>
      <c r="E2" s="836"/>
      <c r="F2" s="836"/>
      <c r="G2" s="833"/>
      <c r="H2" s="833"/>
      <c r="I2" s="833"/>
      <c r="J2" s="833"/>
      <c r="K2" s="833"/>
      <c r="L2" s="837"/>
      <c r="M2" s="833"/>
      <c r="N2" s="833"/>
      <c r="O2" s="838"/>
      <c r="P2" s="833"/>
      <c r="Q2" s="839"/>
      <c r="R2" s="833"/>
      <c r="S2" s="840"/>
    </row>
    <row r="3" spans="1:25" ht="18.75" customHeight="1">
      <c r="A3" s="841" t="s">
        <v>709</v>
      </c>
      <c r="B3" s="841"/>
      <c r="C3" s="841"/>
      <c r="D3" s="841"/>
      <c r="E3" s="841"/>
      <c r="F3" s="841"/>
      <c r="G3" s="841"/>
      <c r="H3" s="841"/>
      <c r="I3" s="841"/>
      <c r="J3" s="841"/>
      <c r="K3" s="841"/>
      <c r="L3" s="841"/>
      <c r="M3" s="841"/>
      <c r="N3" s="841"/>
      <c r="O3" s="841"/>
      <c r="P3" s="841"/>
      <c r="Q3" s="839"/>
      <c r="R3" s="833"/>
      <c r="S3" s="840"/>
    </row>
    <row r="4" spans="1:25" ht="18.75" customHeight="1">
      <c r="A4" s="842"/>
      <c r="B4" s="842"/>
      <c r="C4" s="843"/>
      <c r="D4" s="842"/>
      <c r="E4" s="842"/>
      <c r="F4" s="842"/>
      <c r="G4" s="842"/>
      <c r="H4" s="842"/>
      <c r="I4" s="842"/>
      <c r="J4" s="842"/>
      <c r="K4" s="842"/>
      <c r="L4" s="841"/>
      <c r="M4" s="842"/>
      <c r="N4" s="842"/>
      <c r="O4" s="844"/>
      <c r="P4" s="842"/>
      <c r="Q4" s="839"/>
      <c r="R4" s="833"/>
      <c r="S4" s="840"/>
    </row>
    <row r="5" spans="1:25" ht="12.75" customHeight="1">
      <c r="A5" s="845"/>
      <c r="B5" s="845"/>
      <c r="C5" s="846"/>
      <c r="D5" s="845"/>
      <c r="E5" s="845"/>
      <c r="F5" s="845"/>
      <c r="G5" s="845"/>
      <c r="H5" s="845"/>
      <c r="I5" s="845"/>
      <c r="J5" s="845"/>
      <c r="K5" s="845"/>
      <c r="L5" s="845"/>
      <c r="M5" s="845"/>
      <c r="N5" s="845"/>
      <c r="O5" s="847"/>
      <c r="P5" s="845"/>
      <c r="Q5" s="839"/>
      <c r="R5" s="848"/>
      <c r="S5" s="1254"/>
      <c r="T5" s="1254"/>
      <c r="U5" s="849"/>
      <c r="V5" s="1254"/>
      <c r="W5" s="1254"/>
      <c r="X5" s="848"/>
      <c r="Y5" s="848"/>
    </row>
    <row r="6" spans="1:25" s="856" customFormat="1" ht="30.75" customHeight="1">
      <c r="A6" s="850" t="s">
        <v>46</v>
      </c>
      <c r="B6" s="850" t="s">
        <v>710</v>
      </c>
      <c r="C6" s="851" t="s">
        <v>711</v>
      </c>
      <c r="D6" s="852" t="s">
        <v>712</v>
      </c>
      <c r="E6" s="852" t="s">
        <v>713</v>
      </c>
      <c r="F6" s="852" t="s">
        <v>714</v>
      </c>
      <c r="G6" s="852" t="s">
        <v>715</v>
      </c>
      <c r="H6" s="852" t="s">
        <v>716</v>
      </c>
      <c r="I6" s="852" t="s">
        <v>717</v>
      </c>
      <c r="J6" s="852" t="s">
        <v>718</v>
      </c>
      <c r="K6" s="853" t="s">
        <v>719</v>
      </c>
      <c r="L6" s="852" t="s">
        <v>720</v>
      </c>
      <c r="M6" s="853" t="s">
        <v>721</v>
      </c>
      <c r="N6" s="852" t="s">
        <v>722</v>
      </c>
      <c r="O6" s="854" t="s">
        <v>713</v>
      </c>
      <c r="P6" s="852" t="s">
        <v>723</v>
      </c>
      <c r="Q6" s="855"/>
      <c r="R6" s="850" t="s">
        <v>710</v>
      </c>
      <c r="S6" s="852" t="s">
        <v>677</v>
      </c>
      <c r="T6" s="852" t="s">
        <v>535</v>
      </c>
      <c r="U6" s="852" t="s">
        <v>714</v>
      </c>
      <c r="V6" s="852" t="s">
        <v>724</v>
      </c>
      <c r="W6" s="850" t="s">
        <v>724</v>
      </c>
    </row>
    <row r="7" spans="1:25">
      <c r="A7" s="857" t="str">
        <f>IF(B7&lt;&gt;"",ROW()-(ROW()-1),"")</f>
        <v/>
      </c>
      <c r="B7" s="587"/>
      <c r="C7" s="858"/>
      <c r="D7" s="707">
        <f>ROUND(C7*O7,0)</f>
        <v>0</v>
      </c>
      <c r="E7" s="707"/>
      <c r="F7" s="707"/>
      <c r="G7" s="859">
        <f>(D7+E7)*F7</f>
        <v>0</v>
      </c>
      <c r="H7" s="707">
        <f>IF($D$11&lt;&gt;0,H$11/($D$11+$E$11/5)*($D7+$E7/5),0)</f>
        <v>0</v>
      </c>
      <c r="I7" s="707">
        <f>IF($D$11&lt;&gt;0,I$11/$D$11*$D7,0)</f>
        <v>0</v>
      </c>
      <c r="J7" s="707">
        <f t="shared" ref="J7:K9" si="0">IF($D$11&lt;&gt;0,J$11/$D$11*$D7,0)</f>
        <v>0</v>
      </c>
      <c r="K7" s="707">
        <f t="shared" si="0"/>
        <v>0</v>
      </c>
      <c r="L7" s="707">
        <f>V18+V19</f>
        <v>0</v>
      </c>
      <c r="M7" s="707"/>
      <c r="N7" s="859">
        <f>G7+I7+H7+J7+L7+K7+M7</f>
        <v>0</v>
      </c>
      <c r="O7" s="707"/>
      <c r="P7" s="707" t="str">
        <f>IF(O7&lt;&gt;"",N7/O7,"")</f>
        <v/>
      </c>
      <c r="Q7" s="860"/>
      <c r="R7" s="861"/>
      <c r="S7" s="862"/>
      <c r="T7" s="271"/>
      <c r="U7" s="863"/>
      <c r="V7" s="859">
        <f>ROUND(T7*U7,0)</f>
        <v>0</v>
      </c>
      <c r="W7" s="864"/>
    </row>
    <row r="8" spans="1:25">
      <c r="A8" s="857" t="str">
        <f>IF(B8&lt;&gt;"",A7+1,"")</f>
        <v/>
      </c>
      <c r="B8" s="587"/>
      <c r="C8" s="858"/>
      <c r="D8" s="707">
        <f>ROUND(C8*O8,0)</f>
        <v>0</v>
      </c>
      <c r="E8" s="707"/>
      <c r="F8" s="707"/>
      <c r="G8" s="859">
        <f>(D8+E8)*F8</f>
        <v>0</v>
      </c>
      <c r="H8" s="707">
        <f>IF($D$11&lt;&gt;0,H$11/($D$11+$E$11/5)*($D8+$E8/5),0)</f>
        <v>0</v>
      </c>
      <c r="I8" s="707">
        <f>IF($D$11&lt;&gt;0,I$11/$D$11*$D8,0)</f>
        <v>0</v>
      </c>
      <c r="J8" s="707">
        <f t="shared" si="0"/>
        <v>0</v>
      </c>
      <c r="K8" s="707">
        <f t="shared" si="0"/>
        <v>0</v>
      </c>
      <c r="L8" s="707">
        <f>V20</f>
        <v>0</v>
      </c>
      <c r="M8" s="707"/>
      <c r="N8" s="859">
        <f>G8+I8+H8+J8+L8+K8+M8</f>
        <v>0</v>
      </c>
      <c r="O8" s="865"/>
      <c r="P8" s="707" t="str">
        <f>IF(O8&lt;&gt;"",N8/O8,"")</f>
        <v/>
      </c>
      <c r="Q8" s="860"/>
      <c r="R8" s="866"/>
      <c r="S8" s="862"/>
      <c r="T8" s="271"/>
      <c r="U8" s="867"/>
      <c r="V8" s="859">
        <f t="shared" ref="V8:V15" si="1">ROUND(T8*U8,0)</f>
        <v>0</v>
      </c>
      <c r="W8" s="868"/>
    </row>
    <row r="9" spans="1:25">
      <c r="A9" s="857" t="str">
        <f>IF(B9&lt;&gt;"",A8+1,"")</f>
        <v/>
      </c>
      <c r="B9" s="869"/>
      <c r="C9" s="858"/>
      <c r="D9" s="707">
        <f>ROUND(C9*O9,0)</f>
        <v>0</v>
      </c>
      <c r="E9" s="707"/>
      <c r="F9" s="707"/>
      <c r="G9" s="859">
        <f>(D9+E9)*F9</f>
        <v>0</v>
      </c>
      <c r="H9" s="707">
        <f>IF($D$11&lt;&gt;0,H$11/($D$11+$E$11/5)*($D9+$E9/5),0)</f>
        <v>0</v>
      </c>
      <c r="I9" s="707">
        <f>IF($D$11&lt;&gt;0,I$11/$D$11*$D9,0)</f>
        <v>0</v>
      </c>
      <c r="J9" s="707">
        <f t="shared" si="0"/>
        <v>0</v>
      </c>
      <c r="K9" s="707">
        <f t="shared" si="0"/>
        <v>0</v>
      </c>
      <c r="L9" s="707">
        <f>V21+V22</f>
        <v>0</v>
      </c>
      <c r="M9" s="707"/>
      <c r="N9" s="859">
        <f>G9+I9+H9+J9+L9+K9+M9</f>
        <v>0</v>
      </c>
      <c r="O9" s="865"/>
      <c r="P9" s="707" t="str">
        <f>IF(O9&lt;&gt;"",N9/O9,"")</f>
        <v/>
      </c>
      <c r="Q9" s="860"/>
      <c r="R9" s="866"/>
      <c r="S9" s="862"/>
      <c r="T9" s="271"/>
      <c r="U9" s="867"/>
      <c r="V9" s="859">
        <f t="shared" si="1"/>
        <v>0</v>
      </c>
      <c r="W9" s="868"/>
    </row>
    <row r="10" spans="1:25" s="879" customFormat="1">
      <c r="A10" s="857" t="str">
        <f>IF(B10&lt;&gt;"",#REF!+1,"")</f>
        <v/>
      </c>
      <c r="B10" s="870"/>
      <c r="C10" s="871"/>
      <c r="D10" s="707"/>
      <c r="E10" s="872"/>
      <c r="F10" s="873"/>
      <c r="G10" s="874"/>
      <c r="H10" s="707"/>
      <c r="I10" s="873"/>
      <c r="J10" s="875"/>
      <c r="K10" s="873"/>
      <c r="L10" s="876"/>
      <c r="M10" s="873"/>
      <c r="N10" s="859"/>
      <c r="O10" s="877"/>
      <c r="P10" s="707" t="str">
        <f>IF(B10&lt;&gt;"",N10/O10,"")</f>
        <v/>
      </c>
      <c r="Q10" s="878"/>
      <c r="R10" s="866"/>
      <c r="S10" s="862"/>
      <c r="T10" s="271"/>
      <c r="U10" s="867"/>
      <c r="V10" s="859">
        <f t="shared" si="1"/>
        <v>0</v>
      </c>
      <c r="W10" s="868"/>
    </row>
    <row r="11" spans="1:25" s="834" customFormat="1">
      <c r="A11" s="880"/>
      <c r="B11" s="881" t="s">
        <v>725</v>
      </c>
      <c r="C11" s="882"/>
      <c r="D11" s="883">
        <f>SUM(D7:D10)</f>
        <v>0</v>
      </c>
      <c r="E11" s="883"/>
      <c r="F11" s="883"/>
      <c r="G11" s="883">
        <f>SUM(G7:G10)</f>
        <v>0</v>
      </c>
      <c r="H11" s="884"/>
      <c r="I11" s="884">
        <f>V17</f>
        <v>0</v>
      </c>
      <c r="J11" s="884"/>
      <c r="K11" s="884"/>
      <c r="L11" s="883">
        <f>ROUND(SUM(L7:L10),0)</f>
        <v>0</v>
      </c>
      <c r="M11" s="883">
        <f>ROUND(SUM(M7:M10),0)</f>
        <v>0</v>
      </c>
      <c r="N11" s="883">
        <f>ROUND(SUM(N7:N10),0)</f>
        <v>0</v>
      </c>
      <c r="O11" s="883">
        <f>ROUND(SUM(O7:O10),0)</f>
        <v>0</v>
      </c>
      <c r="P11" s="883"/>
      <c r="Q11" s="839"/>
      <c r="R11" s="866"/>
      <c r="S11" s="862"/>
      <c r="T11" s="271"/>
      <c r="U11" s="867"/>
      <c r="V11" s="859">
        <f t="shared" si="1"/>
        <v>0</v>
      </c>
      <c r="W11" s="868"/>
    </row>
    <row r="12" spans="1:25" s="834" customFormat="1">
      <c r="A12" s="885"/>
      <c r="B12" s="886"/>
      <c r="C12" s="843"/>
      <c r="D12" s="887"/>
      <c r="E12" s="887"/>
      <c r="F12" s="887"/>
      <c r="G12" s="887"/>
      <c r="H12" s="887"/>
      <c r="I12" s="841"/>
      <c r="J12" s="887"/>
      <c r="K12" s="887"/>
      <c r="L12" s="887"/>
      <c r="M12" s="887"/>
      <c r="N12" s="887"/>
      <c r="O12" s="887"/>
      <c r="P12" s="887"/>
      <c r="Q12" s="839"/>
      <c r="R12" s="866"/>
      <c r="S12" s="862"/>
      <c r="T12" s="271"/>
      <c r="U12" s="867"/>
      <c r="V12" s="859">
        <f t="shared" si="1"/>
        <v>0</v>
      </c>
      <c r="W12" s="868"/>
    </row>
    <row r="13" spans="1:25" s="834" customFormat="1">
      <c r="A13" s="885"/>
      <c r="B13" s="886"/>
      <c r="C13" s="843"/>
      <c r="D13" s="887"/>
      <c r="E13" s="887"/>
      <c r="F13" s="887"/>
      <c r="G13" s="888"/>
      <c r="H13" s="887"/>
      <c r="I13" s="841"/>
      <c r="J13" s="887"/>
      <c r="K13" s="887"/>
      <c r="L13" s="887"/>
      <c r="M13" s="887"/>
      <c r="N13" s="887"/>
      <c r="O13" s="887"/>
      <c r="P13" s="887"/>
      <c r="Q13" s="839"/>
      <c r="R13" s="590"/>
      <c r="S13" s="862"/>
      <c r="T13" s="590"/>
      <c r="U13" s="516"/>
      <c r="V13" s="859">
        <f t="shared" si="1"/>
        <v>0</v>
      </c>
      <c r="W13" s="868"/>
    </row>
    <row r="14" spans="1:25" s="834" customFormat="1">
      <c r="A14" s="885"/>
      <c r="B14" s="886"/>
      <c r="C14" s="843"/>
      <c r="D14" s="887"/>
      <c r="E14" s="887"/>
      <c r="F14" s="887"/>
      <c r="G14" s="888"/>
      <c r="H14" s="887"/>
      <c r="I14" s="841"/>
      <c r="J14" s="887"/>
      <c r="K14" s="887"/>
      <c r="L14" s="887"/>
      <c r="M14" s="887"/>
      <c r="N14" s="887"/>
      <c r="O14" s="887"/>
      <c r="P14" s="887"/>
      <c r="Q14" s="839"/>
      <c r="R14" s="866"/>
      <c r="S14" s="862"/>
      <c r="T14" s="271"/>
      <c r="U14" s="867"/>
      <c r="V14" s="859">
        <f t="shared" si="1"/>
        <v>0</v>
      </c>
      <c r="W14" s="868"/>
    </row>
    <row r="15" spans="1:25" s="834" customFormat="1">
      <c r="A15" s="885"/>
      <c r="B15" s="886"/>
      <c r="C15" s="843"/>
      <c r="D15" s="887"/>
      <c r="E15" s="887"/>
      <c r="F15" s="887"/>
      <c r="G15" s="888"/>
      <c r="H15" s="887"/>
      <c r="I15" s="841"/>
      <c r="J15" s="887"/>
      <c r="K15" s="887"/>
      <c r="L15" s="887"/>
      <c r="M15" s="887"/>
      <c r="N15" s="887"/>
      <c r="O15" s="887"/>
      <c r="P15" s="887"/>
      <c r="Q15" s="830"/>
      <c r="R15" s="866"/>
      <c r="S15" s="862"/>
      <c r="T15" s="889"/>
      <c r="U15" s="889"/>
      <c r="V15" s="859">
        <f t="shared" si="1"/>
        <v>0</v>
      </c>
      <c r="W15" s="868"/>
    </row>
    <row r="16" spans="1:25" s="834" customFormat="1">
      <c r="A16" s="885"/>
      <c r="B16" s="886"/>
      <c r="C16" s="843"/>
      <c r="D16" s="887"/>
      <c r="E16" s="887"/>
      <c r="F16" s="887"/>
      <c r="G16" s="888"/>
      <c r="H16" s="887"/>
      <c r="I16" s="841"/>
      <c r="J16" s="887"/>
      <c r="K16" s="887"/>
      <c r="L16" s="887"/>
      <c r="M16" s="887"/>
      <c r="N16" s="887"/>
      <c r="O16" s="887"/>
      <c r="P16" s="887"/>
      <c r="Q16" s="830"/>
      <c r="R16" s="890"/>
      <c r="S16" s="862"/>
      <c r="T16" s="891"/>
      <c r="U16" s="891"/>
      <c r="V16" s="891"/>
      <c r="W16" s="868"/>
    </row>
    <row r="17" spans="1:24" s="834" customFormat="1">
      <c r="A17" s="885"/>
      <c r="B17" s="886"/>
      <c r="C17" s="843"/>
      <c r="D17" s="887"/>
      <c r="E17" s="887"/>
      <c r="F17" s="887"/>
      <c r="G17" s="887"/>
      <c r="H17" s="887"/>
      <c r="I17" s="841"/>
      <c r="J17" s="887"/>
      <c r="K17" s="887"/>
      <c r="L17" s="887"/>
      <c r="M17" s="887"/>
      <c r="N17" s="887"/>
      <c r="O17" s="887"/>
      <c r="P17" s="887"/>
      <c r="Q17" s="830"/>
      <c r="R17" s="1255"/>
      <c r="S17" s="1255"/>
      <c r="T17" s="1255"/>
      <c r="U17" s="892"/>
      <c r="V17" s="893">
        <f>SUM(V7:V16)</f>
        <v>0</v>
      </c>
      <c r="W17" s="893">
        <f>SUM(W7:W16)</f>
        <v>0</v>
      </c>
    </row>
    <row r="18" spans="1:24">
      <c r="G18" s="848"/>
      <c r="H18" s="848"/>
      <c r="I18" s="894"/>
      <c r="N18" s="895"/>
      <c r="O18" s="887"/>
      <c r="R18" s="889"/>
      <c r="S18" s="862"/>
      <c r="T18" s="271"/>
      <c r="U18" s="271"/>
      <c r="V18" s="859">
        <f>ROUND(T18*U18,0)</f>
        <v>0</v>
      </c>
      <c r="W18" s="875"/>
    </row>
    <row r="19" spans="1:24">
      <c r="G19" s="848"/>
      <c r="H19" s="848"/>
      <c r="I19" s="894"/>
      <c r="N19" s="895"/>
      <c r="O19" s="887"/>
      <c r="R19" s="889"/>
      <c r="S19" s="862"/>
      <c r="T19" s="271"/>
      <c r="U19" s="867"/>
      <c r="V19" s="859">
        <f>ROUND(T19*U19,0)</f>
        <v>0</v>
      </c>
      <c r="W19" s="875"/>
    </row>
    <row r="20" spans="1:24">
      <c r="G20" s="848"/>
      <c r="H20" s="848"/>
      <c r="I20" s="894"/>
      <c r="N20" s="895"/>
      <c r="O20" s="887"/>
      <c r="R20" s="889"/>
      <c r="S20" s="862"/>
      <c r="T20" s="867"/>
      <c r="U20" s="867"/>
      <c r="V20" s="859">
        <f>ROUND(T20*U20,0)</f>
        <v>0</v>
      </c>
      <c r="W20" s="875"/>
    </row>
    <row r="21" spans="1:24">
      <c r="G21" s="848"/>
      <c r="H21" s="848"/>
      <c r="I21" s="894"/>
      <c r="N21" s="895"/>
      <c r="O21" s="887"/>
      <c r="R21" s="866"/>
      <c r="S21" s="862"/>
      <c r="T21" s="867"/>
      <c r="U21" s="867"/>
      <c r="V21" s="859">
        <f>ROUND(T21*U21,0)</f>
        <v>0</v>
      </c>
      <c r="W21" s="875"/>
    </row>
    <row r="22" spans="1:24">
      <c r="G22" s="848"/>
      <c r="H22" s="848"/>
      <c r="I22" s="894"/>
      <c r="N22" s="895"/>
      <c r="O22" s="887"/>
      <c r="R22" s="889"/>
      <c r="S22" s="862"/>
      <c r="T22" s="867"/>
      <c r="U22" s="867"/>
      <c r="V22" s="859">
        <f>ROUND(T22*U22,0)</f>
        <v>0</v>
      </c>
      <c r="W22" s="875"/>
    </row>
    <row r="23" spans="1:24" ht="18" customHeight="1">
      <c r="A23" s="834" t="s">
        <v>708</v>
      </c>
      <c r="B23" s="834"/>
      <c r="C23" s="835"/>
      <c r="D23" s="836"/>
      <c r="E23" s="836"/>
      <c r="F23" s="836"/>
      <c r="G23" s="833"/>
      <c r="H23" s="833"/>
      <c r="I23" s="833"/>
      <c r="J23" s="833"/>
      <c r="K23" s="833"/>
      <c r="L23" s="837"/>
      <c r="M23" s="833"/>
      <c r="N23" s="833"/>
      <c r="O23" s="838"/>
      <c r="P23" s="833"/>
      <c r="Q23" s="839"/>
      <c r="R23" s="896"/>
      <c r="S23" s="897"/>
      <c r="T23" s="898"/>
      <c r="U23" s="898"/>
      <c r="V23" s="898"/>
      <c r="W23" s="899"/>
      <c r="X23" s="848"/>
    </row>
    <row r="24" spans="1:24" ht="18.75" customHeight="1">
      <c r="A24" s="841" t="s">
        <v>726</v>
      </c>
      <c r="B24" s="841"/>
      <c r="C24" s="841"/>
      <c r="D24" s="841"/>
      <c r="E24" s="841"/>
      <c r="F24" s="841"/>
      <c r="G24" s="841"/>
      <c r="H24" s="841"/>
      <c r="I24" s="841"/>
      <c r="J24" s="841"/>
      <c r="K24" s="841"/>
      <c r="L24" s="841"/>
      <c r="M24" s="841"/>
      <c r="N24" s="841"/>
      <c r="O24" s="841"/>
      <c r="P24" s="841"/>
      <c r="Q24" s="839"/>
      <c r="R24" s="900"/>
      <c r="S24" s="901"/>
      <c r="T24" s="849"/>
      <c r="U24" s="849"/>
      <c r="V24" s="902"/>
    </row>
    <row r="25" spans="1:24" ht="18.75" customHeight="1">
      <c r="A25" s="842"/>
      <c r="B25" s="842"/>
      <c r="C25" s="843"/>
      <c r="D25" s="842"/>
      <c r="E25" s="842"/>
      <c r="F25" s="842"/>
      <c r="G25" s="842"/>
      <c r="H25" s="842"/>
      <c r="I25" s="842"/>
      <c r="J25" s="842"/>
      <c r="K25" s="842"/>
      <c r="L25" s="841"/>
      <c r="M25" s="842"/>
      <c r="N25" s="842"/>
      <c r="O25" s="844"/>
      <c r="P25" s="842"/>
      <c r="Q25" s="839"/>
      <c r="R25" s="833"/>
      <c r="S25" s="840"/>
    </row>
    <row r="26" spans="1:24" ht="12.75" customHeight="1">
      <c r="A26" s="845"/>
      <c r="B26" s="845"/>
      <c r="C26" s="846"/>
      <c r="D26" s="845"/>
      <c r="E26" s="845"/>
      <c r="F26" s="845"/>
      <c r="G26" s="845"/>
      <c r="H26" s="845"/>
      <c r="I26" s="845"/>
      <c r="J26" s="845"/>
      <c r="K26" s="845"/>
      <c r="L26" s="845"/>
      <c r="M26" s="845"/>
      <c r="N26" s="845"/>
      <c r="O26" s="847"/>
      <c r="P26" s="845"/>
      <c r="Q26" s="839"/>
      <c r="R26" s="833"/>
      <c r="S26" s="840"/>
    </row>
    <row r="27" spans="1:24" s="856" customFormat="1" ht="30.75" customHeight="1">
      <c r="A27" s="850" t="s">
        <v>46</v>
      </c>
      <c r="B27" s="850" t="s">
        <v>710</v>
      </c>
      <c r="C27" s="851" t="s">
        <v>711</v>
      </c>
      <c r="D27" s="852" t="s">
        <v>712</v>
      </c>
      <c r="E27" s="852" t="s">
        <v>713</v>
      </c>
      <c r="F27" s="852" t="s">
        <v>714</v>
      </c>
      <c r="G27" s="852" t="s">
        <v>715</v>
      </c>
      <c r="H27" s="852" t="s">
        <v>716</v>
      </c>
      <c r="I27" s="852" t="s">
        <v>717</v>
      </c>
      <c r="J27" s="852" t="s">
        <v>718</v>
      </c>
      <c r="K27" s="853" t="s">
        <v>719</v>
      </c>
      <c r="L27" s="852" t="s">
        <v>720</v>
      </c>
      <c r="M27" s="853" t="s">
        <v>721</v>
      </c>
      <c r="N27" s="852" t="s">
        <v>722</v>
      </c>
      <c r="O27" s="854" t="s">
        <v>713</v>
      </c>
      <c r="P27" s="852" t="s">
        <v>723</v>
      </c>
      <c r="Q27" s="855"/>
      <c r="R27" s="850" t="s">
        <v>710</v>
      </c>
      <c r="S27" s="852" t="s">
        <v>677</v>
      </c>
      <c r="T27" s="852" t="s">
        <v>535</v>
      </c>
      <c r="U27" s="852" t="s">
        <v>714</v>
      </c>
      <c r="V27" s="852" t="s">
        <v>724</v>
      </c>
      <c r="W27" s="850" t="s">
        <v>724</v>
      </c>
    </row>
    <row r="28" spans="1:24">
      <c r="A28" s="857" t="str">
        <f>IF(B28&lt;&gt;"",ROW()-(ROW()-1),"")</f>
        <v/>
      </c>
      <c r="B28" s="869"/>
      <c r="C28" s="858"/>
      <c r="D28" s="707">
        <f>ROUND(C28*O28,0)</f>
        <v>0</v>
      </c>
      <c r="E28" s="707"/>
      <c r="F28" s="707">
        <v>13500</v>
      </c>
      <c r="G28" s="859">
        <f>(D28+E28)*F28</f>
        <v>0</v>
      </c>
      <c r="H28" s="707">
        <f>IF($D$31&lt;&gt;0,H$31/($D$31+$E$31/5)*($D28+$E28/5),0)</f>
        <v>0</v>
      </c>
      <c r="I28" s="707">
        <f t="shared" ref="I28:K29" si="2">IF($D$31&lt;&gt;0,I$31/$D$31*$D28,0)</f>
        <v>0</v>
      </c>
      <c r="J28" s="707">
        <f t="shared" si="2"/>
        <v>0</v>
      </c>
      <c r="K28" s="707">
        <f t="shared" si="2"/>
        <v>0</v>
      </c>
      <c r="L28" s="707">
        <f>V38</f>
        <v>0</v>
      </c>
      <c r="M28" s="707"/>
      <c r="N28" s="859">
        <f>SUM(G28:L28)</f>
        <v>0</v>
      </c>
      <c r="O28" s="707"/>
      <c r="P28" s="707" t="str">
        <f>IF(O28&lt;&gt;"",N28/O28,"")</f>
        <v/>
      </c>
      <c r="Q28" s="878"/>
      <c r="R28" s="861"/>
      <c r="S28" s="862"/>
      <c r="T28" s="271"/>
      <c r="U28" s="863"/>
      <c r="V28" s="859">
        <f t="shared" ref="V28:V35" si="3">ROUND(T28*U28,0)</f>
        <v>0</v>
      </c>
      <c r="W28" s="864"/>
    </row>
    <row r="29" spans="1:24">
      <c r="A29" s="857" t="str">
        <f>IF(B29&lt;&gt;"",A28+1,"")</f>
        <v/>
      </c>
      <c r="B29" s="866"/>
      <c r="C29" s="858">
        <f>IF(ISNA(VLOOKUP(B29,NXT!$Q$61:$S$81,2,0)),0,VLOOKUP(B29,NXT!$Q$61:$S$81,2,0))</f>
        <v>0</v>
      </c>
      <c r="D29" s="707">
        <f>ROUND(C29*O29,0)</f>
        <v>0</v>
      </c>
      <c r="E29" s="707"/>
      <c r="F29" s="707"/>
      <c r="G29" s="859">
        <f>(D29+E29)*F29</f>
        <v>0</v>
      </c>
      <c r="H29" s="707">
        <f>IF($D$31&lt;&gt;0,H$31/($D$31+$E$31/5)*($D29+$E29/5),0)</f>
        <v>0</v>
      </c>
      <c r="I29" s="707">
        <f t="shared" si="2"/>
        <v>0</v>
      </c>
      <c r="J29" s="707">
        <f t="shared" si="2"/>
        <v>0</v>
      </c>
      <c r="K29" s="707">
        <f t="shared" si="2"/>
        <v>0</v>
      </c>
      <c r="L29" s="707"/>
      <c r="M29" s="707"/>
      <c r="N29" s="859">
        <f>SUM(G29:L29)</f>
        <v>0</v>
      </c>
      <c r="O29" s="865"/>
      <c r="P29" s="707" t="str">
        <f>IF(O29&lt;&gt;"",N29/O29,"")</f>
        <v/>
      </c>
      <c r="Q29" s="878"/>
      <c r="R29" s="866"/>
      <c r="S29" s="862"/>
      <c r="T29" s="271"/>
      <c r="U29" s="271"/>
      <c r="V29" s="859">
        <f t="shared" si="3"/>
        <v>0</v>
      </c>
      <c r="W29" s="868"/>
    </row>
    <row r="30" spans="1:24" s="879" customFormat="1">
      <c r="A30" s="857" t="str">
        <f>IF(B30&lt;&gt;"",#REF!+1,"")</f>
        <v/>
      </c>
      <c r="B30" s="903"/>
      <c r="C30" s="904"/>
      <c r="D30" s="905"/>
      <c r="E30" s="905"/>
      <c r="F30" s="905"/>
      <c r="G30" s="906"/>
      <c r="H30" s="907"/>
      <c r="I30" s="905"/>
      <c r="J30" s="908"/>
      <c r="K30" s="905"/>
      <c r="L30" s="909"/>
      <c r="M30" s="905"/>
      <c r="N30" s="907"/>
      <c r="O30" s="910"/>
      <c r="P30" s="905"/>
      <c r="Q30" s="878"/>
      <c r="R30" s="866"/>
      <c r="S30" s="862"/>
      <c r="T30" s="271"/>
      <c r="U30" s="867"/>
      <c r="V30" s="859">
        <f t="shared" si="3"/>
        <v>0</v>
      </c>
      <c r="W30" s="868"/>
    </row>
    <row r="31" spans="1:24" s="834" customFormat="1">
      <c r="A31" s="880"/>
      <c r="B31" s="881" t="s">
        <v>725</v>
      </c>
      <c r="C31" s="882"/>
      <c r="D31" s="883">
        <f>SUM(D28:D30)</f>
        <v>0</v>
      </c>
      <c r="E31" s="883">
        <f>SUM(E28:E30)</f>
        <v>0</v>
      </c>
      <c r="F31" s="883"/>
      <c r="G31" s="883">
        <f>SUM(G28:G30)</f>
        <v>0</v>
      </c>
      <c r="H31" s="884"/>
      <c r="I31" s="884">
        <f>$V$37</f>
        <v>0</v>
      </c>
      <c r="J31" s="884"/>
      <c r="K31" s="884"/>
      <c r="L31" s="883">
        <f>ROUND(SUM(L28:L30),0)</f>
        <v>0</v>
      </c>
      <c r="M31" s="883">
        <f>ROUND(SUM(M28:M30),0)</f>
        <v>0</v>
      </c>
      <c r="N31" s="883">
        <f>ROUND(SUM(N28:N30),0)</f>
        <v>0</v>
      </c>
      <c r="O31" s="883">
        <f>ROUND(SUM(O28:O30),0)</f>
        <v>0</v>
      </c>
      <c r="P31" s="883"/>
      <c r="Q31" s="839"/>
      <c r="R31" s="866"/>
      <c r="S31" s="862"/>
      <c r="T31" s="271"/>
      <c r="U31" s="867"/>
      <c r="V31" s="859">
        <f t="shared" si="3"/>
        <v>0</v>
      </c>
      <c r="W31" s="868"/>
    </row>
    <row r="32" spans="1:24" s="834" customFormat="1">
      <c r="A32" s="885"/>
      <c r="B32" s="886"/>
      <c r="C32" s="843"/>
      <c r="D32" s="887"/>
      <c r="E32" s="887"/>
      <c r="F32" s="887"/>
      <c r="G32" s="887"/>
      <c r="H32" s="887"/>
      <c r="I32" s="841"/>
      <c r="J32" s="887"/>
      <c r="K32" s="887"/>
      <c r="L32" s="887"/>
      <c r="M32" s="887"/>
      <c r="N32" s="887"/>
      <c r="O32" s="887"/>
      <c r="P32" s="887"/>
      <c r="Q32" s="839"/>
      <c r="R32" s="866"/>
      <c r="S32" s="862"/>
      <c r="T32" s="271"/>
      <c r="U32" s="271"/>
      <c r="V32" s="859">
        <f t="shared" si="3"/>
        <v>0</v>
      </c>
      <c r="W32" s="911"/>
    </row>
    <row r="33" spans="1:23" s="834" customFormat="1">
      <c r="A33" s="885"/>
      <c r="B33" s="886"/>
      <c r="C33" s="843"/>
      <c r="D33" s="887"/>
      <c r="E33" s="887"/>
      <c r="F33" s="887"/>
      <c r="G33" s="887"/>
      <c r="H33" s="887"/>
      <c r="I33" s="841"/>
      <c r="J33" s="887"/>
      <c r="K33" s="887"/>
      <c r="L33" s="887"/>
      <c r="M33" s="887"/>
      <c r="N33" s="887"/>
      <c r="O33" s="887"/>
      <c r="P33" s="887"/>
      <c r="Q33" s="839"/>
      <c r="R33" s="866"/>
      <c r="S33" s="862"/>
      <c r="T33" s="271"/>
      <c r="U33" s="271"/>
      <c r="V33" s="859">
        <f t="shared" si="3"/>
        <v>0</v>
      </c>
      <c r="W33" s="911"/>
    </row>
    <row r="34" spans="1:23" s="834" customFormat="1">
      <c r="A34" s="885"/>
      <c r="B34" s="886"/>
      <c r="C34" s="843"/>
      <c r="D34" s="887"/>
      <c r="E34" s="887"/>
      <c r="F34" s="887"/>
      <c r="G34" s="887"/>
      <c r="H34" s="887"/>
      <c r="I34" s="841"/>
      <c r="J34" s="887"/>
      <c r="K34" s="887"/>
      <c r="L34" s="887"/>
      <c r="M34" s="887"/>
      <c r="N34" s="887"/>
      <c r="O34" s="887"/>
      <c r="P34" s="887"/>
      <c r="Q34" s="839"/>
      <c r="R34" s="866"/>
      <c r="S34" s="862"/>
      <c r="T34" s="271"/>
      <c r="U34" s="271"/>
      <c r="V34" s="859">
        <f t="shared" si="3"/>
        <v>0</v>
      </c>
      <c r="W34" s="911"/>
    </row>
    <row r="35" spans="1:23" s="834" customFormat="1">
      <c r="A35" s="885"/>
      <c r="B35" s="886"/>
      <c r="C35" s="843"/>
      <c r="D35" s="887"/>
      <c r="E35" s="887"/>
      <c r="F35" s="887"/>
      <c r="G35" s="887"/>
      <c r="H35" s="887"/>
      <c r="I35" s="841"/>
      <c r="J35" s="887"/>
      <c r="K35" s="887"/>
      <c r="L35" s="887"/>
      <c r="M35" s="887"/>
      <c r="N35" s="887"/>
      <c r="O35" s="887"/>
      <c r="P35" s="887"/>
      <c r="Q35" s="839"/>
      <c r="R35" s="866"/>
      <c r="S35" s="862"/>
      <c r="T35" s="271"/>
      <c r="U35" s="889"/>
      <c r="V35" s="859">
        <f t="shared" si="3"/>
        <v>0</v>
      </c>
      <c r="W35" s="911"/>
    </row>
    <row r="36" spans="1:23">
      <c r="R36" s="890"/>
      <c r="S36" s="862"/>
      <c r="T36" s="891"/>
      <c r="U36" s="271"/>
      <c r="V36" s="891"/>
      <c r="W36" s="911"/>
    </row>
    <row r="37" spans="1:23">
      <c r="R37" s="912"/>
      <c r="S37" s="913"/>
      <c r="T37" s="914"/>
      <c r="U37" s="892"/>
      <c r="V37" s="893">
        <f>SUM(V28:V36)</f>
        <v>0</v>
      </c>
      <c r="W37" s="893">
        <f>SUM(W28:W36)</f>
        <v>0</v>
      </c>
    </row>
    <row r="38" spans="1:23">
      <c r="R38" s="915"/>
      <c r="S38" s="862"/>
      <c r="T38" s="271"/>
      <c r="U38" s="271"/>
      <c r="V38" s="859">
        <f>ROUND(T38*U38,0)</f>
        <v>0</v>
      </c>
      <c r="W38" s="864"/>
    </row>
    <row r="39" spans="1:23">
      <c r="R39" s="915"/>
      <c r="S39" s="862"/>
      <c r="T39" s="271"/>
      <c r="U39" s="271"/>
      <c r="V39" s="859">
        <f>ROUND(T39*U39,0)</f>
        <v>0</v>
      </c>
      <c r="W39" s="864"/>
    </row>
    <row r="40" spans="1:23">
      <c r="R40" s="915"/>
      <c r="S40" s="862"/>
      <c r="T40" s="271"/>
      <c r="U40" s="271"/>
      <c r="V40" s="859">
        <f>ROUND(T40*U40,0)</f>
        <v>0</v>
      </c>
      <c r="W40" s="864"/>
    </row>
    <row r="41" spans="1:23" ht="18" customHeight="1">
      <c r="A41" s="834" t="s">
        <v>708</v>
      </c>
      <c r="B41" s="834"/>
      <c r="C41" s="835"/>
      <c r="D41" s="836"/>
      <c r="E41" s="836"/>
      <c r="F41" s="836"/>
      <c r="G41" s="833"/>
      <c r="H41" s="833"/>
      <c r="I41" s="833"/>
      <c r="J41" s="833"/>
      <c r="K41" s="833"/>
      <c r="L41" s="837"/>
      <c r="M41" s="833"/>
      <c r="N41" s="833"/>
      <c r="O41" s="838"/>
      <c r="P41" s="833"/>
      <c r="Q41" s="839"/>
      <c r="R41" s="839"/>
      <c r="S41" s="916"/>
      <c r="T41" s="849"/>
      <c r="U41" s="849"/>
      <c r="V41" s="849"/>
      <c r="W41" s="917"/>
    </row>
    <row r="42" spans="1:23" ht="18.75" customHeight="1">
      <c r="A42" s="841" t="s">
        <v>727</v>
      </c>
      <c r="B42" s="841"/>
      <c r="C42" s="841"/>
      <c r="D42" s="841"/>
      <c r="E42" s="841"/>
      <c r="F42" s="841"/>
      <c r="G42" s="841"/>
      <c r="H42" s="841"/>
      <c r="I42" s="841"/>
      <c r="J42" s="841"/>
      <c r="K42" s="841"/>
      <c r="L42" s="841"/>
      <c r="M42" s="841"/>
      <c r="N42" s="841"/>
      <c r="O42" s="841"/>
      <c r="P42" s="841"/>
      <c r="Q42" s="839"/>
      <c r="R42" s="900"/>
      <c r="S42" s="901"/>
      <c r="T42" s="849"/>
      <c r="U42" s="849"/>
      <c r="V42" s="902"/>
      <c r="W42" s="917"/>
    </row>
    <row r="43" spans="1:23" ht="18.75" customHeight="1">
      <c r="A43" s="842"/>
      <c r="B43" s="842"/>
      <c r="C43" s="843"/>
      <c r="D43" s="842"/>
      <c r="E43" s="842"/>
      <c r="F43" s="842"/>
      <c r="G43" s="842"/>
      <c r="H43" s="842"/>
      <c r="I43" s="842"/>
      <c r="J43" s="842"/>
      <c r="K43" s="842"/>
      <c r="L43" s="841"/>
      <c r="M43" s="842"/>
      <c r="N43" s="842"/>
      <c r="O43" s="844"/>
      <c r="P43" s="842"/>
      <c r="Q43" s="839"/>
      <c r="R43" s="900"/>
      <c r="S43" s="901"/>
      <c r="T43" s="849"/>
      <c r="U43" s="849"/>
      <c r="V43" s="902"/>
      <c r="W43" s="917"/>
    </row>
    <row r="44" spans="1:23" ht="12.75" customHeight="1">
      <c r="A44" s="845"/>
      <c r="B44" s="845"/>
      <c r="C44" s="846"/>
      <c r="D44" s="845"/>
      <c r="E44" s="845"/>
      <c r="F44" s="845"/>
      <c r="G44" s="845"/>
      <c r="H44" s="845"/>
      <c r="I44" s="845"/>
      <c r="J44" s="845"/>
      <c r="K44" s="845"/>
      <c r="L44" s="845"/>
      <c r="M44" s="845"/>
      <c r="N44" s="845"/>
      <c r="O44" s="847"/>
      <c r="P44" s="845"/>
      <c r="Q44" s="839"/>
      <c r="R44" s="900"/>
      <c r="S44" s="901"/>
      <c r="T44" s="849"/>
      <c r="U44" s="849"/>
      <c r="V44" s="902"/>
      <c r="W44" s="848"/>
    </row>
    <row r="45" spans="1:23" s="856" customFormat="1" ht="30.75" customHeight="1">
      <c r="A45" s="850" t="s">
        <v>46</v>
      </c>
      <c r="B45" s="850" t="s">
        <v>710</v>
      </c>
      <c r="C45" s="851" t="s">
        <v>711</v>
      </c>
      <c r="D45" s="852" t="s">
        <v>712</v>
      </c>
      <c r="E45" s="852" t="s">
        <v>713</v>
      </c>
      <c r="F45" s="852" t="s">
        <v>714</v>
      </c>
      <c r="G45" s="852" t="s">
        <v>715</v>
      </c>
      <c r="H45" s="852" t="s">
        <v>716</v>
      </c>
      <c r="I45" s="852" t="s">
        <v>717</v>
      </c>
      <c r="J45" s="852" t="s">
        <v>718</v>
      </c>
      <c r="K45" s="853" t="s">
        <v>719</v>
      </c>
      <c r="L45" s="852" t="s">
        <v>720</v>
      </c>
      <c r="M45" s="853" t="s">
        <v>721</v>
      </c>
      <c r="N45" s="852" t="s">
        <v>722</v>
      </c>
      <c r="O45" s="854" t="s">
        <v>713</v>
      </c>
      <c r="P45" s="852" t="s">
        <v>723</v>
      </c>
      <c r="Q45" s="855"/>
      <c r="R45" s="850" t="s">
        <v>710</v>
      </c>
      <c r="S45" s="852" t="s">
        <v>677</v>
      </c>
      <c r="T45" s="852" t="s">
        <v>535</v>
      </c>
      <c r="U45" s="852" t="s">
        <v>714</v>
      </c>
      <c r="V45" s="852" t="s">
        <v>724</v>
      </c>
      <c r="W45" s="850" t="s">
        <v>724</v>
      </c>
    </row>
    <row r="46" spans="1:23">
      <c r="A46" s="857" t="str">
        <f>IF(B46&lt;&gt;"",#REF!+1,"")</f>
        <v/>
      </c>
      <c r="B46" s="918"/>
      <c r="C46" s="858"/>
      <c r="D46" s="707">
        <f>ROUND(C46*O46,0)</f>
        <v>0</v>
      </c>
      <c r="E46" s="707"/>
      <c r="F46" s="707"/>
      <c r="G46" s="859">
        <f t="shared" ref="G46:G47" si="4">(D46+E46)*F46</f>
        <v>0</v>
      </c>
      <c r="H46" s="707">
        <f>IF($D$50&lt;&gt;0,H$50/($D$50+$E$50/5)*($D46+$E46/5),0)</f>
        <v>0</v>
      </c>
      <c r="I46" s="707">
        <f t="shared" ref="I46:K48" si="5">IF($D$50&lt;&gt;0,I$50/$D$50*$D46,0)</f>
        <v>0</v>
      </c>
      <c r="J46" s="707">
        <f t="shared" si="5"/>
        <v>0</v>
      </c>
      <c r="K46" s="707">
        <f t="shared" si="5"/>
        <v>0</v>
      </c>
      <c r="L46" s="707"/>
      <c r="M46" s="707"/>
      <c r="N46" s="859">
        <f>ROUND(SUM(G46:L46),0)</f>
        <v>0</v>
      </c>
      <c r="O46" s="865"/>
      <c r="P46" s="707" t="str">
        <f>IF(O46&lt;&gt;"",N46/O46,"")</f>
        <v/>
      </c>
      <c r="Q46" s="878"/>
      <c r="R46" s="866"/>
      <c r="S46" s="862"/>
      <c r="T46" s="271"/>
      <c r="U46" s="867"/>
      <c r="V46" s="859">
        <f t="shared" ref="V46:V53" si="6">ROUND(T46*U46,0)</f>
        <v>0</v>
      </c>
      <c r="W46" s="868"/>
    </row>
    <row r="47" spans="1:23">
      <c r="A47" s="857" t="str">
        <f>IF(B47&lt;&gt;"",A46+1,"")</f>
        <v/>
      </c>
      <c r="B47" s="869"/>
      <c r="C47" s="858">
        <f>IF(ISNA(VLOOKUP(B47,NXT!$Q$61:$S$81,2,0)),0,VLOOKUP(B47,NXT!$Q$61:$S$81,2,0))</f>
        <v>0</v>
      </c>
      <c r="D47" s="707">
        <f>ROUND(C47*O47,0)</f>
        <v>0</v>
      </c>
      <c r="E47" s="707"/>
      <c r="F47" s="707"/>
      <c r="G47" s="859">
        <f t="shared" si="4"/>
        <v>0</v>
      </c>
      <c r="H47" s="707">
        <f>IF($D$50&lt;&gt;0,H$50/($D$50+$E$50/5)*($D47+$E47/5),0)</f>
        <v>0</v>
      </c>
      <c r="I47" s="707">
        <f t="shared" si="5"/>
        <v>0</v>
      </c>
      <c r="J47" s="707">
        <f t="shared" si="5"/>
        <v>0</v>
      </c>
      <c r="K47" s="707">
        <f t="shared" si="5"/>
        <v>0</v>
      </c>
      <c r="L47" s="707"/>
      <c r="M47" s="707"/>
      <c r="N47" s="859">
        <f>ROUND(SUM(G47:L47),0)</f>
        <v>0</v>
      </c>
      <c r="O47" s="865"/>
      <c r="P47" s="707" t="str">
        <f>IF(O47&lt;&gt;"",N47/O47,"")</f>
        <v/>
      </c>
      <c r="Q47" s="878"/>
      <c r="R47" s="866"/>
      <c r="S47" s="862"/>
      <c r="T47" s="271"/>
      <c r="U47" s="867"/>
      <c r="V47" s="859">
        <f t="shared" si="6"/>
        <v>0</v>
      </c>
      <c r="W47" s="868"/>
    </row>
    <row r="48" spans="1:23">
      <c r="A48" s="857" t="str">
        <f>IF(B48&lt;&gt;"",A47+1,"")</f>
        <v/>
      </c>
      <c r="B48" s="869"/>
      <c r="C48" s="858">
        <f>IF(ISNA(VLOOKUP(B48,NXT!$Q$61:$S$81,2,0)),0,VLOOKUP(B48,NXT!$Q$61:$S$81,2,0))</f>
        <v>0</v>
      </c>
      <c r="D48" s="707">
        <f>ROUND(C48*O48,0)</f>
        <v>0</v>
      </c>
      <c r="E48" s="707"/>
      <c r="F48" s="707"/>
      <c r="G48" s="859">
        <f>(D48+E48)*F48</f>
        <v>0</v>
      </c>
      <c r="H48" s="707">
        <f>IF($D$50&lt;&gt;0,H$50/($D$50+$E$50/5)*($D48+$E48/5),0)</f>
        <v>0</v>
      </c>
      <c r="I48" s="707">
        <f t="shared" si="5"/>
        <v>0</v>
      </c>
      <c r="J48" s="707">
        <f t="shared" si="5"/>
        <v>0</v>
      </c>
      <c r="K48" s="707">
        <f t="shared" si="5"/>
        <v>0</v>
      </c>
      <c r="L48" s="707"/>
      <c r="M48" s="707"/>
      <c r="N48" s="859">
        <f>ROUND(SUM(G48:L48),0)</f>
        <v>0</v>
      </c>
      <c r="O48" s="865"/>
      <c r="P48" s="707" t="str">
        <f>IF(O48&lt;&gt;"",N48/O48,"")</f>
        <v/>
      </c>
      <c r="Q48" s="878"/>
      <c r="R48" s="866"/>
      <c r="S48" s="862"/>
      <c r="T48" s="889"/>
      <c r="U48" s="867"/>
      <c r="V48" s="859">
        <f t="shared" si="6"/>
        <v>0</v>
      </c>
      <c r="W48" s="868"/>
    </row>
    <row r="49" spans="1:23">
      <c r="A49" s="857" t="str">
        <f>IF(B49&lt;&gt;"",#REF!+1,"")</f>
        <v/>
      </c>
      <c r="B49" s="870"/>
      <c r="C49" s="871"/>
      <c r="D49" s="873"/>
      <c r="E49" s="873"/>
      <c r="F49" s="873"/>
      <c r="G49" s="874"/>
      <c r="H49" s="919"/>
      <c r="I49" s="873"/>
      <c r="J49" s="875"/>
      <c r="K49" s="873"/>
      <c r="L49" s="876"/>
      <c r="M49" s="873"/>
      <c r="N49" s="919"/>
      <c r="O49" s="877"/>
      <c r="P49" s="873"/>
      <c r="Q49" s="878"/>
      <c r="R49" s="866"/>
      <c r="S49" s="862"/>
      <c r="T49" s="889"/>
      <c r="U49" s="889"/>
      <c r="V49" s="859">
        <f t="shared" si="6"/>
        <v>0</v>
      </c>
      <c r="W49" s="868"/>
    </row>
    <row r="50" spans="1:23" s="879" customFormat="1">
      <c r="A50" s="880"/>
      <c r="B50" s="881" t="s">
        <v>725</v>
      </c>
      <c r="C50" s="882"/>
      <c r="D50" s="883">
        <f>SUM(D46:D49)</f>
        <v>0</v>
      </c>
      <c r="E50" s="883">
        <f>SUM(E46:E49)</f>
        <v>0</v>
      </c>
      <c r="F50" s="883"/>
      <c r="G50" s="883">
        <f>SUM(G46:G49)</f>
        <v>0</v>
      </c>
      <c r="H50" s="884"/>
      <c r="I50" s="884">
        <f>V55</f>
        <v>0</v>
      </c>
      <c r="J50" s="884"/>
      <c r="K50" s="884"/>
      <c r="L50" s="883">
        <f>ROUND(SUM(L46:L49),0)</f>
        <v>0</v>
      </c>
      <c r="M50" s="883">
        <f>ROUND(SUM(M46:M49),0)</f>
        <v>0</v>
      </c>
      <c r="N50" s="883">
        <f>ROUND(SUM(N46:N49),0)</f>
        <v>0</v>
      </c>
      <c r="O50" s="883">
        <f>ROUND(SUM(O46:O49),0)</f>
        <v>0</v>
      </c>
      <c r="P50" s="883"/>
      <c r="Q50" s="878"/>
      <c r="R50" s="866"/>
      <c r="S50" s="862"/>
      <c r="T50" s="889"/>
      <c r="U50" s="867"/>
      <c r="V50" s="859">
        <f t="shared" si="6"/>
        <v>0</v>
      </c>
      <c r="W50" s="868"/>
    </row>
    <row r="51" spans="1:23" s="834" customFormat="1">
      <c r="A51" s="885"/>
      <c r="B51" s="886"/>
      <c r="C51" s="843"/>
      <c r="D51" s="887"/>
      <c r="E51" s="887"/>
      <c r="F51" s="887"/>
      <c r="G51" s="887"/>
      <c r="H51" s="841"/>
      <c r="I51" s="841"/>
      <c r="J51" s="841"/>
      <c r="K51" s="841"/>
      <c r="L51" s="841"/>
      <c r="M51" s="887"/>
      <c r="N51" s="887"/>
      <c r="O51" s="887"/>
      <c r="P51" s="887"/>
      <c r="Q51" s="839"/>
      <c r="R51" s="590"/>
      <c r="S51" s="920"/>
      <c r="T51" s="889"/>
      <c r="U51" s="867"/>
      <c r="V51" s="859">
        <f t="shared" si="6"/>
        <v>0</v>
      </c>
      <c r="W51" s="868"/>
    </row>
    <row r="52" spans="1:23" s="834" customFormat="1">
      <c r="A52" s="885"/>
      <c r="B52" s="886"/>
      <c r="C52" s="843"/>
      <c r="D52" s="887"/>
      <c r="E52" s="887"/>
      <c r="F52" s="887"/>
      <c r="G52" s="887"/>
      <c r="H52" s="841"/>
      <c r="I52" s="841"/>
      <c r="J52" s="841"/>
      <c r="K52" s="841"/>
      <c r="L52" s="841"/>
      <c r="M52" s="887"/>
      <c r="N52" s="887"/>
      <c r="O52" s="887"/>
      <c r="P52" s="887"/>
      <c r="Q52" s="839"/>
      <c r="R52" s="866"/>
      <c r="S52" s="862"/>
      <c r="T52" s="889"/>
      <c r="U52" s="867"/>
      <c r="V52" s="859">
        <f t="shared" si="6"/>
        <v>0</v>
      </c>
      <c r="W52" s="868"/>
    </row>
    <row r="53" spans="1:23" s="834" customFormat="1">
      <c r="A53" s="885"/>
      <c r="B53" s="886"/>
      <c r="C53" s="843"/>
      <c r="D53" s="887"/>
      <c r="E53" s="887"/>
      <c r="F53" s="887"/>
      <c r="G53" s="887"/>
      <c r="H53" s="841"/>
      <c r="I53" s="841"/>
      <c r="J53" s="841"/>
      <c r="K53" s="841"/>
      <c r="L53" s="841"/>
      <c r="M53" s="887"/>
      <c r="N53" s="887"/>
      <c r="O53" s="887"/>
      <c r="P53" s="887"/>
      <c r="Q53" s="839"/>
      <c r="R53" s="866"/>
      <c r="S53" s="862"/>
      <c r="T53" s="889"/>
      <c r="U53" s="867"/>
      <c r="V53" s="859">
        <f t="shared" si="6"/>
        <v>0</v>
      </c>
      <c r="W53" s="868"/>
    </row>
    <row r="54" spans="1:23" s="834" customFormat="1">
      <c r="A54" s="885"/>
      <c r="B54" s="886"/>
      <c r="C54" s="843"/>
      <c r="D54" s="887"/>
      <c r="E54" s="887"/>
      <c r="F54" s="887"/>
      <c r="G54" s="887"/>
      <c r="H54" s="887"/>
      <c r="I54" s="841"/>
      <c r="J54" s="887"/>
      <c r="K54" s="887"/>
      <c r="L54" s="887"/>
      <c r="M54" s="887"/>
      <c r="N54" s="887"/>
      <c r="O54" s="887"/>
      <c r="P54" s="887"/>
      <c r="Q54" s="839"/>
      <c r="R54" s="921"/>
      <c r="S54" s="922"/>
      <c r="T54" s="923"/>
      <c r="U54" s="923"/>
      <c r="V54" s="923"/>
      <c r="W54" s="924"/>
    </row>
    <row r="55" spans="1:23" s="834" customFormat="1">
      <c r="A55" s="885"/>
      <c r="B55" s="886"/>
      <c r="C55" s="843"/>
      <c r="D55" s="887"/>
      <c r="E55" s="887"/>
      <c r="F55" s="887"/>
      <c r="G55" s="887"/>
      <c r="H55" s="887"/>
      <c r="I55" s="841"/>
      <c r="J55" s="887"/>
      <c r="K55" s="887"/>
      <c r="L55" s="887"/>
      <c r="M55" s="887"/>
      <c r="N55" s="887"/>
      <c r="O55" s="887"/>
      <c r="P55" s="887"/>
      <c r="Q55" s="839"/>
      <c r="R55" s="912"/>
      <c r="S55" s="913"/>
      <c r="T55" s="914"/>
      <c r="U55" s="892"/>
      <c r="V55" s="893">
        <f>SUM(V46:V54)</f>
        <v>0</v>
      </c>
      <c r="W55" s="893">
        <f>SUM(W46:W51)</f>
        <v>0</v>
      </c>
    </row>
    <row r="56" spans="1:23" s="834" customFormat="1">
      <c r="A56" s="885"/>
      <c r="B56" s="886"/>
      <c r="C56" s="843"/>
      <c r="D56" s="887"/>
      <c r="E56" s="887"/>
      <c r="F56" s="887"/>
      <c r="G56" s="888"/>
      <c r="H56" s="887"/>
      <c r="I56" s="841"/>
      <c r="J56" s="887"/>
      <c r="K56" s="887"/>
      <c r="L56" s="887"/>
      <c r="M56" s="887"/>
      <c r="N56" s="925"/>
      <c r="O56" s="887"/>
      <c r="P56" s="887"/>
      <c r="Q56" s="839"/>
      <c r="R56" s="915"/>
      <c r="S56" s="862"/>
      <c r="T56" s="271"/>
      <c r="U56" s="271"/>
      <c r="V56" s="859">
        <f t="shared" ref="V56:V61" si="7">ROUND(T56*U56,0)</f>
        <v>0</v>
      </c>
      <c r="W56" s="859"/>
    </row>
    <row r="57" spans="1:23" s="834" customFormat="1">
      <c r="A57" s="885"/>
      <c r="B57" s="886"/>
      <c r="C57" s="843"/>
      <c r="D57" s="887"/>
      <c r="E57" s="887"/>
      <c r="F57" s="887"/>
      <c r="G57" s="887"/>
      <c r="H57" s="887"/>
      <c r="I57" s="841"/>
      <c r="J57" s="887"/>
      <c r="K57" s="887"/>
      <c r="L57" s="887"/>
      <c r="M57" s="887"/>
      <c r="N57" s="887"/>
      <c r="O57" s="887"/>
      <c r="P57" s="887"/>
      <c r="Q57" s="839"/>
      <c r="R57" s="915"/>
      <c r="S57" s="862"/>
      <c r="T57" s="867"/>
      <c r="U57" s="867"/>
      <c r="V57" s="859">
        <f t="shared" si="7"/>
        <v>0</v>
      </c>
      <c r="W57" s="875"/>
    </row>
    <row r="58" spans="1:23" s="834" customFormat="1">
      <c r="A58" s="885"/>
      <c r="B58" s="886"/>
      <c r="C58" s="843"/>
      <c r="D58" s="887"/>
      <c r="E58" s="887"/>
      <c r="F58" s="887"/>
      <c r="G58" s="887"/>
      <c r="H58" s="887"/>
      <c r="I58" s="841"/>
      <c r="J58" s="887"/>
      <c r="K58" s="887"/>
      <c r="L58" s="887"/>
      <c r="M58" s="887"/>
      <c r="N58" s="887"/>
      <c r="O58" s="887"/>
      <c r="P58" s="887"/>
      <c r="Q58" s="839"/>
      <c r="R58" s="915"/>
      <c r="S58" s="862"/>
      <c r="T58" s="867"/>
      <c r="U58" s="867"/>
      <c r="V58" s="859">
        <f t="shared" si="7"/>
        <v>0</v>
      </c>
      <c r="W58" s="875"/>
    </row>
    <row r="59" spans="1:23" s="834" customFormat="1">
      <c r="A59" s="830"/>
      <c r="B59" s="830"/>
      <c r="C59" s="830"/>
      <c r="D59" s="830"/>
      <c r="E59" s="830"/>
      <c r="F59" s="830"/>
      <c r="G59" s="830"/>
      <c r="H59" s="830"/>
      <c r="I59" s="830"/>
      <c r="J59" s="830"/>
      <c r="K59" s="830"/>
      <c r="L59" s="830"/>
      <c r="M59" s="830"/>
      <c r="N59" s="830"/>
      <c r="O59" s="830"/>
      <c r="P59" s="830"/>
      <c r="Q59" s="839"/>
      <c r="R59" s="915"/>
      <c r="S59" s="862"/>
      <c r="T59" s="867"/>
      <c r="U59" s="867"/>
      <c r="V59" s="859">
        <f t="shared" si="7"/>
        <v>0</v>
      </c>
      <c r="W59" s="875"/>
    </row>
    <row r="60" spans="1:23">
      <c r="R60" s="915"/>
      <c r="S60" s="862"/>
      <c r="T60" s="867"/>
      <c r="U60" s="867"/>
      <c r="V60" s="859">
        <f t="shared" si="7"/>
        <v>0</v>
      </c>
      <c r="W60" s="875"/>
    </row>
    <row r="61" spans="1:23">
      <c r="R61" s="915"/>
      <c r="S61" s="862"/>
      <c r="T61" s="271"/>
      <c r="U61" s="271"/>
      <c r="V61" s="859">
        <f t="shared" si="7"/>
        <v>0</v>
      </c>
      <c r="W61" s="875"/>
    </row>
    <row r="62" spans="1:23" ht="18" customHeight="1">
      <c r="A62" s="834" t="s">
        <v>708</v>
      </c>
      <c r="B62" s="834"/>
      <c r="C62" s="835"/>
      <c r="D62" s="836"/>
      <c r="E62" s="836"/>
      <c r="F62" s="836"/>
      <c r="G62" s="833"/>
      <c r="H62" s="833"/>
      <c r="I62" s="833"/>
      <c r="J62" s="833"/>
      <c r="K62" s="833"/>
      <c r="L62" s="837"/>
      <c r="M62" s="833"/>
      <c r="N62" s="833"/>
      <c r="O62" s="838"/>
      <c r="P62" s="833"/>
      <c r="Q62" s="839"/>
      <c r="R62" s="833"/>
      <c r="S62" s="840"/>
    </row>
    <row r="63" spans="1:23" ht="18.75" customHeight="1">
      <c r="A63" s="841" t="s">
        <v>728</v>
      </c>
      <c r="B63" s="841"/>
      <c r="C63" s="841"/>
      <c r="D63" s="841"/>
      <c r="E63" s="841"/>
      <c r="F63" s="841"/>
      <c r="G63" s="841"/>
      <c r="H63" s="841"/>
      <c r="I63" s="841"/>
      <c r="J63" s="841"/>
      <c r="K63" s="841"/>
      <c r="L63" s="841"/>
      <c r="M63" s="841"/>
      <c r="N63" s="841"/>
      <c r="O63" s="841"/>
      <c r="P63" s="841"/>
      <c r="Q63" s="839"/>
      <c r="R63" s="833"/>
      <c r="S63" s="840"/>
    </row>
    <row r="64" spans="1:23" ht="18.75" customHeight="1">
      <c r="A64" s="842"/>
      <c r="B64" s="842"/>
      <c r="C64" s="843"/>
      <c r="D64" s="842"/>
      <c r="E64" s="842"/>
      <c r="F64" s="842"/>
      <c r="G64" s="842"/>
      <c r="H64" s="842"/>
      <c r="I64" s="842"/>
      <c r="J64" s="842"/>
      <c r="K64" s="842"/>
      <c r="L64" s="841"/>
      <c r="M64" s="842"/>
      <c r="N64" s="842"/>
      <c r="O64" s="844"/>
      <c r="P64" s="842"/>
      <c r="Q64" s="839"/>
      <c r="R64" s="833"/>
      <c r="S64" s="840"/>
    </row>
    <row r="65" spans="1:23" ht="12.75" customHeight="1">
      <c r="A65" s="845"/>
      <c r="B65" s="845"/>
      <c r="C65" s="846"/>
      <c r="D65" s="845"/>
      <c r="E65" s="845"/>
      <c r="F65" s="845"/>
      <c r="G65" s="845"/>
      <c r="H65" s="845"/>
      <c r="I65" s="845"/>
      <c r="J65" s="845"/>
      <c r="K65" s="845"/>
      <c r="L65" s="845"/>
      <c r="M65" s="845"/>
      <c r="N65" s="845"/>
      <c r="O65" s="847"/>
      <c r="P65" s="845"/>
      <c r="Q65" s="839"/>
      <c r="R65" s="833"/>
      <c r="S65" s="840"/>
    </row>
    <row r="66" spans="1:23" s="856" customFormat="1" ht="30.75" customHeight="1">
      <c r="A66" s="850" t="s">
        <v>46</v>
      </c>
      <c r="B66" s="850" t="s">
        <v>710</v>
      </c>
      <c r="C66" s="851" t="s">
        <v>711</v>
      </c>
      <c r="D66" s="852" t="s">
        <v>712</v>
      </c>
      <c r="E66" s="852" t="s">
        <v>713</v>
      </c>
      <c r="F66" s="852" t="s">
        <v>714</v>
      </c>
      <c r="G66" s="852" t="s">
        <v>715</v>
      </c>
      <c r="H66" s="852" t="s">
        <v>716</v>
      </c>
      <c r="I66" s="852" t="s">
        <v>717</v>
      </c>
      <c r="J66" s="852" t="s">
        <v>718</v>
      </c>
      <c r="K66" s="853" t="s">
        <v>719</v>
      </c>
      <c r="L66" s="852" t="s">
        <v>720</v>
      </c>
      <c r="M66" s="853" t="s">
        <v>721</v>
      </c>
      <c r="N66" s="852" t="s">
        <v>722</v>
      </c>
      <c r="O66" s="854" t="s">
        <v>713</v>
      </c>
      <c r="P66" s="852" t="s">
        <v>723</v>
      </c>
      <c r="Q66" s="855"/>
      <c r="R66" s="850" t="s">
        <v>710</v>
      </c>
      <c r="S66" s="852" t="s">
        <v>677</v>
      </c>
      <c r="T66" s="852" t="s">
        <v>535</v>
      </c>
      <c r="U66" s="852" t="s">
        <v>714</v>
      </c>
      <c r="V66" s="852" t="s">
        <v>724</v>
      </c>
      <c r="W66" s="850" t="s">
        <v>724</v>
      </c>
    </row>
    <row r="67" spans="1:23">
      <c r="A67" s="926" t="str">
        <f>IF(B67&lt;&gt;"",ROW()-(ROW()-1),"")</f>
        <v/>
      </c>
      <c r="B67" s="927"/>
      <c r="C67" s="858">
        <f>IF(ISNA(VLOOKUP(B67,NXT!$Q$61:$S$81,2,0)),0,VLOOKUP(B67,NXT!$Q$61:$S$81,2,0))</f>
        <v>0</v>
      </c>
      <c r="D67" s="707">
        <f>ROUND(C67*O67,0)</f>
        <v>0</v>
      </c>
      <c r="E67" s="707"/>
      <c r="F67" s="707"/>
      <c r="G67" s="859">
        <f>(D67+E67)*F67</f>
        <v>0</v>
      </c>
      <c r="H67" s="707">
        <f>IF($D$70&lt;&gt;0,H$70/($D$70+$E$70/5)*($D67+$E67/5),0)</f>
        <v>0</v>
      </c>
      <c r="I67" s="707">
        <f t="shared" ref="I67:K68" si="8">IF($D$70&lt;&gt;0,I$70/$D$70*$D67,0)</f>
        <v>0</v>
      </c>
      <c r="J67" s="707">
        <f t="shared" si="8"/>
        <v>0</v>
      </c>
      <c r="K67" s="707">
        <f t="shared" si="8"/>
        <v>0</v>
      </c>
      <c r="L67" s="859"/>
      <c r="M67" s="707" t="e">
        <f>34560000/($O$67+#REF!+#REF!)*O67</f>
        <v>#REF!</v>
      </c>
      <c r="N67" s="859">
        <f>ROUND(SUM(G67:L67),0)</f>
        <v>0</v>
      </c>
      <c r="O67" s="707"/>
      <c r="P67" s="707">
        <f>IF(N67&lt;&gt;0,N67/O67,0)</f>
        <v>0</v>
      </c>
      <c r="Q67" s="878"/>
      <c r="R67" s="861"/>
      <c r="S67" s="928"/>
      <c r="T67" s="271"/>
      <c r="U67" s="863"/>
      <c r="V67" s="859">
        <f t="shared" ref="V67:V77" si="9">ROUND(T67*U67,0)</f>
        <v>0</v>
      </c>
      <c r="W67" s="859"/>
    </row>
    <row r="68" spans="1:23">
      <c r="A68" s="929" t="str">
        <f>IF(B68&lt;&gt;"",A67+1,"")</f>
        <v/>
      </c>
      <c r="B68" s="587"/>
      <c r="C68" s="858">
        <f>IF(ISNA(VLOOKUP(B68,NXT!$Q$61:$S$81,2,0)),0,VLOOKUP(B68,NXT!$Q$61:$S$81,2,0))</f>
        <v>0</v>
      </c>
      <c r="D68" s="707">
        <f>ROUND(C68*O68,0)</f>
        <v>0</v>
      </c>
      <c r="E68" s="707"/>
      <c r="F68" s="707"/>
      <c r="G68" s="859">
        <f>(D68+E68)*F68</f>
        <v>0</v>
      </c>
      <c r="H68" s="707">
        <f>IF($D$70&lt;&gt;0,H$70/($D$70+$E$70/5)*($D68+$E68/5),0)</f>
        <v>0</v>
      </c>
      <c r="I68" s="707">
        <f t="shared" si="8"/>
        <v>0</v>
      </c>
      <c r="J68" s="707">
        <f t="shared" si="8"/>
        <v>0</v>
      </c>
      <c r="K68" s="707">
        <f t="shared" si="8"/>
        <v>0</v>
      </c>
      <c r="L68" s="859"/>
      <c r="M68" s="707"/>
      <c r="N68" s="859">
        <f>ROUND(SUM(G68:L68),0)</f>
        <v>0</v>
      </c>
      <c r="O68" s="865"/>
      <c r="P68" s="707">
        <f>IF(N68&lt;&gt;0,N68/O68,0)</f>
        <v>0</v>
      </c>
      <c r="Q68" s="878"/>
      <c r="R68" s="866"/>
      <c r="S68" s="928"/>
      <c r="T68" s="271"/>
      <c r="U68" s="867"/>
      <c r="V68" s="859">
        <f t="shared" si="9"/>
        <v>0</v>
      </c>
      <c r="W68" s="875"/>
    </row>
    <row r="69" spans="1:23">
      <c r="A69" s="857" t="str">
        <f>IF(B69&lt;&gt;"",#REF!+1,"")</f>
        <v/>
      </c>
      <c r="B69" s="870"/>
      <c r="C69" s="871"/>
      <c r="D69" s="873"/>
      <c r="E69" s="873"/>
      <c r="F69" s="873"/>
      <c r="G69" s="874"/>
      <c r="H69" s="919"/>
      <c r="I69" s="873"/>
      <c r="J69" s="875"/>
      <c r="K69" s="873"/>
      <c r="L69" s="876"/>
      <c r="M69" s="873"/>
      <c r="N69" s="907"/>
      <c r="O69" s="877"/>
      <c r="P69" s="873"/>
      <c r="Q69" s="878"/>
      <c r="R69" s="866"/>
      <c r="S69" s="928"/>
      <c r="T69" s="271"/>
      <c r="U69" s="867"/>
      <c r="V69" s="859">
        <f t="shared" si="9"/>
        <v>0</v>
      </c>
      <c r="W69" s="875"/>
    </row>
    <row r="70" spans="1:23" s="879" customFormat="1">
      <c r="A70" s="880"/>
      <c r="B70" s="881" t="s">
        <v>725</v>
      </c>
      <c r="C70" s="882"/>
      <c r="D70" s="883">
        <f>SUM(D67:D68)</f>
        <v>0</v>
      </c>
      <c r="E70" s="883"/>
      <c r="F70" s="883"/>
      <c r="G70" s="883">
        <f>SUM(G67:G68)</f>
        <v>0</v>
      </c>
      <c r="H70" s="884"/>
      <c r="I70" s="884">
        <f>V79</f>
        <v>0</v>
      </c>
      <c r="J70" s="884"/>
      <c r="K70" s="884"/>
      <c r="L70" s="883">
        <f>ROUND(SUM(L67:L69),0)</f>
        <v>0</v>
      </c>
      <c r="M70" s="883" t="e">
        <f>ROUND(SUM(M67:M69),0)</f>
        <v>#REF!</v>
      </c>
      <c r="N70" s="883">
        <f>ROUND(SUM(N67:N69),0)</f>
        <v>0</v>
      </c>
      <c r="O70" s="883">
        <f>ROUND(SUM(O67:O69),0)</f>
        <v>0</v>
      </c>
      <c r="P70" s="883"/>
      <c r="Q70" s="878"/>
      <c r="R70" s="866"/>
      <c r="S70" s="928"/>
      <c r="T70" s="889"/>
      <c r="U70" s="867"/>
      <c r="V70" s="859">
        <f t="shared" si="9"/>
        <v>0</v>
      </c>
      <c r="W70" s="875"/>
    </row>
    <row r="71" spans="1:23" s="834" customFormat="1">
      <c r="A71" s="830"/>
      <c r="B71" s="830"/>
      <c r="C71" s="830"/>
      <c r="D71" s="830"/>
      <c r="E71" s="830"/>
      <c r="F71" s="830"/>
      <c r="G71" s="830"/>
      <c r="H71" s="830"/>
      <c r="I71" s="830"/>
      <c r="J71" s="830"/>
      <c r="K71" s="830"/>
      <c r="L71" s="830"/>
      <c r="M71" s="830"/>
      <c r="N71" s="830"/>
      <c r="O71" s="830"/>
      <c r="P71" s="830"/>
      <c r="Q71" s="878"/>
      <c r="R71" s="866"/>
      <c r="S71" s="928"/>
      <c r="T71" s="271"/>
      <c r="U71" s="867"/>
      <c r="V71" s="859">
        <f t="shared" si="9"/>
        <v>0</v>
      </c>
      <c r="W71" s="875"/>
    </row>
    <row r="72" spans="1:23">
      <c r="Q72" s="878"/>
      <c r="R72" s="866"/>
      <c r="S72" s="928"/>
      <c r="T72" s="271"/>
      <c r="U72" s="867"/>
      <c r="V72" s="859">
        <f t="shared" si="9"/>
        <v>0</v>
      </c>
      <c r="W72" s="875"/>
    </row>
    <row r="73" spans="1:23">
      <c r="Q73" s="878"/>
      <c r="R73" s="866"/>
      <c r="S73" s="928"/>
      <c r="T73" s="271"/>
      <c r="U73" s="867"/>
      <c r="V73" s="859">
        <f t="shared" si="9"/>
        <v>0</v>
      </c>
      <c r="W73" s="875"/>
    </row>
    <row r="74" spans="1:23">
      <c r="Q74" s="878"/>
      <c r="R74" s="866"/>
      <c r="S74" s="928"/>
      <c r="T74" s="889"/>
      <c r="U74" s="889"/>
      <c r="V74" s="859">
        <f t="shared" si="9"/>
        <v>0</v>
      </c>
      <c r="W74" s="875"/>
    </row>
    <row r="75" spans="1:23">
      <c r="Q75" s="878"/>
      <c r="R75" s="866"/>
      <c r="S75" s="930"/>
      <c r="T75" s="889"/>
      <c r="U75" s="867"/>
      <c r="V75" s="859">
        <f t="shared" si="9"/>
        <v>0</v>
      </c>
      <c r="W75" s="875"/>
    </row>
    <row r="76" spans="1:23">
      <c r="Q76" s="878"/>
      <c r="R76" s="931"/>
      <c r="S76" s="930"/>
      <c r="T76" s="889"/>
      <c r="U76" s="867"/>
      <c r="V76" s="859">
        <f t="shared" si="9"/>
        <v>0</v>
      </c>
      <c r="W76" s="875"/>
    </row>
    <row r="77" spans="1:23">
      <c r="Q77" s="878"/>
      <c r="R77" s="866"/>
      <c r="S77" s="930"/>
      <c r="T77" s="889"/>
      <c r="U77" s="867"/>
      <c r="V77" s="859">
        <f t="shared" si="9"/>
        <v>0</v>
      </c>
      <c r="W77" s="875"/>
    </row>
    <row r="78" spans="1:23">
      <c r="Q78" s="878"/>
      <c r="R78" s="932"/>
      <c r="S78" s="862"/>
      <c r="T78" s="271"/>
      <c r="U78" s="271"/>
      <c r="V78" s="875"/>
      <c r="W78" s="875"/>
    </row>
    <row r="79" spans="1:23">
      <c r="R79" s="912"/>
      <c r="S79" s="913"/>
      <c r="T79" s="914"/>
      <c r="U79" s="933"/>
      <c r="V79" s="893">
        <f>SUM(V67:V78)</f>
        <v>0</v>
      </c>
      <c r="W79" s="893">
        <f>SUM(W67:W78)</f>
        <v>0</v>
      </c>
    </row>
    <row r="80" spans="1:23">
      <c r="R80" s="915"/>
      <c r="S80" s="928"/>
      <c r="T80" s="271"/>
      <c r="U80" s="271"/>
      <c r="V80" s="859">
        <f>ROUND(T80*U80,0)</f>
        <v>0</v>
      </c>
      <c r="W80" s="859"/>
    </row>
    <row r="81" spans="1:23">
      <c r="R81" s="866"/>
      <c r="S81" s="928"/>
      <c r="T81" s="867"/>
      <c r="U81" s="867"/>
      <c r="V81" s="859">
        <f>ROUND(T81*U81,0)</f>
        <v>0</v>
      </c>
      <c r="W81" s="875"/>
    </row>
    <row r="82" spans="1:23">
      <c r="R82" s="889"/>
      <c r="S82" s="862"/>
      <c r="T82" s="867"/>
      <c r="U82" s="867"/>
      <c r="V82" s="859">
        <f>ROUND(T82*U82,0)</f>
        <v>0</v>
      </c>
      <c r="W82" s="875"/>
    </row>
    <row r="83" spans="1:23">
      <c r="R83" s="889"/>
      <c r="S83" s="862"/>
      <c r="T83" s="867"/>
      <c r="U83" s="867"/>
      <c r="V83" s="859">
        <f>ROUND(T83*U83,0)</f>
        <v>0</v>
      </c>
      <c r="W83" s="875"/>
    </row>
    <row r="84" spans="1:23" ht="18" customHeight="1">
      <c r="A84" s="834" t="s">
        <v>708</v>
      </c>
      <c r="B84" s="834"/>
      <c r="C84" s="835"/>
      <c r="D84" s="836"/>
      <c r="E84" s="836"/>
      <c r="F84" s="836"/>
      <c r="G84" s="833"/>
      <c r="H84" s="833"/>
      <c r="I84" s="833"/>
      <c r="J84" s="833"/>
      <c r="K84" s="833"/>
      <c r="L84" s="837"/>
      <c r="M84" s="833"/>
      <c r="N84" s="833"/>
      <c r="O84" s="838"/>
      <c r="P84" s="833"/>
      <c r="Q84" s="839"/>
      <c r="R84" s="833"/>
      <c r="S84" s="840"/>
    </row>
    <row r="85" spans="1:23" ht="18.75" customHeight="1">
      <c r="A85" s="841" t="s">
        <v>729</v>
      </c>
      <c r="B85" s="841"/>
      <c r="C85" s="841"/>
      <c r="D85" s="841"/>
      <c r="E85" s="841"/>
      <c r="F85" s="841"/>
      <c r="G85" s="841"/>
      <c r="H85" s="841"/>
      <c r="I85" s="841"/>
      <c r="J85" s="841"/>
      <c r="K85" s="841"/>
      <c r="L85" s="841"/>
      <c r="M85" s="841"/>
      <c r="N85" s="841"/>
      <c r="O85" s="841"/>
      <c r="P85" s="841"/>
      <c r="Q85" s="839"/>
      <c r="R85" s="833"/>
      <c r="S85" s="840"/>
    </row>
    <row r="86" spans="1:23" ht="18.75" customHeight="1">
      <c r="A86" s="842"/>
      <c r="B86" s="842"/>
      <c r="C86" s="843"/>
      <c r="D86" s="842"/>
      <c r="E86" s="842"/>
      <c r="F86" s="842"/>
      <c r="G86" s="842"/>
      <c r="H86" s="842"/>
      <c r="I86" s="842"/>
      <c r="J86" s="842"/>
      <c r="K86" s="842"/>
      <c r="L86" s="841"/>
      <c r="M86" s="842"/>
      <c r="N86" s="842"/>
      <c r="O86" s="844"/>
      <c r="P86" s="842"/>
      <c r="Q86" s="839"/>
      <c r="R86" s="833"/>
      <c r="S86" s="840"/>
    </row>
    <row r="87" spans="1:23" ht="12.75" customHeight="1">
      <c r="A87" s="845"/>
      <c r="B87" s="845"/>
      <c r="C87" s="846"/>
      <c r="D87" s="845"/>
      <c r="E87" s="845"/>
      <c r="F87" s="845"/>
      <c r="G87" s="845"/>
      <c r="H87" s="845"/>
      <c r="I87" s="845"/>
      <c r="J87" s="845"/>
      <c r="K87" s="845"/>
      <c r="L87" s="845"/>
      <c r="M87" s="845"/>
      <c r="N87" s="845"/>
      <c r="O87" s="847"/>
      <c r="P87" s="845"/>
      <c r="Q87" s="839"/>
      <c r="R87" s="833"/>
      <c r="S87" s="840"/>
    </row>
    <row r="88" spans="1:23" s="856" customFormat="1" ht="30.75" customHeight="1">
      <c r="A88" s="850" t="s">
        <v>46</v>
      </c>
      <c r="B88" s="850" t="s">
        <v>710</v>
      </c>
      <c r="C88" s="851" t="s">
        <v>711</v>
      </c>
      <c r="D88" s="852" t="s">
        <v>712</v>
      </c>
      <c r="E88" s="852" t="s">
        <v>713</v>
      </c>
      <c r="F88" s="852" t="s">
        <v>714</v>
      </c>
      <c r="G88" s="852" t="s">
        <v>715</v>
      </c>
      <c r="H88" s="852" t="s">
        <v>716</v>
      </c>
      <c r="I88" s="852" t="s">
        <v>717</v>
      </c>
      <c r="J88" s="852" t="s">
        <v>718</v>
      </c>
      <c r="K88" s="853" t="s">
        <v>719</v>
      </c>
      <c r="L88" s="852" t="s">
        <v>720</v>
      </c>
      <c r="M88" s="853" t="s">
        <v>721</v>
      </c>
      <c r="N88" s="852" t="s">
        <v>722</v>
      </c>
      <c r="O88" s="854" t="s">
        <v>713</v>
      </c>
      <c r="P88" s="852" t="s">
        <v>723</v>
      </c>
      <c r="Q88" s="855"/>
      <c r="R88" s="850" t="s">
        <v>710</v>
      </c>
      <c r="S88" s="852" t="s">
        <v>677</v>
      </c>
      <c r="T88" s="852" t="s">
        <v>535</v>
      </c>
      <c r="U88" s="852" t="s">
        <v>714</v>
      </c>
      <c r="V88" s="852" t="s">
        <v>724</v>
      </c>
      <c r="W88" s="850" t="s">
        <v>724</v>
      </c>
    </row>
    <row r="89" spans="1:23">
      <c r="A89" s="857" t="str">
        <f>IF(B89&lt;&gt;"",ROW()-(ROW()-1),"")</f>
        <v/>
      </c>
      <c r="B89" s="587"/>
      <c r="C89" s="858">
        <f>IF(ISNA(VLOOKUP(B89,NXT!$Q$61:$S$81,2,0)),0,VLOOKUP(B89,NXT!$Q$61:$S$81,2,0))</f>
        <v>0</v>
      </c>
      <c r="D89" s="707">
        <f>ROUND(C89*O89,0)</f>
        <v>0</v>
      </c>
      <c r="E89" s="707"/>
      <c r="F89" s="707"/>
      <c r="G89" s="859">
        <f>(D89+E89)*F89</f>
        <v>0</v>
      </c>
      <c r="H89" s="707">
        <f>IF($D$92&lt;&gt;0,H$92/($D$92+$E$92/5)*($D89+$E89/5),0)</f>
        <v>0</v>
      </c>
      <c r="I89" s="707">
        <f t="shared" ref="I89:K90" si="10">IF($D$92&lt;&gt;0,I$92/$D$92*$D89,0)</f>
        <v>0</v>
      </c>
      <c r="J89" s="707">
        <f t="shared" si="10"/>
        <v>0</v>
      </c>
      <c r="K89" s="707">
        <f t="shared" si="10"/>
        <v>0</v>
      </c>
      <c r="L89" s="859"/>
      <c r="M89" s="707" t="e">
        <f>34560000/($O$67+#REF!+#REF!)*O89</f>
        <v>#REF!</v>
      </c>
      <c r="N89" s="859">
        <f>ROUND(SUM(G89:L89),0)</f>
        <v>0</v>
      </c>
      <c r="O89" s="707"/>
      <c r="P89" s="707">
        <f>IF(N89&lt;&gt;0,N89/O89,0)</f>
        <v>0</v>
      </c>
      <c r="Q89" s="878"/>
      <c r="R89" s="866"/>
      <c r="S89" s="928"/>
      <c r="T89" s="271"/>
      <c r="U89" s="867"/>
      <c r="V89" s="859">
        <f t="shared" ref="V89:V95" si="11">ROUND(T89*U89,0)</f>
        <v>0</v>
      </c>
      <c r="W89" s="875"/>
    </row>
    <row r="90" spans="1:23">
      <c r="A90" s="857" t="str">
        <f>IF(B90&lt;&gt;"",A89+1,"")</f>
        <v/>
      </c>
      <c r="B90" s="582"/>
      <c r="C90" s="858">
        <f>IF(ISNA(VLOOKUP(B90,NXT!$Q$61:$S$81,2,0)),0,VLOOKUP(B90,NXT!$Q$61:$S$81,2,0))</f>
        <v>0</v>
      </c>
      <c r="D90" s="707">
        <f>ROUND(C90*O90,0)</f>
        <v>0</v>
      </c>
      <c r="E90" s="707"/>
      <c r="F90" s="707"/>
      <c r="G90" s="859">
        <f>(D90+E90)*F90</f>
        <v>0</v>
      </c>
      <c r="H90" s="707">
        <f>IF($D$92&lt;&gt;0,H$92/($D$92+$E$92/5)*($D90+$E90/5),0)</f>
        <v>0</v>
      </c>
      <c r="I90" s="707">
        <f t="shared" si="10"/>
        <v>0</v>
      </c>
      <c r="J90" s="707">
        <f t="shared" si="10"/>
        <v>0</v>
      </c>
      <c r="K90" s="707">
        <f t="shared" si="10"/>
        <v>0</v>
      </c>
      <c r="L90" s="707"/>
      <c r="M90" s="707"/>
      <c r="N90" s="859">
        <f>ROUND(SUM(G90:L90),0)</f>
        <v>0</v>
      </c>
      <c r="O90" s="865"/>
      <c r="P90" s="707">
        <f>IF(N90&lt;&gt;0,N90/O90,0)</f>
        <v>0</v>
      </c>
      <c r="Q90" s="878"/>
      <c r="R90" s="866"/>
      <c r="S90" s="928"/>
      <c r="T90" s="271"/>
      <c r="U90" s="867"/>
      <c r="V90" s="859">
        <f t="shared" si="11"/>
        <v>0</v>
      </c>
      <c r="W90" s="875"/>
    </row>
    <row r="91" spans="1:23" s="879" customFormat="1">
      <c r="A91" s="857" t="str">
        <f>IF(B91&lt;&gt;"",#REF!+1,"")</f>
        <v/>
      </c>
      <c r="B91" s="870"/>
      <c r="C91" s="871"/>
      <c r="D91" s="873"/>
      <c r="E91" s="873"/>
      <c r="F91" s="873"/>
      <c r="G91" s="874"/>
      <c r="H91" s="919"/>
      <c r="I91" s="873"/>
      <c r="J91" s="875"/>
      <c r="K91" s="873"/>
      <c r="L91" s="876"/>
      <c r="M91" s="873"/>
      <c r="N91" s="907"/>
      <c r="O91" s="877"/>
      <c r="P91" s="873"/>
      <c r="Q91" s="878"/>
      <c r="R91" s="866"/>
      <c r="S91" s="928"/>
      <c r="T91" s="271"/>
      <c r="U91" s="867"/>
      <c r="V91" s="859">
        <f t="shared" si="11"/>
        <v>0</v>
      </c>
      <c r="W91" s="875"/>
    </row>
    <row r="92" spans="1:23" s="834" customFormat="1">
      <c r="A92" s="880"/>
      <c r="B92" s="881" t="s">
        <v>725</v>
      </c>
      <c r="C92" s="882"/>
      <c r="D92" s="883">
        <f>SUM(D89:D90)</f>
        <v>0</v>
      </c>
      <c r="E92" s="883">
        <f>SUM(E89:E90)</f>
        <v>0</v>
      </c>
      <c r="F92" s="883"/>
      <c r="G92" s="883">
        <f>SUM(G89:G90)</f>
        <v>0</v>
      </c>
      <c r="H92" s="884"/>
      <c r="I92" s="884">
        <f>V97</f>
        <v>0</v>
      </c>
      <c r="J92" s="884"/>
      <c r="K92" s="884"/>
      <c r="L92" s="883">
        <f>ROUND(SUM(L89:L91),0)</f>
        <v>0</v>
      </c>
      <c r="M92" s="883" t="e">
        <f>ROUND(SUM(M89:M91),0)</f>
        <v>#REF!</v>
      </c>
      <c r="N92" s="883">
        <f>ROUND(SUM(N89:N91),0)</f>
        <v>0</v>
      </c>
      <c r="O92" s="883">
        <f>ROUND(SUM(O89:O91),0)</f>
        <v>0</v>
      </c>
      <c r="P92" s="883"/>
      <c r="Q92" s="878"/>
      <c r="R92" s="866"/>
      <c r="S92" s="928"/>
      <c r="T92" s="889"/>
      <c r="U92" s="889"/>
      <c r="V92" s="859">
        <f t="shared" si="11"/>
        <v>0</v>
      </c>
      <c r="W92" s="875"/>
    </row>
    <row r="93" spans="1:23">
      <c r="Q93" s="878"/>
      <c r="R93" s="866"/>
      <c r="S93" s="930"/>
      <c r="T93" s="889"/>
      <c r="U93" s="867"/>
      <c r="V93" s="859">
        <f t="shared" si="11"/>
        <v>0</v>
      </c>
      <c r="W93" s="875"/>
    </row>
    <row r="94" spans="1:23">
      <c r="Q94" s="878"/>
      <c r="R94" s="931"/>
      <c r="S94" s="930"/>
      <c r="T94" s="889"/>
      <c r="U94" s="867"/>
      <c r="V94" s="859">
        <f t="shared" si="11"/>
        <v>0</v>
      </c>
      <c r="W94" s="875"/>
    </row>
    <row r="95" spans="1:23">
      <c r="Q95" s="878"/>
      <c r="R95" s="866"/>
      <c r="S95" s="930"/>
      <c r="T95" s="889"/>
      <c r="U95" s="867"/>
      <c r="V95" s="859">
        <f t="shared" si="11"/>
        <v>0</v>
      </c>
      <c r="W95" s="875"/>
    </row>
    <row r="96" spans="1:23">
      <c r="Q96" s="878"/>
      <c r="R96" s="932"/>
      <c r="S96" s="862"/>
      <c r="T96" s="271"/>
      <c r="U96" s="271"/>
      <c r="V96" s="875"/>
      <c r="W96" s="875"/>
    </row>
    <row r="97" spans="1:23">
      <c r="R97" s="912"/>
      <c r="S97" s="913"/>
      <c r="T97" s="914"/>
      <c r="U97" s="933"/>
      <c r="V97" s="883">
        <f>SUM(V89:V96)</f>
        <v>0</v>
      </c>
      <c r="W97" s="893">
        <f>SUM(W89:W96)</f>
        <v>0</v>
      </c>
    </row>
    <row r="98" spans="1:23">
      <c r="R98" s="915"/>
      <c r="S98" s="928"/>
      <c r="T98" s="271"/>
      <c r="U98" s="271"/>
      <c r="V98" s="859">
        <f>ROUND(T98*U98,0)</f>
        <v>0</v>
      </c>
      <c r="W98" s="859"/>
    </row>
    <row r="99" spans="1:23">
      <c r="R99" s="934"/>
      <c r="S99" s="928"/>
      <c r="T99" s="867"/>
      <c r="U99" s="867"/>
      <c r="V99" s="859">
        <f>ROUND(T99*U99,0)</f>
        <v>0</v>
      </c>
      <c r="W99" s="875"/>
    </row>
    <row r="100" spans="1:23">
      <c r="R100" s="866"/>
      <c r="S100" s="928"/>
      <c r="T100" s="867"/>
      <c r="U100" s="867"/>
      <c r="V100" s="859">
        <f>ROUND(T100*U100,0)</f>
        <v>0</v>
      </c>
      <c r="W100" s="875"/>
    </row>
    <row r="101" spans="1:23">
      <c r="R101" s="889"/>
      <c r="S101" s="862"/>
      <c r="T101" s="867"/>
      <c r="U101" s="867"/>
      <c r="V101" s="859">
        <f>ROUND(T101*U101,0)</f>
        <v>0</v>
      </c>
      <c r="W101" s="875"/>
    </row>
    <row r="102" spans="1:23">
      <c r="R102" s="889"/>
      <c r="S102" s="862"/>
      <c r="T102" s="867"/>
      <c r="U102" s="867"/>
      <c r="V102" s="859">
        <f>ROUND(T102*U102,0)</f>
        <v>0</v>
      </c>
      <c r="W102" s="875"/>
    </row>
    <row r="103" spans="1:23">
      <c r="R103" s="839"/>
      <c r="S103" s="916"/>
      <c r="T103" s="849"/>
      <c r="U103" s="849"/>
      <c r="V103" s="887"/>
      <c r="W103" s="917"/>
    </row>
    <row r="104" spans="1:23" ht="18" customHeight="1">
      <c r="A104" s="834" t="s">
        <v>708</v>
      </c>
      <c r="B104" s="834"/>
      <c r="C104" s="835"/>
      <c r="D104" s="836"/>
      <c r="E104" s="836"/>
      <c r="F104" s="836"/>
      <c r="G104" s="833"/>
      <c r="H104" s="833"/>
      <c r="I104" s="833"/>
      <c r="J104" s="833"/>
      <c r="K104" s="833"/>
      <c r="L104" s="837"/>
      <c r="M104" s="833"/>
      <c r="N104" s="833"/>
      <c r="O104" s="838"/>
      <c r="P104" s="833"/>
      <c r="Q104" s="839"/>
      <c r="R104" s="833"/>
      <c r="S104" s="840"/>
    </row>
    <row r="105" spans="1:23" ht="18.75" customHeight="1">
      <c r="A105" s="841" t="s">
        <v>730</v>
      </c>
      <c r="B105" s="841"/>
      <c r="C105" s="841"/>
      <c r="D105" s="841"/>
      <c r="E105" s="841"/>
      <c r="F105" s="841"/>
      <c r="G105" s="841"/>
      <c r="H105" s="841"/>
      <c r="I105" s="841"/>
      <c r="J105" s="841"/>
      <c r="K105" s="841"/>
      <c r="L105" s="841"/>
      <c r="M105" s="841"/>
      <c r="N105" s="841"/>
      <c r="O105" s="841"/>
      <c r="P105" s="841"/>
      <c r="Q105" s="839"/>
      <c r="R105" s="833"/>
      <c r="S105" s="840"/>
    </row>
    <row r="106" spans="1:23" ht="18.75" customHeight="1">
      <c r="A106" s="842"/>
      <c r="B106" s="842"/>
      <c r="C106" s="843"/>
      <c r="D106" s="842"/>
      <c r="E106" s="842"/>
      <c r="F106" s="842"/>
      <c r="G106" s="842"/>
      <c r="H106" s="842"/>
      <c r="I106" s="842"/>
      <c r="J106" s="842"/>
      <c r="K106" s="842"/>
      <c r="L106" s="841"/>
      <c r="M106" s="842"/>
      <c r="N106" s="842"/>
      <c r="O106" s="844"/>
      <c r="P106" s="842"/>
      <c r="Q106" s="839"/>
      <c r="R106" s="833"/>
      <c r="S106" s="840"/>
    </row>
    <row r="107" spans="1:23" ht="12.75" customHeight="1">
      <c r="A107" s="845"/>
      <c r="B107" s="845"/>
      <c r="C107" s="846"/>
      <c r="D107" s="845"/>
      <c r="E107" s="845"/>
      <c r="F107" s="845"/>
      <c r="G107" s="845"/>
      <c r="H107" s="845"/>
      <c r="I107" s="845"/>
      <c r="J107" s="845"/>
      <c r="K107" s="845"/>
      <c r="L107" s="845"/>
      <c r="M107" s="845"/>
      <c r="N107" s="845"/>
      <c r="O107" s="847"/>
      <c r="P107" s="845"/>
      <c r="Q107" s="839"/>
      <c r="R107" s="833"/>
      <c r="S107" s="840"/>
    </row>
    <row r="108" spans="1:23" s="856" customFormat="1" ht="30.75" customHeight="1">
      <c r="A108" s="850" t="s">
        <v>46</v>
      </c>
      <c r="B108" s="850" t="s">
        <v>710</v>
      </c>
      <c r="C108" s="851" t="s">
        <v>711</v>
      </c>
      <c r="D108" s="852" t="s">
        <v>712</v>
      </c>
      <c r="E108" s="852" t="s">
        <v>713</v>
      </c>
      <c r="F108" s="852" t="s">
        <v>714</v>
      </c>
      <c r="G108" s="852" t="s">
        <v>715</v>
      </c>
      <c r="H108" s="852" t="s">
        <v>716</v>
      </c>
      <c r="I108" s="852" t="s">
        <v>717</v>
      </c>
      <c r="J108" s="852" t="s">
        <v>718</v>
      </c>
      <c r="K108" s="853" t="s">
        <v>719</v>
      </c>
      <c r="L108" s="852" t="s">
        <v>720</v>
      </c>
      <c r="M108" s="853" t="s">
        <v>721</v>
      </c>
      <c r="N108" s="852" t="s">
        <v>722</v>
      </c>
      <c r="O108" s="854" t="s">
        <v>713</v>
      </c>
      <c r="P108" s="852" t="s">
        <v>723</v>
      </c>
      <c r="Q108" s="855"/>
      <c r="R108" s="850" t="s">
        <v>710</v>
      </c>
      <c r="S108" s="852" t="s">
        <v>677</v>
      </c>
      <c r="T108" s="852" t="s">
        <v>535</v>
      </c>
      <c r="U108" s="852" t="s">
        <v>714</v>
      </c>
      <c r="V108" s="852" t="s">
        <v>724</v>
      </c>
      <c r="W108" s="850" t="s">
        <v>724</v>
      </c>
    </row>
    <row r="109" spans="1:23">
      <c r="A109" s="857" t="str">
        <f>IF(B109&lt;&gt;"",ROW()-(ROW()-1),"")</f>
        <v/>
      </c>
      <c r="B109" s="935"/>
      <c r="C109" s="858">
        <f>IF(ISNA(VLOOKUP(B109,NXT!$Q$61:$S$81,2,0)),0,VLOOKUP(B109,NXT!$Q$61:$S$81,2,0))</f>
        <v>0</v>
      </c>
      <c r="D109" s="707">
        <f>ROUND(C109*O109,0)</f>
        <v>0</v>
      </c>
      <c r="E109" s="707"/>
      <c r="F109" s="707"/>
      <c r="G109" s="859">
        <f>D109*F109</f>
        <v>0</v>
      </c>
      <c r="H109" s="707">
        <f>IF($D$114&lt;&gt;0,H$114/($D$114+$E$114/5)*($D109+$E109/5),0)</f>
        <v>0</v>
      </c>
      <c r="I109" s="707">
        <f>IF($D$114&lt;&gt;0,I$114/$D$114*$D109,0)</f>
        <v>0</v>
      </c>
      <c r="J109" s="707">
        <f t="shared" ref="J109:K112" si="12">IF($D$114&lt;&gt;0,J$114/$D$114*$D109,0)</f>
        <v>0</v>
      </c>
      <c r="K109" s="707">
        <f t="shared" si="12"/>
        <v>0</v>
      </c>
      <c r="L109" s="859"/>
      <c r="M109" s="707" t="e">
        <f>34560000/($O$67+#REF!+#REF!)*O109</f>
        <v>#REF!</v>
      </c>
      <c r="N109" s="859">
        <f>ROUND(SUM(G109:L109),0)</f>
        <v>0</v>
      </c>
      <c r="O109" s="707"/>
      <c r="P109" s="707">
        <f>IF(N109&lt;&gt;0,N109/O109,0)</f>
        <v>0</v>
      </c>
      <c r="Q109" s="878"/>
      <c r="R109" s="861"/>
      <c r="S109" s="928"/>
      <c r="T109" s="271"/>
      <c r="U109" s="863"/>
      <c r="V109" s="859">
        <f t="shared" ref="V109:V121" si="13">ROUND(T109*U109,0)</f>
        <v>0</v>
      </c>
      <c r="W109" s="859"/>
    </row>
    <row r="110" spans="1:23">
      <c r="A110" s="857" t="str">
        <f>IF(B110&lt;&gt;"",A109+1,"")</f>
        <v/>
      </c>
      <c r="B110" s="869"/>
      <c r="C110" s="858">
        <f>IF(ISNA(VLOOKUP(B110,NXT!$Q$61:$S$81,2,0)),0,VLOOKUP(B110,NXT!$Q$61:$S$81,2,0))</f>
        <v>0</v>
      </c>
      <c r="D110" s="707">
        <f>ROUND(C110*O110,0)</f>
        <v>0</v>
      </c>
      <c r="E110" s="707"/>
      <c r="F110" s="707"/>
      <c r="G110" s="859">
        <f>D110*F110</f>
        <v>0</v>
      </c>
      <c r="H110" s="707">
        <f>IF($D$114&lt;&gt;0,H$114/($D$114+$E$114/5)*($D110+$E110/5),0)</f>
        <v>0</v>
      </c>
      <c r="I110" s="707">
        <f>IF($D$114&lt;&gt;0,I$114/$D$114*$D110,0)</f>
        <v>0</v>
      </c>
      <c r="J110" s="707">
        <f t="shared" si="12"/>
        <v>0</v>
      </c>
      <c r="K110" s="707">
        <f t="shared" si="12"/>
        <v>0</v>
      </c>
      <c r="L110" s="707"/>
      <c r="M110" s="707"/>
      <c r="N110" s="859">
        <f>ROUND(SUM(G110:L110),0)</f>
        <v>0</v>
      </c>
      <c r="O110" s="865"/>
      <c r="P110" s="707">
        <f>IF(N110&lt;&gt;0,N110/O110,0)</f>
        <v>0</v>
      </c>
      <c r="Q110" s="878"/>
      <c r="R110" s="866"/>
      <c r="S110" s="928"/>
      <c r="T110" s="271"/>
      <c r="U110" s="867"/>
      <c r="V110" s="859">
        <f t="shared" si="13"/>
        <v>0</v>
      </c>
      <c r="W110" s="875"/>
    </row>
    <row r="111" spans="1:23">
      <c r="A111" s="857" t="str">
        <f>IF(B111&lt;&gt;"",A110+1,"")</f>
        <v/>
      </c>
      <c r="B111" s="869"/>
      <c r="C111" s="858">
        <f>IF(ISNA(VLOOKUP(B111,NXT!$Q$61:$S$81,2,0)),0,VLOOKUP(B111,NXT!$Q$61:$S$81,2,0))</f>
        <v>0</v>
      </c>
      <c r="D111" s="707">
        <f>ROUND(C111*O111,0)</f>
        <v>0</v>
      </c>
      <c r="E111" s="707"/>
      <c r="F111" s="707"/>
      <c r="G111" s="859">
        <f>D111*F111</f>
        <v>0</v>
      </c>
      <c r="H111" s="707">
        <f>IF($D$114&lt;&gt;0,H$114/($D$114+$E$114/5)*($D111+$E111/5),0)</f>
        <v>0</v>
      </c>
      <c r="I111" s="707">
        <f>IF($D$114&lt;&gt;0,I$114/$D$114*$D111,0)</f>
        <v>0</v>
      </c>
      <c r="J111" s="707">
        <f t="shared" si="12"/>
        <v>0</v>
      </c>
      <c r="K111" s="707">
        <f t="shared" si="12"/>
        <v>0</v>
      </c>
      <c r="L111" s="707"/>
      <c r="M111" s="707">
        <v>25840000</v>
      </c>
      <c r="N111" s="859">
        <f>ROUND(SUM(G111:L111),0)</f>
        <v>0</v>
      </c>
      <c r="O111" s="865"/>
      <c r="P111" s="707">
        <f>IF(N111&lt;&gt;0,N111/O111,0)</f>
        <v>0</v>
      </c>
      <c r="Q111" s="878"/>
      <c r="R111" s="866"/>
      <c r="S111" s="928"/>
      <c r="T111" s="271"/>
      <c r="U111" s="867"/>
      <c r="V111" s="859">
        <f t="shared" si="13"/>
        <v>0</v>
      </c>
      <c r="W111" s="875"/>
    </row>
    <row r="112" spans="1:23">
      <c r="A112" s="857" t="str">
        <f>IF(B112&lt;&gt;"",A111+1,"")</f>
        <v/>
      </c>
      <c r="B112" s="582"/>
      <c r="C112" s="858">
        <f>IF(ISNA(VLOOKUP(B112,NXT!$Q$61:$S$81,2,0)),0,VLOOKUP(B112,NXT!$Q$61:$S$81,2,0))</f>
        <v>0</v>
      </c>
      <c r="D112" s="707">
        <f>ROUND(C112*O112,0)</f>
        <v>0</v>
      </c>
      <c r="E112" s="707"/>
      <c r="F112" s="707"/>
      <c r="G112" s="859">
        <f>D112*F112</f>
        <v>0</v>
      </c>
      <c r="H112" s="707">
        <f>IF($D$114&lt;&gt;0,H$114/($D$114+$E$114/5)*($D112+$E112/5),0)</f>
        <v>0</v>
      </c>
      <c r="I112" s="707">
        <f>IF($D$114&lt;&gt;0,I$114/$D$114*$D112,0)</f>
        <v>0</v>
      </c>
      <c r="J112" s="707">
        <f t="shared" si="12"/>
        <v>0</v>
      </c>
      <c r="K112" s="707">
        <f t="shared" si="12"/>
        <v>0</v>
      </c>
      <c r="L112" s="707"/>
      <c r="M112" s="707" t="e">
        <f>34560000/($O$67+#REF!+#REF!)*O112</f>
        <v>#REF!</v>
      </c>
      <c r="N112" s="859">
        <f>ROUND(SUM(G112:L112),0)</f>
        <v>0</v>
      </c>
      <c r="O112" s="865"/>
      <c r="P112" s="707">
        <f>IF(N112&lt;&gt;0,N112/O112,0)</f>
        <v>0</v>
      </c>
      <c r="Q112" s="878"/>
      <c r="R112" s="866"/>
      <c r="S112" s="928"/>
      <c r="T112" s="889"/>
      <c r="U112" s="867"/>
      <c r="V112" s="859">
        <f t="shared" si="13"/>
        <v>0</v>
      </c>
      <c r="W112" s="875"/>
    </row>
    <row r="113" spans="1:23">
      <c r="A113" s="857" t="str">
        <f>IF(B113&lt;&gt;"",#REF!+1,"")</f>
        <v/>
      </c>
      <c r="B113" s="870"/>
      <c r="C113" s="871"/>
      <c r="D113" s="873"/>
      <c r="E113" s="873"/>
      <c r="F113" s="873"/>
      <c r="G113" s="874"/>
      <c r="H113" s="919"/>
      <c r="I113" s="873"/>
      <c r="J113" s="875"/>
      <c r="K113" s="873"/>
      <c r="L113" s="876"/>
      <c r="M113" s="873"/>
      <c r="N113" s="859"/>
      <c r="O113" s="877"/>
      <c r="P113" s="873"/>
      <c r="Q113" s="878"/>
      <c r="R113" s="866"/>
      <c r="S113" s="928"/>
      <c r="T113" s="271"/>
      <c r="U113" s="867"/>
      <c r="V113" s="859">
        <f t="shared" si="13"/>
        <v>0</v>
      </c>
      <c r="W113" s="875"/>
    </row>
    <row r="114" spans="1:23">
      <c r="A114" s="880"/>
      <c r="B114" s="881" t="s">
        <v>725</v>
      </c>
      <c r="C114" s="882"/>
      <c r="D114" s="883">
        <f>SUM(D109:D112)</f>
        <v>0</v>
      </c>
      <c r="E114" s="883"/>
      <c r="F114" s="883"/>
      <c r="G114" s="883">
        <f>SUM(G109:G112)</f>
        <v>0</v>
      </c>
      <c r="H114" s="884"/>
      <c r="I114" s="884">
        <f>V123</f>
        <v>0</v>
      </c>
      <c r="J114" s="884"/>
      <c r="K114" s="884"/>
      <c r="L114" s="883">
        <f>ROUND(SUM(L109:L113),0)</f>
        <v>0</v>
      </c>
      <c r="M114" s="883" t="e">
        <f>ROUND(SUM(M109:M113),0)</f>
        <v>#REF!</v>
      </c>
      <c r="N114" s="883">
        <f>ROUND(SUM(N109:N113),0)</f>
        <v>0</v>
      </c>
      <c r="O114" s="883">
        <f>ROUND(SUM(O109:O113),0)</f>
        <v>0</v>
      </c>
      <c r="P114" s="883"/>
      <c r="Q114" s="878"/>
      <c r="R114" s="866"/>
      <c r="S114" s="928"/>
      <c r="T114" s="271"/>
      <c r="U114" s="867"/>
      <c r="V114" s="859">
        <f t="shared" si="13"/>
        <v>0</v>
      </c>
      <c r="W114" s="875"/>
    </row>
    <row r="115" spans="1:23" s="879" customFormat="1">
      <c r="A115" s="830"/>
      <c r="B115" s="830"/>
      <c r="C115" s="830"/>
      <c r="D115" s="830"/>
      <c r="E115" s="830"/>
      <c r="F115" s="830"/>
      <c r="G115" s="830"/>
      <c r="H115" s="830"/>
      <c r="I115" s="830"/>
      <c r="J115" s="830"/>
      <c r="K115" s="830"/>
      <c r="L115" s="830"/>
      <c r="M115" s="830"/>
      <c r="N115" s="830"/>
      <c r="O115" s="830"/>
      <c r="P115" s="830"/>
      <c r="Q115" s="878"/>
      <c r="R115" s="866"/>
      <c r="S115" s="928"/>
      <c r="T115" s="271"/>
      <c r="U115" s="867"/>
      <c r="V115" s="859">
        <f t="shared" si="13"/>
        <v>0</v>
      </c>
      <c r="W115" s="875"/>
    </row>
    <row r="116" spans="1:23" s="834" customFormat="1">
      <c r="A116" s="830"/>
      <c r="B116" s="830"/>
      <c r="C116" s="830"/>
      <c r="D116" s="830"/>
      <c r="E116" s="830"/>
      <c r="F116" s="830"/>
      <c r="G116" s="830"/>
      <c r="H116" s="830"/>
      <c r="I116" s="830"/>
      <c r="J116" s="830"/>
      <c r="K116" s="830"/>
      <c r="L116" s="830"/>
      <c r="M116" s="830"/>
      <c r="N116" s="830"/>
      <c r="O116" s="830"/>
      <c r="P116" s="830"/>
      <c r="Q116" s="878"/>
      <c r="R116" s="866"/>
      <c r="S116" s="928"/>
      <c r="T116" s="889"/>
      <c r="U116" s="889"/>
      <c r="V116" s="859">
        <f t="shared" si="13"/>
        <v>0</v>
      </c>
      <c r="W116" s="875"/>
    </row>
    <row r="117" spans="1:23">
      <c r="Q117" s="878"/>
      <c r="R117" s="866"/>
      <c r="S117" s="930"/>
      <c r="T117" s="889"/>
      <c r="U117" s="867"/>
      <c r="V117" s="859">
        <f t="shared" si="13"/>
        <v>0</v>
      </c>
      <c r="W117" s="875"/>
    </row>
    <row r="118" spans="1:23">
      <c r="Q118" s="878"/>
      <c r="R118" s="587"/>
      <c r="S118" s="930"/>
      <c r="T118" s="271"/>
      <c r="U118" s="271"/>
      <c r="V118" s="859">
        <f t="shared" si="13"/>
        <v>0</v>
      </c>
      <c r="W118" s="875"/>
    </row>
    <row r="119" spans="1:23">
      <c r="Q119" s="878"/>
      <c r="R119" s="866"/>
      <c r="S119" s="930"/>
      <c r="T119" s="271"/>
      <c r="U119" s="271"/>
      <c r="V119" s="859">
        <f t="shared" si="13"/>
        <v>0</v>
      </c>
      <c r="W119" s="875"/>
    </row>
    <row r="120" spans="1:23">
      <c r="Q120" s="878"/>
      <c r="R120" s="931"/>
      <c r="S120" s="930"/>
      <c r="T120" s="889"/>
      <c r="U120" s="867"/>
      <c r="V120" s="859">
        <f t="shared" si="13"/>
        <v>0</v>
      </c>
      <c r="W120" s="875"/>
    </row>
    <row r="121" spans="1:23">
      <c r="Q121" s="878"/>
      <c r="R121" s="866"/>
      <c r="S121" s="928"/>
      <c r="T121" s="889"/>
      <c r="U121" s="867"/>
      <c r="V121" s="859">
        <f t="shared" si="13"/>
        <v>0</v>
      </c>
      <c r="W121" s="875"/>
    </row>
    <row r="122" spans="1:23">
      <c r="Q122" s="878"/>
      <c r="R122" s="587"/>
      <c r="S122" s="862"/>
      <c r="T122" s="271"/>
      <c r="U122" s="271"/>
      <c r="V122" s="859"/>
      <c r="W122" s="875"/>
    </row>
    <row r="123" spans="1:23">
      <c r="R123" s="912"/>
      <c r="S123" s="913"/>
      <c r="T123" s="914"/>
      <c r="U123" s="933"/>
      <c r="V123" s="883">
        <f>SUM(V109:V122)</f>
        <v>0</v>
      </c>
      <c r="W123" s="893">
        <f>SUM(W109:W122)</f>
        <v>0</v>
      </c>
    </row>
    <row r="124" spans="1:23">
      <c r="R124" s="915"/>
      <c r="S124" s="928"/>
      <c r="T124" s="271"/>
      <c r="U124" s="271"/>
      <c r="V124" s="859">
        <f t="shared" ref="V124:V130" si="14">ROUND(T124*U124,0)</f>
        <v>0</v>
      </c>
      <c r="W124" s="859"/>
    </row>
    <row r="125" spans="1:23">
      <c r="R125" s="866"/>
      <c r="S125" s="928"/>
      <c r="T125" s="867"/>
      <c r="U125" s="867"/>
      <c r="V125" s="859">
        <f t="shared" si="14"/>
        <v>0</v>
      </c>
      <c r="W125" s="875"/>
    </row>
    <row r="126" spans="1:23">
      <c r="R126" s="866"/>
      <c r="S126" s="928"/>
      <c r="T126" s="867"/>
      <c r="U126" s="867"/>
      <c r="V126" s="859">
        <f t="shared" si="14"/>
        <v>0</v>
      </c>
      <c r="W126" s="875"/>
    </row>
    <row r="127" spans="1:23">
      <c r="R127" s="866"/>
      <c r="S127" s="928"/>
      <c r="T127" s="867"/>
      <c r="U127" s="867"/>
      <c r="V127" s="859">
        <f t="shared" si="14"/>
        <v>0</v>
      </c>
      <c r="W127" s="875"/>
    </row>
    <row r="128" spans="1:23">
      <c r="R128" s="915"/>
      <c r="S128" s="928"/>
      <c r="T128" s="271"/>
      <c r="U128" s="271"/>
      <c r="V128" s="859">
        <f t="shared" si="14"/>
        <v>0</v>
      </c>
      <c r="W128" s="875"/>
    </row>
    <row r="129" spans="1:23">
      <c r="R129" s="889"/>
      <c r="S129" s="862"/>
      <c r="T129" s="867"/>
      <c r="U129" s="867"/>
      <c r="V129" s="859">
        <f t="shared" si="14"/>
        <v>0</v>
      </c>
      <c r="W129" s="875"/>
    </row>
    <row r="130" spans="1:23">
      <c r="R130" s="889"/>
      <c r="S130" s="862"/>
      <c r="T130" s="867"/>
      <c r="U130" s="867"/>
      <c r="V130" s="859">
        <f t="shared" si="14"/>
        <v>0</v>
      </c>
      <c r="W130" s="875"/>
    </row>
    <row r="131" spans="1:23" ht="12.75" customHeight="1">
      <c r="A131" s="849"/>
      <c r="B131" s="849"/>
      <c r="C131" s="936"/>
      <c r="D131" s="849"/>
      <c r="E131" s="849"/>
      <c r="F131" s="849"/>
      <c r="G131" s="849"/>
      <c r="H131" s="849"/>
      <c r="I131" s="849"/>
      <c r="J131" s="849"/>
      <c r="K131" s="849"/>
      <c r="L131" s="849"/>
      <c r="M131" s="849"/>
      <c r="N131" s="849"/>
      <c r="O131" s="901"/>
      <c r="P131" s="849"/>
      <c r="Q131" s="839"/>
      <c r="R131" s="833"/>
      <c r="S131" s="840"/>
    </row>
    <row r="132" spans="1:23" ht="18" customHeight="1">
      <c r="A132" s="834" t="s">
        <v>708</v>
      </c>
      <c r="B132" s="834"/>
      <c r="C132" s="937"/>
      <c r="D132" s="836"/>
      <c r="E132" s="836"/>
      <c r="F132" s="836"/>
      <c r="G132" s="833"/>
      <c r="H132" s="833"/>
      <c r="I132" s="833"/>
      <c r="J132" s="833"/>
      <c r="K132" s="833"/>
      <c r="L132" s="837"/>
      <c r="M132" s="833"/>
      <c r="N132" s="833"/>
      <c r="O132" s="838"/>
      <c r="P132" s="833"/>
      <c r="Q132" s="839"/>
      <c r="R132" s="833"/>
      <c r="S132" s="840"/>
    </row>
    <row r="133" spans="1:23" ht="18.75" customHeight="1">
      <c r="A133" s="841" t="s">
        <v>731</v>
      </c>
      <c r="B133" s="841"/>
      <c r="C133" s="841"/>
      <c r="D133" s="841"/>
      <c r="E133" s="841"/>
      <c r="F133" s="841"/>
      <c r="G133" s="841"/>
      <c r="H133" s="841"/>
      <c r="I133" s="841"/>
      <c r="J133" s="841"/>
      <c r="K133" s="841"/>
      <c r="L133" s="841"/>
      <c r="M133" s="841"/>
      <c r="N133" s="841"/>
      <c r="O133" s="841"/>
      <c r="P133" s="841"/>
      <c r="Q133" s="839"/>
      <c r="R133" s="833"/>
      <c r="S133" s="840"/>
    </row>
    <row r="134" spans="1:23" ht="18.75" customHeight="1">
      <c r="A134" s="842"/>
      <c r="B134" s="842"/>
      <c r="C134" s="843"/>
      <c r="D134" s="842"/>
      <c r="E134" s="842"/>
      <c r="F134" s="842"/>
      <c r="G134" s="842"/>
      <c r="H134" s="842"/>
      <c r="I134" s="842"/>
      <c r="J134" s="842"/>
      <c r="K134" s="842"/>
      <c r="L134" s="841"/>
      <c r="M134" s="842"/>
      <c r="N134" s="842"/>
      <c r="O134" s="844"/>
      <c r="P134" s="842"/>
      <c r="Q134" s="839"/>
      <c r="R134" s="833"/>
      <c r="S134" s="840"/>
    </row>
    <row r="135" spans="1:23" ht="12.75" customHeight="1">
      <c r="A135" s="845"/>
      <c r="B135" s="845"/>
      <c r="C135" s="846"/>
      <c r="D135" s="845"/>
      <c r="E135" s="845"/>
      <c r="F135" s="845"/>
      <c r="G135" s="845"/>
      <c r="H135" s="845"/>
      <c r="I135" s="845"/>
      <c r="J135" s="845"/>
      <c r="K135" s="845"/>
      <c r="L135" s="845"/>
      <c r="M135" s="845"/>
      <c r="N135" s="845"/>
      <c r="O135" s="847"/>
      <c r="P135" s="845"/>
      <c r="Q135" s="839"/>
      <c r="R135" s="833"/>
      <c r="S135" s="840"/>
    </row>
    <row r="136" spans="1:23" s="856" customFormat="1" ht="30.75" customHeight="1">
      <c r="A136" s="850" t="s">
        <v>46</v>
      </c>
      <c r="B136" s="850" t="s">
        <v>710</v>
      </c>
      <c r="C136" s="851" t="s">
        <v>711</v>
      </c>
      <c r="D136" s="852" t="s">
        <v>712</v>
      </c>
      <c r="E136" s="852" t="s">
        <v>713</v>
      </c>
      <c r="F136" s="852" t="s">
        <v>714</v>
      </c>
      <c r="G136" s="852" t="s">
        <v>715</v>
      </c>
      <c r="H136" s="852" t="s">
        <v>716</v>
      </c>
      <c r="I136" s="852" t="s">
        <v>717</v>
      </c>
      <c r="J136" s="852" t="s">
        <v>718</v>
      </c>
      <c r="K136" s="853" t="s">
        <v>719</v>
      </c>
      <c r="L136" s="852" t="s">
        <v>720</v>
      </c>
      <c r="M136" s="853" t="s">
        <v>721</v>
      </c>
      <c r="N136" s="852" t="s">
        <v>722</v>
      </c>
      <c r="O136" s="854" t="s">
        <v>713</v>
      </c>
      <c r="P136" s="852" t="s">
        <v>723</v>
      </c>
      <c r="Q136" s="855"/>
      <c r="R136" s="850" t="s">
        <v>710</v>
      </c>
      <c r="S136" s="852" t="s">
        <v>677</v>
      </c>
      <c r="T136" s="852" t="s">
        <v>535</v>
      </c>
      <c r="U136" s="852" t="s">
        <v>714</v>
      </c>
      <c r="V136" s="852" t="s">
        <v>724</v>
      </c>
      <c r="W136" s="850" t="s">
        <v>724</v>
      </c>
    </row>
    <row r="137" spans="1:23">
      <c r="A137" s="857" t="str">
        <f>IF(B137&lt;&gt;"",ROW()-(ROW()-1),"")</f>
        <v/>
      </c>
      <c r="B137" s="869"/>
      <c r="C137" s="858">
        <f>IF(ISNA(VLOOKUP(B137,NXT!$Q$61:$S$81,2,0)),0,VLOOKUP(B137,NXT!$Q$61:$S$81,2,0))</f>
        <v>0</v>
      </c>
      <c r="D137" s="707">
        <f>ROUND(C137*O137,0)</f>
        <v>0</v>
      </c>
      <c r="E137" s="707"/>
      <c r="F137" s="707"/>
      <c r="G137" s="859">
        <f>D137*F137</f>
        <v>0</v>
      </c>
      <c r="H137" s="707">
        <f>IF($D$141&lt;&gt;0,H$141/($D$141+$E$141/5)*($D137+$E137/5),0)</f>
        <v>0</v>
      </c>
      <c r="I137" s="707">
        <f>IF($D$141&lt;&gt;0,I$141/$D$141*$D137,0)</f>
        <v>0</v>
      </c>
      <c r="J137" s="707">
        <f t="shared" ref="J137:K140" si="15">IF($D$141&lt;&gt;0,J$141/$D$141*$D137,0)</f>
        <v>0</v>
      </c>
      <c r="K137" s="707">
        <f t="shared" si="15"/>
        <v>0</v>
      </c>
      <c r="L137" s="859"/>
      <c r="M137" s="707" t="e">
        <f>34560000/($O$67+#REF!+#REF!)*O137</f>
        <v>#REF!</v>
      </c>
      <c r="N137" s="859">
        <f>ROUND(SUM(G137:L137),0)</f>
        <v>0</v>
      </c>
      <c r="O137" s="707"/>
      <c r="P137" s="707">
        <f>IF(N137&lt;&gt;0,N137/O137,0)</f>
        <v>0</v>
      </c>
      <c r="Q137" s="878"/>
      <c r="R137" s="861"/>
      <c r="S137" s="928"/>
      <c r="T137" s="271"/>
      <c r="U137" s="863"/>
      <c r="V137" s="859">
        <f t="shared" ref="V137:V146" si="16">ROUND(T137*U137,0)</f>
        <v>0</v>
      </c>
      <c r="W137" s="859"/>
    </row>
    <row r="138" spans="1:23">
      <c r="A138" s="857" t="str">
        <f>IF(B138&lt;&gt;"",A137+1,"")</f>
        <v/>
      </c>
      <c r="B138" s="587"/>
      <c r="C138" s="858">
        <f>IF(ISNA(VLOOKUP(B138,NXT!$Q$61:$S$81,2,0)),0,VLOOKUP(B138,NXT!$Q$61:$S$81,2,0))</f>
        <v>0</v>
      </c>
      <c r="D138" s="707">
        <f>ROUND(C138*O138,0)</f>
        <v>0</v>
      </c>
      <c r="E138" s="707"/>
      <c r="F138" s="707"/>
      <c r="G138" s="859">
        <f>D138*F138</f>
        <v>0</v>
      </c>
      <c r="H138" s="707">
        <f>IF($D$141&lt;&gt;0,H$141/($D$141+$E$141/5)*($D138+$E138/5),0)</f>
        <v>0</v>
      </c>
      <c r="I138" s="707">
        <f>IF($D$141&lt;&gt;0,I$141/$D$141*$D138,0)</f>
        <v>0</v>
      </c>
      <c r="J138" s="707">
        <f t="shared" si="15"/>
        <v>0</v>
      </c>
      <c r="K138" s="707">
        <f t="shared" si="15"/>
        <v>0</v>
      </c>
      <c r="L138" s="707"/>
      <c r="M138" s="707"/>
      <c r="N138" s="859">
        <f>ROUND(SUM(G138:L138),0)</f>
        <v>0</v>
      </c>
      <c r="O138" s="865"/>
      <c r="P138" s="707">
        <f>IF(N138&lt;&gt;0,N138/O138,0)</f>
        <v>0</v>
      </c>
      <c r="Q138" s="878"/>
      <c r="R138" s="866"/>
      <c r="S138" s="928"/>
      <c r="T138" s="271"/>
      <c r="U138" s="867"/>
      <c r="V138" s="859">
        <f t="shared" si="16"/>
        <v>0</v>
      </c>
      <c r="W138" s="875"/>
    </row>
    <row r="139" spans="1:23">
      <c r="A139" s="857" t="str">
        <f>IF(B139&lt;&gt;"",A138+1,"")</f>
        <v/>
      </c>
      <c r="B139" s="869"/>
      <c r="C139" s="858">
        <f>IF(ISNA(VLOOKUP(B139,NXT!$Q$61:$S$81,2,0)),0,VLOOKUP(B139,NXT!$Q$61:$S$81,2,0))</f>
        <v>0</v>
      </c>
      <c r="D139" s="707">
        <f>ROUND(C139*O139,0)</f>
        <v>0</v>
      </c>
      <c r="E139" s="707"/>
      <c r="F139" s="707"/>
      <c r="G139" s="859">
        <f>D139*F139</f>
        <v>0</v>
      </c>
      <c r="H139" s="707">
        <f>IF($D$141&lt;&gt;0,H$141/($D$141+$E$141/5)*($D139+$E139/5),0)</f>
        <v>0</v>
      </c>
      <c r="I139" s="707">
        <f>IF($D$141&lt;&gt;0,I$141/$D$141*$D139,0)</f>
        <v>0</v>
      </c>
      <c r="J139" s="707">
        <f t="shared" si="15"/>
        <v>0</v>
      </c>
      <c r="K139" s="707">
        <f t="shared" si="15"/>
        <v>0</v>
      </c>
      <c r="L139" s="707"/>
      <c r="M139" s="707">
        <v>25840000</v>
      </c>
      <c r="N139" s="859">
        <f>ROUND(SUM(G139:L139),0)</f>
        <v>0</v>
      </c>
      <c r="O139" s="865"/>
      <c r="P139" s="707">
        <f>IF(N139&lt;&gt;0,N139/O139,0)</f>
        <v>0</v>
      </c>
      <c r="Q139" s="878"/>
      <c r="R139" s="866"/>
      <c r="S139" s="928"/>
      <c r="T139" s="271"/>
      <c r="U139" s="867"/>
      <c r="V139" s="859">
        <f t="shared" si="16"/>
        <v>0</v>
      </c>
      <c r="W139" s="875"/>
    </row>
    <row r="140" spans="1:23">
      <c r="A140" s="857" t="str">
        <f>IF(B140&lt;&gt;"",#REF!+1,"")</f>
        <v/>
      </c>
      <c r="B140" s="869"/>
      <c r="C140" s="858"/>
      <c r="D140" s="707">
        <f>ROUND(C140*O140,0)</f>
        <v>0</v>
      </c>
      <c r="E140" s="707"/>
      <c r="F140" s="707"/>
      <c r="G140" s="859">
        <f>D140*F140</f>
        <v>0</v>
      </c>
      <c r="H140" s="707">
        <f>IF($D$141&lt;&gt;0,H$141/($D$141+$E$141/5)*($D140+$E140/5),0)</f>
        <v>0</v>
      </c>
      <c r="I140" s="707">
        <f>IF($D$141&lt;&gt;0,I$141/$D$141*$D140,0)</f>
        <v>0</v>
      </c>
      <c r="J140" s="707">
        <f t="shared" si="15"/>
        <v>0</v>
      </c>
      <c r="K140" s="707">
        <f t="shared" si="15"/>
        <v>0</v>
      </c>
      <c r="L140" s="707"/>
      <c r="M140" s="707" t="e">
        <f>34560000/($O$67+#REF!+#REF!)*O140</f>
        <v>#REF!</v>
      </c>
      <c r="N140" s="859">
        <f>ROUND(SUM(G140:L140),0)</f>
        <v>0</v>
      </c>
      <c r="O140" s="865"/>
      <c r="P140" s="707">
        <f>IF(N140&lt;&gt;0,N140/O140,0)</f>
        <v>0</v>
      </c>
      <c r="Q140" s="878"/>
      <c r="R140" s="866"/>
      <c r="S140" s="928"/>
      <c r="T140" s="889"/>
      <c r="U140" s="867"/>
      <c r="V140" s="859">
        <f t="shared" si="16"/>
        <v>0</v>
      </c>
      <c r="W140" s="875"/>
    </row>
    <row r="141" spans="1:23">
      <c r="A141" s="880"/>
      <c r="B141" s="881" t="s">
        <v>725</v>
      </c>
      <c r="C141" s="882"/>
      <c r="D141" s="883">
        <f>SUM(D137:D140)</f>
        <v>0</v>
      </c>
      <c r="E141" s="883"/>
      <c r="F141" s="883"/>
      <c r="G141" s="883">
        <f>SUM(G137:G140)</f>
        <v>0</v>
      </c>
      <c r="H141" s="884"/>
      <c r="I141" s="884">
        <f>V148</f>
        <v>0</v>
      </c>
      <c r="J141" s="884"/>
      <c r="K141" s="884"/>
      <c r="L141" s="883">
        <f>ROUND(SUM(L137:L140),0)</f>
        <v>0</v>
      </c>
      <c r="M141" s="883" t="e">
        <f>ROUND(SUM(M137:M140),0)</f>
        <v>#REF!</v>
      </c>
      <c r="N141" s="883">
        <f>ROUND(SUM(N137:N140),0)</f>
        <v>0</v>
      </c>
      <c r="O141" s="883">
        <f>ROUND(SUM(O137:O140),0)</f>
        <v>0</v>
      </c>
      <c r="P141" s="883"/>
      <c r="Q141" s="878"/>
      <c r="R141" s="866"/>
      <c r="S141" s="928"/>
      <c r="T141" s="271"/>
      <c r="U141" s="867"/>
      <c r="V141" s="859">
        <f t="shared" si="16"/>
        <v>0</v>
      </c>
      <c r="W141" s="875"/>
    </row>
    <row r="142" spans="1:23">
      <c r="Q142" s="878"/>
      <c r="R142" s="866"/>
      <c r="S142" s="928"/>
      <c r="T142" s="271"/>
      <c r="U142" s="867"/>
      <c r="V142" s="859">
        <f t="shared" si="16"/>
        <v>0</v>
      </c>
      <c r="W142" s="875"/>
    </row>
    <row r="143" spans="1:23" s="834" customFormat="1">
      <c r="A143" s="830"/>
      <c r="B143" s="830"/>
      <c r="C143" s="830"/>
      <c r="D143" s="830"/>
      <c r="E143" s="830"/>
      <c r="F143" s="830"/>
      <c r="G143" s="830"/>
      <c r="H143" s="830"/>
      <c r="I143" s="830"/>
      <c r="J143" s="830"/>
      <c r="K143" s="830"/>
      <c r="L143" s="830"/>
      <c r="M143" s="830"/>
      <c r="N143" s="830"/>
      <c r="O143" s="830"/>
      <c r="P143" s="830"/>
      <c r="Q143" s="878"/>
      <c r="R143" s="866"/>
      <c r="S143" s="928"/>
      <c r="T143" s="889"/>
      <c r="U143" s="889"/>
      <c r="V143" s="859">
        <f t="shared" si="16"/>
        <v>0</v>
      </c>
      <c r="W143" s="875"/>
    </row>
    <row r="144" spans="1:23">
      <c r="Q144" s="878"/>
      <c r="R144" s="866"/>
      <c r="S144" s="930"/>
      <c r="T144" s="889"/>
      <c r="U144" s="867"/>
      <c r="V144" s="859">
        <f t="shared" si="16"/>
        <v>0</v>
      </c>
      <c r="W144" s="875"/>
    </row>
    <row r="145" spans="1:23">
      <c r="Q145" s="878"/>
      <c r="R145" s="587"/>
      <c r="S145" s="928"/>
      <c r="T145" s="271"/>
      <c r="U145" s="271"/>
      <c r="V145" s="859">
        <f t="shared" si="16"/>
        <v>0</v>
      </c>
      <c r="W145" s="875"/>
    </row>
    <row r="146" spans="1:23">
      <c r="Q146" s="878"/>
      <c r="R146" s="931"/>
      <c r="S146" s="930"/>
      <c r="T146" s="889"/>
      <c r="U146" s="867"/>
      <c r="V146" s="859">
        <f t="shared" si="16"/>
        <v>0</v>
      </c>
      <c r="W146" s="875"/>
    </row>
    <row r="147" spans="1:23">
      <c r="Q147" s="878"/>
      <c r="R147" s="587"/>
      <c r="S147" s="862"/>
      <c r="T147" s="271"/>
      <c r="U147" s="271"/>
      <c r="V147" s="875"/>
      <c r="W147" s="875"/>
    </row>
    <row r="148" spans="1:23">
      <c r="R148" s="912"/>
      <c r="S148" s="913"/>
      <c r="T148" s="914"/>
      <c r="U148" s="933"/>
      <c r="V148" s="883">
        <f>SUM(V137:V147)</f>
        <v>0</v>
      </c>
      <c r="W148" s="893">
        <f>SUM(W137:W147)</f>
        <v>0</v>
      </c>
    </row>
    <row r="149" spans="1:23">
      <c r="R149" s="915"/>
      <c r="S149" s="928"/>
      <c r="T149" s="271"/>
      <c r="U149" s="271"/>
      <c r="V149" s="859">
        <f t="shared" ref="V149:V154" si="17">ROUND(T149*U149,0)</f>
        <v>0</v>
      </c>
      <c r="W149" s="859"/>
    </row>
    <row r="150" spans="1:23">
      <c r="R150" s="866"/>
      <c r="S150" s="928"/>
      <c r="T150" s="867"/>
      <c r="U150" s="867"/>
      <c r="V150" s="859">
        <f t="shared" si="17"/>
        <v>0</v>
      </c>
      <c r="W150" s="875"/>
    </row>
    <row r="151" spans="1:23">
      <c r="R151" s="866"/>
      <c r="S151" s="928"/>
      <c r="T151" s="867"/>
      <c r="U151" s="867"/>
      <c r="V151" s="859">
        <f t="shared" si="17"/>
        <v>0</v>
      </c>
      <c r="W151" s="875"/>
    </row>
    <row r="152" spans="1:23">
      <c r="R152" s="866"/>
      <c r="S152" s="928"/>
      <c r="T152" s="867"/>
      <c r="U152" s="867"/>
      <c r="V152" s="859">
        <f t="shared" si="17"/>
        <v>0</v>
      </c>
      <c r="W152" s="875"/>
    </row>
    <row r="153" spans="1:23">
      <c r="R153" s="866"/>
      <c r="S153" s="928"/>
      <c r="T153" s="867"/>
      <c r="U153" s="867"/>
      <c r="V153" s="859">
        <f t="shared" si="17"/>
        <v>0</v>
      </c>
      <c r="W153" s="875"/>
    </row>
    <row r="154" spans="1:23">
      <c r="R154" s="889"/>
      <c r="S154" s="862"/>
      <c r="T154" s="867"/>
      <c r="U154" s="867"/>
      <c r="V154" s="859">
        <f t="shared" si="17"/>
        <v>0</v>
      </c>
      <c r="W154" s="875"/>
    </row>
    <row r="155" spans="1:23" ht="16.5" customHeight="1">
      <c r="A155" s="834" t="s">
        <v>708</v>
      </c>
      <c r="B155" s="834"/>
      <c r="C155" s="835"/>
      <c r="D155" s="836"/>
      <c r="E155" s="836"/>
      <c r="F155" s="836"/>
      <c r="G155" s="833"/>
      <c r="H155" s="833"/>
      <c r="I155" s="833"/>
      <c r="J155" s="833"/>
      <c r="K155" s="833"/>
      <c r="L155" s="837"/>
      <c r="M155" s="833"/>
      <c r="N155" s="833"/>
      <c r="O155" s="838"/>
      <c r="P155" s="833"/>
      <c r="R155" s="833"/>
      <c r="S155" s="840"/>
    </row>
    <row r="156" spans="1:23" ht="16.5" customHeight="1">
      <c r="A156" s="841" t="s">
        <v>732</v>
      </c>
      <c r="B156" s="841"/>
      <c r="C156" s="841"/>
      <c r="D156" s="841"/>
      <c r="E156" s="841"/>
      <c r="F156" s="841"/>
      <c r="G156" s="841"/>
      <c r="H156" s="841"/>
      <c r="I156" s="841"/>
      <c r="J156" s="841"/>
      <c r="K156" s="841"/>
      <c r="L156" s="841"/>
      <c r="M156" s="841"/>
      <c r="N156" s="841"/>
      <c r="O156" s="841"/>
      <c r="P156" s="841"/>
      <c r="Q156" s="839"/>
      <c r="R156" s="833"/>
      <c r="S156" s="840"/>
    </row>
    <row r="157" spans="1:23" ht="11.25" customHeight="1">
      <c r="A157" s="842"/>
      <c r="B157" s="842"/>
      <c r="C157" s="843"/>
      <c r="D157" s="842"/>
      <c r="E157" s="842"/>
      <c r="F157" s="842"/>
      <c r="G157" s="842"/>
      <c r="H157" s="842"/>
      <c r="I157" s="842"/>
      <c r="J157" s="842"/>
      <c r="K157" s="842"/>
      <c r="L157" s="841"/>
      <c r="M157" s="842"/>
      <c r="N157" s="842"/>
      <c r="O157" s="844"/>
      <c r="P157" s="842"/>
      <c r="Q157" s="839"/>
      <c r="R157" s="833"/>
      <c r="S157" s="840"/>
    </row>
    <row r="158" spans="1:23" ht="11.25" customHeight="1">
      <c r="A158" s="845"/>
      <c r="B158" s="845"/>
      <c r="C158" s="846"/>
      <c r="D158" s="845"/>
      <c r="E158" s="845"/>
      <c r="F158" s="845"/>
      <c r="G158" s="845"/>
      <c r="H158" s="845"/>
      <c r="I158" s="845"/>
      <c r="J158" s="845"/>
      <c r="K158" s="845"/>
      <c r="L158" s="845"/>
      <c r="M158" s="845"/>
      <c r="N158" s="845"/>
      <c r="O158" s="847"/>
      <c r="P158" s="845"/>
      <c r="Q158" s="839"/>
      <c r="R158" s="833"/>
      <c r="S158" s="840"/>
    </row>
    <row r="159" spans="1:23" ht="28.5" customHeight="1">
      <c r="A159" s="850" t="s">
        <v>46</v>
      </c>
      <c r="B159" s="850" t="s">
        <v>710</v>
      </c>
      <c r="C159" s="851" t="s">
        <v>711</v>
      </c>
      <c r="D159" s="852" t="s">
        <v>712</v>
      </c>
      <c r="E159" s="852" t="s">
        <v>713</v>
      </c>
      <c r="F159" s="852" t="s">
        <v>714</v>
      </c>
      <c r="G159" s="852" t="s">
        <v>715</v>
      </c>
      <c r="H159" s="852" t="s">
        <v>716</v>
      </c>
      <c r="I159" s="852" t="s">
        <v>717</v>
      </c>
      <c r="J159" s="852" t="s">
        <v>718</v>
      </c>
      <c r="K159" s="853" t="s">
        <v>719</v>
      </c>
      <c r="L159" s="852" t="s">
        <v>720</v>
      </c>
      <c r="M159" s="853" t="s">
        <v>721</v>
      </c>
      <c r="N159" s="852" t="s">
        <v>722</v>
      </c>
      <c r="O159" s="854" t="s">
        <v>713</v>
      </c>
      <c r="P159" s="852" t="s">
        <v>723</v>
      </c>
      <c r="Q159" s="839"/>
      <c r="R159" s="850" t="s">
        <v>710</v>
      </c>
      <c r="S159" s="852" t="s">
        <v>677</v>
      </c>
      <c r="T159" s="852" t="s">
        <v>535</v>
      </c>
      <c r="U159" s="852" t="s">
        <v>714</v>
      </c>
      <c r="V159" s="852" t="s">
        <v>724</v>
      </c>
      <c r="W159" s="850" t="s">
        <v>724</v>
      </c>
    </row>
    <row r="160" spans="1:23" s="856" customFormat="1" ht="12" customHeight="1">
      <c r="A160" s="857" t="str">
        <f>IF(B160&lt;&gt;"",ROW()-(ROW()-1),"")</f>
        <v/>
      </c>
      <c r="B160" s="869"/>
      <c r="C160" s="858">
        <f>IF(ISNA(VLOOKUP(B160,NXT!$Q$61:$S$81,2,0)),0,VLOOKUP(B160,NXT!$Q$61:$S$81,2,0))</f>
        <v>0</v>
      </c>
      <c r="D160" s="707">
        <f>ROUND(C160*O160,0)</f>
        <v>0</v>
      </c>
      <c r="E160" s="707"/>
      <c r="F160" s="707"/>
      <c r="G160" s="859">
        <f>(D160+E160)*F160</f>
        <v>0</v>
      </c>
      <c r="H160" s="707">
        <f>IF($D$165&lt;&gt;0,H$165/($D$165+$E$165/5)*($D160+$E160/5),0)</f>
        <v>0</v>
      </c>
      <c r="I160" s="707">
        <f>IF($D$165&lt;&gt;0,I$165/$D$165*$D160,0)</f>
        <v>0</v>
      </c>
      <c r="J160" s="707">
        <f>IF($D$165&lt;&gt;0,J$165/$D$165*$D160,0)</f>
        <v>0</v>
      </c>
      <c r="K160" s="707">
        <f t="shared" ref="J160:K163" si="18">IF($D$165&lt;&gt;0,K$165/$D$165*$D160,0)</f>
        <v>0</v>
      </c>
      <c r="L160" s="859"/>
      <c r="M160" s="707" t="e">
        <f>34560000/($O$67+#REF!+#REF!)*O160</f>
        <v>#REF!</v>
      </c>
      <c r="N160" s="859">
        <f>ROUND(SUM(G160:L160),0)</f>
        <v>0</v>
      </c>
      <c r="O160" s="707"/>
      <c r="P160" s="707">
        <f>IF(N160&lt;&gt;0,N160/O160,0)</f>
        <v>0</v>
      </c>
      <c r="Q160" s="855"/>
      <c r="R160" s="861"/>
      <c r="S160" s="928"/>
      <c r="T160" s="271"/>
      <c r="U160" s="863"/>
      <c r="V160" s="859">
        <f t="shared" ref="V160:V170" si="19">ROUND(T160*U160,0)</f>
        <v>0</v>
      </c>
      <c r="W160" s="859"/>
    </row>
    <row r="161" spans="1:23" ht="12" customHeight="1">
      <c r="A161" s="857" t="str">
        <f>IF(B161&lt;&gt;"",A160+1,"")</f>
        <v/>
      </c>
      <c r="B161" s="869"/>
      <c r="C161" s="858">
        <f>IF(ISNA(VLOOKUP(B161,NXT!$Q$61:$S$81,2,0)),0,VLOOKUP(B161,NXT!$Q$61:$S$81,2,0))</f>
        <v>0</v>
      </c>
      <c r="D161" s="707">
        <f>ROUND(C161*O161,0)</f>
        <v>0</v>
      </c>
      <c r="E161" s="707"/>
      <c r="F161" s="707"/>
      <c r="G161" s="859">
        <f>(D161+E161)*F161</f>
        <v>0</v>
      </c>
      <c r="H161" s="707">
        <f>IF($D$165&lt;&gt;0,H$165/($D$165+$E$165/5)*($D161+$E161/5),0)</f>
        <v>0</v>
      </c>
      <c r="I161" s="707">
        <f>IF($D$165&lt;&gt;0,I$165/$D$165*$D161,0)</f>
        <v>0</v>
      </c>
      <c r="J161" s="707">
        <f t="shared" si="18"/>
        <v>0</v>
      </c>
      <c r="K161" s="707">
        <f t="shared" si="18"/>
        <v>0</v>
      </c>
      <c r="L161" s="707"/>
      <c r="M161" s="707">
        <v>25840000</v>
      </c>
      <c r="N161" s="859">
        <f>ROUND(SUM(G161:L161),0)</f>
        <v>0</v>
      </c>
      <c r="O161" s="865"/>
      <c r="P161" s="707">
        <f>IF(N161&lt;&gt;0,N161/O161,0)</f>
        <v>0</v>
      </c>
      <c r="Q161" s="878"/>
      <c r="R161" s="866"/>
      <c r="S161" s="928"/>
      <c r="T161" s="271"/>
      <c r="U161" s="867"/>
      <c r="V161" s="859">
        <f t="shared" si="19"/>
        <v>0</v>
      </c>
      <c r="W161" s="875"/>
    </row>
    <row r="162" spans="1:23" ht="12" customHeight="1">
      <c r="A162" s="857" t="str">
        <f>IF(B162&lt;&gt;"",A161+1,"")</f>
        <v/>
      </c>
      <c r="B162" s="869"/>
      <c r="C162" s="858">
        <f>IF(ISNA(VLOOKUP(B162,NXT!$Q$61:$S$81,2,0)),0,VLOOKUP(B162,NXT!$Q$61:$S$81,2,0))</f>
        <v>0</v>
      </c>
      <c r="D162" s="707">
        <f>ROUND(C162*O162,0)</f>
        <v>0</v>
      </c>
      <c r="E162" s="707"/>
      <c r="F162" s="707"/>
      <c r="G162" s="859">
        <f>(D162+E162)*F162</f>
        <v>0</v>
      </c>
      <c r="H162" s="707">
        <f>IF($D$165&lt;&gt;0,H$165/($D$165+$E$165/5)*($D162+$E162/5),0)</f>
        <v>0</v>
      </c>
      <c r="I162" s="707">
        <f>IF($D$165&lt;&gt;0,I$165/$D$165*$D162,0)</f>
        <v>0</v>
      </c>
      <c r="J162" s="707">
        <f t="shared" si="18"/>
        <v>0</v>
      </c>
      <c r="K162" s="707">
        <f t="shared" si="18"/>
        <v>0</v>
      </c>
      <c r="L162" s="707"/>
      <c r="M162" s="707" t="e">
        <f>34560000/($O$67+#REF!+#REF!)*O162</f>
        <v>#REF!</v>
      </c>
      <c r="N162" s="859">
        <f>ROUND(SUM(G162:L162),0)</f>
        <v>0</v>
      </c>
      <c r="O162" s="865"/>
      <c r="P162" s="707">
        <f>IF(N162&lt;&gt;0,N162/O162,0)</f>
        <v>0</v>
      </c>
      <c r="Q162" s="878"/>
      <c r="R162" s="866"/>
      <c r="S162" s="928"/>
      <c r="T162" s="271"/>
      <c r="U162" s="867"/>
      <c r="V162" s="859">
        <f t="shared" si="19"/>
        <v>0</v>
      </c>
      <c r="W162" s="875"/>
    </row>
    <row r="163" spans="1:23" ht="12" customHeight="1">
      <c r="A163" s="857" t="str">
        <f>IF(B163&lt;&gt;"",A162+1,"")</f>
        <v/>
      </c>
      <c r="B163" s="869"/>
      <c r="C163" s="858">
        <f>IF(ISNA(VLOOKUP(B163,NXT!$Q$61:$S$81,2,0)),0,VLOOKUP(B163,NXT!$Q$61:$S$81,2,0))</f>
        <v>0</v>
      </c>
      <c r="D163" s="707">
        <f>ROUND(C163*O163,0)</f>
        <v>0</v>
      </c>
      <c r="E163" s="707"/>
      <c r="F163" s="707"/>
      <c r="G163" s="859">
        <f>(D163+E163)*F163</f>
        <v>0</v>
      </c>
      <c r="H163" s="707">
        <f>IF($D$165&lt;&gt;0,H$165/($D$165+$E$165/5)*($D163+$E163/5),0)</f>
        <v>0</v>
      </c>
      <c r="I163" s="707">
        <f>IF($D$165&lt;&gt;0,I$165/$D$165*$D163,0)</f>
        <v>0</v>
      </c>
      <c r="J163" s="707">
        <f t="shared" si="18"/>
        <v>0</v>
      </c>
      <c r="K163" s="707">
        <f t="shared" si="18"/>
        <v>0</v>
      </c>
      <c r="L163" s="707"/>
      <c r="M163" s="707" t="e">
        <f>34560000/($O$67+#REF!+#REF!)*O163</f>
        <v>#REF!</v>
      </c>
      <c r="N163" s="859">
        <f>ROUND(SUM(G163:L163),0)</f>
        <v>0</v>
      </c>
      <c r="O163" s="865"/>
      <c r="P163" s="707">
        <f>IF(N163&lt;&gt;0,N163/O163,0)</f>
        <v>0</v>
      </c>
      <c r="Q163" s="878"/>
      <c r="R163" s="866"/>
      <c r="S163" s="928"/>
      <c r="T163" s="271"/>
      <c r="U163" s="867"/>
      <c r="V163" s="859">
        <f t="shared" si="19"/>
        <v>0</v>
      </c>
      <c r="W163" s="875"/>
    </row>
    <row r="164" spans="1:23" ht="12" customHeight="1">
      <c r="A164" s="857" t="str">
        <f>IF(B164&lt;&gt;"",#REF!+1,"")</f>
        <v/>
      </c>
      <c r="B164" s="870"/>
      <c r="C164" s="858">
        <f>IF(ISNA(VLOOKUP(B164,NXT!$Q$61:$S$81,2,0)),0,VLOOKUP(B164,NXT!$Q$61:$S$81,2,0))</f>
        <v>0</v>
      </c>
      <c r="D164" s="873"/>
      <c r="E164" s="873"/>
      <c r="F164" s="873"/>
      <c r="G164" s="874"/>
      <c r="H164" s="919"/>
      <c r="I164" s="873"/>
      <c r="J164" s="875"/>
      <c r="K164" s="873"/>
      <c r="L164" s="876"/>
      <c r="M164" s="873"/>
      <c r="N164" s="907"/>
      <c r="O164" s="877"/>
      <c r="P164" s="873"/>
      <c r="Q164" s="878"/>
      <c r="R164" s="866"/>
      <c r="S164" s="928"/>
      <c r="T164" s="271"/>
      <c r="U164" s="271"/>
      <c r="V164" s="859">
        <f t="shared" si="19"/>
        <v>0</v>
      </c>
      <c r="W164" s="875"/>
    </row>
    <row r="165" spans="1:23" ht="12" customHeight="1">
      <c r="A165" s="880"/>
      <c r="B165" s="881" t="s">
        <v>725</v>
      </c>
      <c r="C165" s="882"/>
      <c r="D165" s="883">
        <f>SUM(D160:D163)</f>
        <v>0</v>
      </c>
      <c r="E165" s="883">
        <f>SUM(E160:E163)</f>
        <v>0</v>
      </c>
      <c r="F165" s="883"/>
      <c r="G165" s="883">
        <f>SUM(G160:G163)</f>
        <v>0</v>
      </c>
      <c r="H165" s="884"/>
      <c r="I165" s="884">
        <f>V172</f>
        <v>0</v>
      </c>
      <c r="J165" s="884"/>
      <c r="K165" s="884"/>
      <c r="L165" s="883">
        <f>ROUND(SUM(L160:L164),0)</f>
        <v>0</v>
      </c>
      <c r="M165" s="883" t="e">
        <f>ROUND(SUM(M160:M164),0)</f>
        <v>#REF!</v>
      </c>
      <c r="N165" s="883">
        <f>ROUND(SUM(N160:N164),0)</f>
        <v>0</v>
      </c>
      <c r="O165" s="883">
        <f>ROUND(SUM(O160:O164),0)</f>
        <v>0</v>
      </c>
      <c r="P165" s="883"/>
      <c r="Q165" s="878"/>
      <c r="R165" s="866"/>
      <c r="S165" s="928"/>
      <c r="T165" s="271"/>
      <c r="U165" s="867"/>
      <c r="V165" s="859">
        <f t="shared" si="19"/>
        <v>0</v>
      </c>
      <c r="W165" s="875"/>
    </row>
    <row r="166" spans="1:23" ht="12" customHeight="1">
      <c r="Q166" s="878"/>
      <c r="R166" s="866"/>
      <c r="S166" s="928"/>
      <c r="T166" s="271"/>
      <c r="U166" s="889"/>
      <c r="V166" s="859">
        <f t="shared" si="19"/>
        <v>0</v>
      </c>
      <c r="W166" s="875"/>
    </row>
    <row r="167" spans="1:23" ht="12" customHeight="1">
      <c r="Q167" s="878"/>
      <c r="R167" s="866"/>
      <c r="S167" s="862"/>
      <c r="T167" s="889"/>
      <c r="U167" s="867"/>
      <c r="V167" s="859">
        <f t="shared" si="19"/>
        <v>0</v>
      </c>
      <c r="W167" s="875"/>
    </row>
    <row r="168" spans="1:23" ht="12" customHeight="1">
      <c r="Q168" s="878"/>
      <c r="R168" s="931"/>
      <c r="S168" s="862"/>
      <c r="T168" s="889"/>
      <c r="U168" s="867"/>
      <c r="V168" s="859">
        <f t="shared" si="19"/>
        <v>0</v>
      </c>
      <c r="W168" s="875"/>
    </row>
    <row r="169" spans="1:23" ht="12" customHeight="1">
      <c r="Q169" s="878"/>
      <c r="R169" s="866"/>
      <c r="S169" s="862"/>
      <c r="T169" s="271"/>
      <c r="U169" s="271"/>
      <c r="V169" s="859">
        <f t="shared" si="19"/>
        <v>0</v>
      </c>
      <c r="W169" s="875"/>
    </row>
    <row r="170" spans="1:23" ht="12" customHeight="1">
      <c r="Q170" s="878"/>
      <c r="R170" s="587"/>
      <c r="S170" s="862"/>
      <c r="T170" s="271"/>
      <c r="U170" s="271"/>
      <c r="V170" s="859">
        <f t="shared" si="19"/>
        <v>0</v>
      </c>
      <c r="W170" s="875"/>
    </row>
    <row r="171" spans="1:23" s="879" customFormat="1" ht="12" customHeight="1">
      <c r="A171" s="830"/>
      <c r="B171" s="830"/>
      <c r="C171" s="830"/>
      <c r="D171" s="830"/>
      <c r="E171" s="830"/>
      <c r="F171" s="830"/>
      <c r="G171" s="830"/>
      <c r="H171" s="830"/>
      <c r="I171" s="830"/>
      <c r="J171" s="830"/>
      <c r="K171" s="830"/>
      <c r="L171" s="830"/>
      <c r="M171" s="830"/>
      <c r="N171" s="830"/>
      <c r="O171" s="830"/>
      <c r="P171" s="830"/>
      <c r="Q171" s="878"/>
      <c r="R171" s="866"/>
      <c r="S171" s="862"/>
      <c r="T171" s="271"/>
      <c r="U171" s="271"/>
      <c r="V171" s="859"/>
      <c r="W171" s="875"/>
    </row>
    <row r="172" spans="1:23" s="834" customFormat="1" ht="12" customHeight="1">
      <c r="A172" s="830"/>
      <c r="B172" s="830"/>
      <c r="C172" s="830"/>
      <c r="D172" s="830"/>
      <c r="E172" s="830"/>
      <c r="F172" s="830"/>
      <c r="G172" s="830"/>
      <c r="H172" s="830"/>
      <c r="I172" s="830"/>
      <c r="J172" s="830"/>
      <c r="K172" s="830"/>
      <c r="L172" s="830"/>
      <c r="M172" s="830"/>
      <c r="N172" s="830"/>
      <c r="O172" s="830"/>
      <c r="P172" s="830"/>
      <c r="Q172" s="878"/>
      <c r="R172" s="912"/>
      <c r="S172" s="913"/>
      <c r="T172" s="914"/>
      <c r="U172" s="933"/>
      <c r="V172" s="893">
        <f>SUM(V160:V171)</f>
        <v>0</v>
      </c>
      <c r="W172" s="893">
        <f>SUM(W160:W171)</f>
        <v>0</v>
      </c>
    </row>
    <row r="173" spans="1:23" ht="12" customHeight="1">
      <c r="R173" s="866"/>
      <c r="S173" s="928"/>
      <c r="T173" s="867"/>
      <c r="U173" s="867"/>
      <c r="V173" s="859">
        <f t="shared" ref="V173:V180" si="20">ROUND(T173*U173,0)</f>
        <v>0</v>
      </c>
      <c r="W173" s="875"/>
    </row>
    <row r="174" spans="1:23" ht="12" customHeight="1">
      <c r="R174" s="915"/>
      <c r="S174" s="928"/>
      <c r="T174" s="271"/>
      <c r="U174" s="271"/>
      <c r="V174" s="859">
        <f t="shared" si="20"/>
        <v>0</v>
      </c>
      <c r="W174" s="859"/>
    </row>
    <row r="175" spans="1:23" ht="12" customHeight="1">
      <c r="R175" s="866"/>
      <c r="S175" s="862"/>
      <c r="T175" s="867"/>
      <c r="U175" s="867"/>
      <c r="V175" s="859">
        <f t="shared" si="20"/>
        <v>0</v>
      </c>
      <c r="W175" s="875"/>
    </row>
    <row r="176" spans="1:23" ht="12" customHeight="1">
      <c r="R176" s="866"/>
      <c r="S176" s="862"/>
      <c r="T176" s="867"/>
      <c r="U176" s="867"/>
      <c r="V176" s="859">
        <f t="shared" si="20"/>
        <v>0</v>
      </c>
      <c r="W176" s="875"/>
    </row>
    <row r="177" spans="1:23" ht="12" customHeight="1">
      <c r="R177" s="889"/>
      <c r="S177" s="862"/>
      <c r="T177" s="867"/>
      <c r="U177" s="867"/>
      <c r="V177" s="859">
        <f t="shared" si="20"/>
        <v>0</v>
      </c>
      <c r="W177" s="875"/>
    </row>
    <row r="178" spans="1:23" ht="12" customHeight="1">
      <c r="R178" s="889"/>
      <c r="S178" s="862"/>
      <c r="T178" s="867"/>
      <c r="U178" s="867"/>
      <c r="V178" s="859">
        <f t="shared" si="20"/>
        <v>0</v>
      </c>
      <c r="W178" s="875"/>
    </row>
    <row r="179" spans="1:23" ht="12" customHeight="1">
      <c r="R179" s="889"/>
      <c r="S179" s="862"/>
      <c r="T179" s="867"/>
      <c r="U179" s="867"/>
      <c r="V179" s="859">
        <f t="shared" si="20"/>
        <v>0</v>
      </c>
      <c r="W179" s="875"/>
    </row>
    <row r="180" spans="1:23" ht="12" customHeight="1">
      <c r="R180" s="889"/>
      <c r="S180" s="862"/>
      <c r="T180" s="867"/>
      <c r="U180" s="867"/>
      <c r="V180" s="859">
        <f t="shared" si="20"/>
        <v>0</v>
      </c>
      <c r="W180" s="875"/>
    </row>
    <row r="181" spans="1:23">
      <c r="R181" s="833"/>
      <c r="S181" s="840"/>
    </row>
    <row r="182" spans="1:23" ht="20.25" customHeight="1">
      <c r="A182" s="834" t="s">
        <v>708</v>
      </c>
      <c r="B182" s="834"/>
      <c r="C182" s="835"/>
      <c r="D182" s="836"/>
      <c r="E182" s="836"/>
      <c r="F182" s="836"/>
      <c r="G182" s="833"/>
      <c r="H182" s="833"/>
      <c r="I182" s="833"/>
      <c r="J182" s="833"/>
      <c r="K182" s="833"/>
      <c r="L182" s="837"/>
      <c r="M182" s="833"/>
      <c r="N182" s="833"/>
      <c r="O182" s="838"/>
      <c r="P182" s="833"/>
      <c r="R182" s="833"/>
      <c r="S182" s="840"/>
    </row>
    <row r="183" spans="1:23" ht="20.25" customHeight="1">
      <c r="A183" s="841" t="s">
        <v>733</v>
      </c>
      <c r="B183" s="841"/>
      <c r="C183" s="841"/>
      <c r="D183" s="841"/>
      <c r="E183" s="841"/>
      <c r="F183" s="841"/>
      <c r="G183" s="841"/>
      <c r="H183" s="841"/>
      <c r="I183" s="841"/>
      <c r="J183" s="841"/>
      <c r="K183" s="841"/>
      <c r="L183" s="841"/>
      <c r="M183" s="841"/>
      <c r="N183" s="841"/>
      <c r="O183" s="841"/>
      <c r="P183" s="841"/>
      <c r="Q183" s="839"/>
      <c r="R183" s="833"/>
      <c r="S183" s="840"/>
    </row>
    <row r="184" spans="1:23" ht="12" customHeight="1">
      <c r="A184" s="842"/>
      <c r="B184" s="842"/>
      <c r="C184" s="843"/>
      <c r="D184" s="842"/>
      <c r="E184" s="842"/>
      <c r="F184" s="842"/>
      <c r="G184" s="842"/>
      <c r="H184" s="842"/>
      <c r="I184" s="842"/>
      <c r="J184" s="842"/>
      <c r="K184" s="842"/>
      <c r="L184" s="841"/>
      <c r="M184" s="842"/>
      <c r="N184" s="842"/>
      <c r="O184" s="844"/>
      <c r="P184" s="842"/>
      <c r="Q184" s="839"/>
      <c r="R184" s="833"/>
      <c r="S184" s="840"/>
    </row>
    <row r="185" spans="1:23" ht="12" customHeight="1">
      <c r="A185" s="845"/>
      <c r="B185" s="845"/>
      <c r="C185" s="846"/>
      <c r="D185" s="845"/>
      <c r="E185" s="845"/>
      <c r="F185" s="845"/>
      <c r="G185" s="845"/>
      <c r="H185" s="845"/>
      <c r="I185" s="845"/>
      <c r="J185" s="845"/>
      <c r="K185" s="845"/>
      <c r="L185" s="845"/>
      <c r="M185" s="845"/>
      <c r="N185" s="845"/>
      <c r="O185" s="847"/>
      <c r="P185" s="845"/>
      <c r="Q185" s="839"/>
      <c r="R185" s="833"/>
      <c r="S185" s="840"/>
    </row>
    <row r="186" spans="1:23" ht="36.75" customHeight="1">
      <c r="A186" s="850" t="s">
        <v>46</v>
      </c>
      <c r="B186" s="850" t="s">
        <v>710</v>
      </c>
      <c r="C186" s="851" t="s">
        <v>711</v>
      </c>
      <c r="D186" s="852" t="s">
        <v>712</v>
      </c>
      <c r="E186" s="852" t="s">
        <v>713</v>
      </c>
      <c r="F186" s="852" t="s">
        <v>714</v>
      </c>
      <c r="G186" s="852" t="s">
        <v>715</v>
      </c>
      <c r="H186" s="852" t="s">
        <v>716</v>
      </c>
      <c r="I186" s="852" t="s">
        <v>717</v>
      </c>
      <c r="J186" s="852" t="s">
        <v>718</v>
      </c>
      <c r="K186" s="853" t="s">
        <v>719</v>
      </c>
      <c r="L186" s="852" t="s">
        <v>720</v>
      </c>
      <c r="M186" s="853" t="s">
        <v>721</v>
      </c>
      <c r="N186" s="852" t="s">
        <v>722</v>
      </c>
      <c r="O186" s="854" t="s">
        <v>713</v>
      </c>
      <c r="P186" s="852" t="s">
        <v>723</v>
      </c>
      <c r="Q186" s="839"/>
      <c r="R186" s="850" t="s">
        <v>710</v>
      </c>
      <c r="S186" s="852" t="s">
        <v>677</v>
      </c>
      <c r="T186" s="852" t="s">
        <v>535</v>
      </c>
      <c r="U186" s="852" t="s">
        <v>714</v>
      </c>
      <c r="V186" s="852" t="s">
        <v>724</v>
      </c>
      <c r="W186" s="850" t="s">
        <v>724</v>
      </c>
    </row>
    <row r="187" spans="1:23" s="856" customFormat="1" ht="13.5" customHeight="1">
      <c r="A187" s="857" t="str">
        <f>IF(B187&lt;&gt;"",ROW()-(ROW()-1),"")</f>
        <v/>
      </c>
      <c r="B187" s="869"/>
      <c r="C187" s="858">
        <f>IF(ISNA(VLOOKUP(B187,NXT!$Q$61:$S$81,2,0)),0,VLOOKUP(B187,NXT!$Q$61:$S$81,2,0))</f>
        <v>0</v>
      </c>
      <c r="D187" s="707">
        <f>ROUND(C187*O187,0)</f>
        <v>0</v>
      </c>
      <c r="E187" s="707"/>
      <c r="F187" s="707"/>
      <c r="G187" s="859">
        <f>(D187+E187)*F187</f>
        <v>0</v>
      </c>
      <c r="H187" s="707">
        <f>IF($E$193&lt;&gt;0,H$193/($D$193+$E$193/5)*($D187+$E187/5),0)</f>
        <v>0</v>
      </c>
      <c r="I187" s="707">
        <f>IF($D$193&lt;&gt;0,I$193/$D$193*$D187,0)</f>
        <v>0</v>
      </c>
      <c r="J187" s="707">
        <f t="shared" ref="J187:K191" si="21">IF($D$193&lt;&gt;0,J$193/$D$193*$D187,0)</f>
        <v>0</v>
      </c>
      <c r="K187" s="707">
        <f t="shared" si="21"/>
        <v>0</v>
      </c>
      <c r="L187" s="859"/>
      <c r="M187" s="707" t="e">
        <f>34560000/($O$67+#REF!+#REF!)*O187</f>
        <v>#REF!</v>
      </c>
      <c r="N187" s="859">
        <f>ROUND(SUM(G187:L187),0)</f>
        <v>0</v>
      </c>
      <c r="O187" s="707"/>
      <c r="P187" s="707">
        <f>IF(N187&lt;&gt;0,N187/O187,0)</f>
        <v>0</v>
      </c>
      <c r="Q187" s="855"/>
      <c r="R187" s="861"/>
      <c r="S187" s="928"/>
      <c r="T187" s="271"/>
      <c r="U187" s="271"/>
      <c r="V187" s="859">
        <f t="shared" ref="V187:V196" si="22">ROUND(T187*U187,0)</f>
        <v>0</v>
      </c>
      <c r="W187" s="859"/>
    </row>
    <row r="188" spans="1:23" ht="13.5" customHeight="1">
      <c r="A188" s="857" t="str">
        <f>IF(B188&lt;&gt;"",A187+1,"")</f>
        <v/>
      </c>
      <c r="B188" s="869"/>
      <c r="C188" s="858">
        <f>IF(ISNA(VLOOKUP(B188,NXT!$Q$61:$S$81,2,0)),0,VLOOKUP(B188,NXT!$Q$61:$S$81,2,0))</f>
        <v>0</v>
      </c>
      <c r="D188" s="707">
        <f>ROUND(C188*O188,0)</f>
        <v>0</v>
      </c>
      <c r="E188" s="707"/>
      <c r="F188" s="707"/>
      <c r="G188" s="859">
        <f>(D188+E188)*F188</f>
        <v>0</v>
      </c>
      <c r="H188" s="707">
        <f>IF($E$193&lt;&gt;0,H$193/($D$193+$E$193/5)*($D188+$E188/5),0)</f>
        <v>0</v>
      </c>
      <c r="I188" s="707">
        <f>IF($D$193&lt;&gt;0,I$193/$D$193*$D188,0)</f>
        <v>0</v>
      </c>
      <c r="J188" s="707">
        <f t="shared" si="21"/>
        <v>0</v>
      </c>
      <c r="K188" s="707">
        <f t="shared" si="21"/>
        <v>0</v>
      </c>
      <c r="L188" s="859"/>
      <c r="M188" s="707"/>
      <c r="N188" s="859">
        <f>ROUND(SUM(G188:L188),0)</f>
        <v>0</v>
      </c>
      <c r="O188" s="707"/>
      <c r="P188" s="707">
        <f>IF(N188&lt;&gt;0,N188/O188,0)</f>
        <v>0</v>
      </c>
      <c r="Q188" s="878"/>
      <c r="R188" s="866"/>
      <c r="S188" s="928"/>
      <c r="T188" s="271"/>
      <c r="U188" s="271"/>
      <c r="V188" s="859">
        <f t="shared" si="22"/>
        <v>0</v>
      </c>
      <c r="W188" s="875"/>
    </row>
    <row r="189" spans="1:23" ht="13.5" customHeight="1">
      <c r="A189" s="857" t="str">
        <f>IF(B189&lt;&gt;"",A188+1,"")</f>
        <v/>
      </c>
      <c r="B189" s="869"/>
      <c r="C189" s="858">
        <f>IF(ISNA(VLOOKUP(B189,NXT!$Q$61:$S$81,2,0)),0,VLOOKUP(B189,NXT!$Q$61:$S$81,2,0))</f>
        <v>0</v>
      </c>
      <c r="D189" s="707">
        <f>ROUND(C189*O189,0)</f>
        <v>0</v>
      </c>
      <c r="E189" s="707"/>
      <c r="F189" s="707"/>
      <c r="G189" s="859">
        <f>(D189+E189)*F189</f>
        <v>0</v>
      </c>
      <c r="H189" s="707">
        <f>IF($E$193&lt;&gt;0,H$193/($D$193+$E$193/5)*($D189+$E189/5),0)</f>
        <v>0</v>
      </c>
      <c r="I189" s="707">
        <f>IF($D$193&lt;&gt;0,I$193/$D$193*$D189,0)</f>
        <v>0</v>
      </c>
      <c r="J189" s="707">
        <f t="shared" si="21"/>
        <v>0</v>
      </c>
      <c r="K189" s="707">
        <f t="shared" si="21"/>
        <v>0</v>
      </c>
      <c r="L189" s="859"/>
      <c r="M189" s="707"/>
      <c r="N189" s="859">
        <f>ROUND(SUM(G189:L189),0)</f>
        <v>0</v>
      </c>
      <c r="O189" s="865"/>
      <c r="P189" s="707">
        <f>IF(N189&lt;&gt;0,N189/O189,0)</f>
        <v>0</v>
      </c>
      <c r="Q189" s="878"/>
      <c r="R189" s="866"/>
      <c r="S189" s="928"/>
      <c r="T189" s="271"/>
      <c r="U189" s="271"/>
      <c r="V189" s="859">
        <f t="shared" si="22"/>
        <v>0</v>
      </c>
      <c r="W189" s="875"/>
    </row>
    <row r="190" spans="1:23">
      <c r="A190" s="857" t="str">
        <f>IF(B190&lt;&gt;"",A189+1,"")</f>
        <v/>
      </c>
      <c r="B190" s="869"/>
      <c r="C190" s="858">
        <f>IF(ISNA(VLOOKUP(B190,NXT!$Q$61:$S$81,2,0)),0,VLOOKUP(B190,NXT!$Q$61:$S$81,2,0))</f>
        <v>0</v>
      </c>
      <c r="D190" s="707">
        <f>ROUND(C190*O190,0)</f>
        <v>0</v>
      </c>
      <c r="E190" s="707"/>
      <c r="F190" s="707"/>
      <c r="G190" s="859">
        <f>(D190+E190)*F190</f>
        <v>0</v>
      </c>
      <c r="H190" s="707">
        <f>IF($E$193&lt;&gt;0,H$193/($D$193+$E$193/5)*($D190+$E190/5),0)</f>
        <v>0</v>
      </c>
      <c r="I190" s="707">
        <f>IF($D$193&lt;&gt;0,I$193/$D$193*$D190,0)</f>
        <v>0</v>
      </c>
      <c r="J190" s="707">
        <f t="shared" si="21"/>
        <v>0</v>
      </c>
      <c r="K190" s="707">
        <f t="shared" si="21"/>
        <v>0</v>
      </c>
      <c r="L190" s="859"/>
      <c r="M190" s="707"/>
      <c r="N190" s="859">
        <f>ROUND(SUM(G190:L190),0)</f>
        <v>0</v>
      </c>
      <c r="O190" s="865"/>
      <c r="P190" s="707">
        <f>IF(N190&lt;&gt;0,N190/O190,0)</f>
        <v>0</v>
      </c>
      <c r="Q190" s="878"/>
      <c r="R190" s="866"/>
      <c r="S190" s="928"/>
      <c r="T190" s="271"/>
      <c r="U190" s="271"/>
      <c r="V190" s="859">
        <f t="shared" si="22"/>
        <v>0</v>
      </c>
      <c r="W190" s="875"/>
    </row>
    <row r="191" spans="1:23">
      <c r="A191" s="857" t="str">
        <f>IF(B191&lt;&gt;"",A190+1,"")</f>
        <v/>
      </c>
      <c r="B191" s="869"/>
      <c r="C191" s="858">
        <f>IF(ISNA(VLOOKUP(B191,NXT!$Q$61:$S$81,2,0)),0,VLOOKUP(B191,NXT!$Q$61:$S$81,2,0))</f>
        <v>0</v>
      </c>
      <c r="D191" s="707">
        <f>ROUND(C191*O191,0)</f>
        <v>0</v>
      </c>
      <c r="E191" s="707"/>
      <c r="F191" s="707"/>
      <c r="G191" s="859">
        <f>(D191+E191)*F191</f>
        <v>0</v>
      </c>
      <c r="H191" s="707">
        <f>IF($E$193&lt;&gt;0,H$193/($D$193+$E$193/5)*($D191+$E191/5),0)</f>
        <v>0</v>
      </c>
      <c r="I191" s="707">
        <f>IF($D$193&lt;&gt;0,I$193/$D$193*$D191,0)</f>
        <v>0</v>
      </c>
      <c r="J191" s="707">
        <f t="shared" si="21"/>
        <v>0</v>
      </c>
      <c r="K191" s="707">
        <f t="shared" si="21"/>
        <v>0</v>
      </c>
      <c r="L191" s="707"/>
      <c r="M191" s="707"/>
      <c r="N191" s="859">
        <f>ROUND(SUM(G191:L191),0)</f>
        <v>0</v>
      </c>
      <c r="O191" s="865"/>
      <c r="P191" s="707">
        <f>IF(N191&lt;&gt;0,N191/O191,0)</f>
        <v>0</v>
      </c>
      <c r="Q191" s="878"/>
      <c r="R191" s="866"/>
      <c r="S191" s="928"/>
      <c r="T191" s="271"/>
      <c r="U191" s="271"/>
      <c r="V191" s="859">
        <f t="shared" si="22"/>
        <v>0</v>
      </c>
      <c r="W191" s="875"/>
    </row>
    <row r="192" spans="1:23">
      <c r="A192" s="857" t="str">
        <f>IF(B192&lt;&gt;"",#REF!+1,"")</f>
        <v/>
      </c>
      <c r="B192" s="870"/>
      <c r="C192" s="871"/>
      <c r="D192" s="873"/>
      <c r="E192" s="873"/>
      <c r="F192" s="873"/>
      <c r="G192" s="874"/>
      <c r="H192" s="919"/>
      <c r="I192" s="873"/>
      <c r="J192" s="875"/>
      <c r="K192" s="873"/>
      <c r="L192" s="876"/>
      <c r="M192" s="873"/>
      <c r="N192" s="907"/>
      <c r="O192" s="877"/>
      <c r="P192" s="873"/>
      <c r="Q192" s="878"/>
      <c r="R192" s="866"/>
      <c r="S192" s="928"/>
      <c r="T192" s="271"/>
      <c r="U192" s="271"/>
      <c r="V192" s="859">
        <f t="shared" si="22"/>
        <v>0</v>
      </c>
      <c r="W192" s="875"/>
    </row>
    <row r="193" spans="1:23">
      <c r="A193" s="880"/>
      <c r="B193" s="881" t="s">
        <v>725</v>
      </c>
      <c r="C193" s="882"/>
      <c r="D193" s="883">
        <f>SUM(D187:D191)</f>
        <v>0</v>
      </c>
      <c r="E193" s="883">
        <f>SUM(E187:E191)</f>
        <v>0</v>
      </c>
      <c r="F193" s="883"/>
      <c r="G193" s="883">
        <f>SUM(G187:G191)</f>
        <v>0</v>
      </c>
      <c r="H193" s="884"/>
      <c r="I193" s="884">
        <f>V198</f>
        <v>0</v>
      </c>
      <c r="J193" s="884"/>
      <c r="K193" s="884"/>
      <c r="L193" s="883">
        <f>ROUND(SUM(L187:L192),0)</f>
        <v>0</v>
      </c>
      <c r="M193" s="883" t="e">
        <f>ROUND(SUM(M187:M192),0)</f>
        <v>#REF!</v>
      </c>
      <c r="N193" s="883">
        <f>ROUND(SUM(N187:N192),0)</f>
        <v>0</v>
      </c>
      <c r="O193" s="883">
        <f>ROUND(SUM(O187:O192),0)</f>
        <v>0</v>
      </c>
      <c r="P193" s="883"/>
      <c r="Q193" s="878"/>
      <c r="R193" s="866"/>
      <c r="S193" s="928"/>
      <c r="T193" s="271"/>
      <c r="U193" s="271"/>
      <c r="V193" s="859">
        <f t="shared" si="22"/>
        <v>0</v>
      </c>
      <c r="W193" s="875"/>
    </row>
    <row r="194" spans="1:23">
      <c r="Q194" s="878"/>
      <c r="R194" s="866"/>
      <c r="S194" s="928"/>
      <c r="T194" s="889"/>
      <c r="U194" s="867"/>
      <c r="V194" s="859">
        <f t="shared" si="22"/>
        <v>0</v>
      </c>
      <c r="W194" s="875"/>
    </row>
    <row r="195" spans="1:23">
      <c r="Q195" s="878"/>
      <c r="R195" s="931"/>
      <c r="S195" s="928"/>
      <c r="T195" s="889"/>
      <c r="U195" s="867"/>
      <c r="V195" s="859">
        <f t="shared" si="22"/>
        <v>0</v>
      </c>
      <c r="W195" s="875"/>
    </row>
    <row r="196" spans="1:23">
      <c r="Q196" s="878"/>
      <c r="R196" s="587"/>
      <c r="S196" s="928"/>
      <c r="T196" s="271"/>
      <c r="U196" s="271"/>
      <c r="V196" s="859">
        <f t="shared" si="22"/>
        <v>0</v>
      </c>
      <c r="W196" s="875"/>
    </row>
    <row r="197" spans="1:23" s="879" customFormat="1">
      <c r="A197" s="830"/>
      <c r="B197" s="830"/>
      <c r="C197" s="830"/>
      <c r="D197" s="830"/>
      <c r="E197" s="830"/>
      <c r="F197" s="830"/>
      <c r="G197" s="830"/>
      <c r="H197" s="830"/>
      <c r="I197" s="830"/>
      <c r="J197" s="830"/>
      <c r="K197" s="830"/>
      <c r="L197" s="830"/>
      <c r="M197" s="830"/>
      <c r="N197" s="830"/>
      <c r="O197" s="830"/>
      <c r="P197" s="830"/>
      <c r="Q197" s="878"/>
      <c r="R197" s="866"/>
      <c r="S197" s="862"/>
      <c r="T197" s="271"/>
      <c r="U197" s="271"/>
      <c r="V197" s="859"/>
      <c r="W197" s="875"/>
    </row>
    <row r="198" spans="1:23" s="834" customFormat="1">
      <c r="A198" s="830"/>
      <c r="B198" s="830"/>
      <c r="C198" s="830"/>
      <c r="D198" s="830"/>
      <c r="E198" s="830"/>
      <c r="F198" s="830"/>
      <c r="G198" s="830"/>
      <c r="H198" s="830"/>
      <c r="I198" s="830"/>
      <c r="J198" s="830"/>
      <c r="K198" s="830"/>
      <c r="L198" s="830"/>
      <c r="M198" s="830"/>
      <c r="N198" s="830"/>
      <c r="O198" s="830"/>
      <c r="P198" s="830"/>
      <c r="Q198" s="878"/>
      <c r="R198" s="912"/>
      <c r="S198" s="913"/>
      <c r="T198" s="914"/>
      <c r="U198" s="933"/>
      <c r="V198" s="893">
        <f>SUM(V187:V197)</f>
        <v>0</v>
      </c>
      <c r="W198" s="893">
        <f>SUM(W187:W197)</f>
        <v>0</v>
      </c>
    </row>
    <row r="199" spans="1:23">
      <c r="R199" s="915"/>
      <c r="S199" s="928"/>
      <c r="T199" s="271"/>
      <c r="U199" s="271"/>
      <c r="V199" s="859">
        <f t="shared" ref="V199:V206" si="23">ROUND(T199*U199,0)</f>
        <v>0</v>
      </c>
      <c r="W199" s="859"/>
    </row>
    <row r="200" spans="1:23">
      <c r="R200" s="915"/>
      <c r="S200" s="928"/>
      <c r="T200" s="867"/>
      <c r="U200" s="867"/>
      <c r="V200" s="859">
        <f t="shared" si="23"/>
        <v>0</v>
      </c>
      <c r="W200" s="875"/>
    </row>
    <row r="201" spans="1:23">
      <c r="R201" s="866"/>
      <c r="S201" s="928"/>
      <c r="T201" s="867"/>
      <c r="U201" s="867"/>
      <c r="V201" s="859">
        <f t="shared" si="23"/>
        <v>0</v>
      </c>
      <c r="W201" s="875"/>
    </row>
    <row r="202" spans="1:23">
      <c r="R202" s="889"/>
      <c r="S202" s="928"/>
      <c r="T202" s="867"/>
      <c r="U202" s="867"/>
      <c r="V202" s="859">
        <f t="shared" si="23"/>
        <v>0</v>
      </c>
      <c r="W202" s="875"/>
    </row>
    <row r="203" spans="1:23">
      <c r="R203" s="866"/>
      <c r="S203" s="862"/>
      <c r="T203" s="867"/>
      <c r="U203" s="867"/>
      <c r="V203" s="859">
        <f t="shared" si="23"/>
        <v>0</v>
      </c>
      <c r="W203" s="875"/>
    </row>
    <row r="204" spans="1:23">
      <c r="R204" s="866"/>
      <c r="S204" s="862"/>
      <c r="T204" s="867"/>
      <c r="U204" s="867"/>
      <c r="V204" s="859">
        <f t="shared" si="23"/>
        <v>0</v>
      </c>
      <c r="W204" s="875"/>
    </row>
    <row r="205" spans="1:23">
      <c r="R205" s="889"/>
      <c r="S205" s="862"/>
      <c r="T205" s="867"/>
      <c r="U205" s="867"/>
      <c r="V205" s="859">
        <f t="shared" si="23"/>
        <v>0</v>
      </c>
      <c r="W205" s="875"/>
    </row>
    <row r="206" spans="1:23">
      <c r="R206" s="889"/>
      <c r="S206" s="862"/>
      <c r="T206" s="867"/>
      <c r="U206" s="867"/>
      <c r="V206" s="859">
        <f t="shared" si="23"/>
        <v>0</v>
      </c>
      <c r="W206" s="875"/>
    </row>
    <row r="207" spans="1:23">
      <c r="A207" s="842"/>
      <c r="B207" s="842"/>
      <c r="C207" s="843"/>
      <c r="D207" s="842"/>
      <c r="E207" s="842"/>
      <c r="F207" s="842"/>
      <c r="G207" s="842"/>
      <c r="H207" s="842"/>
      <c r="I207" s="842"/>
      <c r="J207" s="842"/>
      <c r="K207" s="842"/>
      <c r="L207" s="841"/>
      <c r="M207" s="842"/>
      <c r="N207" s="842"/>
      <c r="O207" s="844"/>
      <c r="P207" s="842"/>
      <c r="R207" s="833"/>
      <c r="S207" s="840"/>
    </row>
    <row r="208" spans="1:23" ht="18.75" customHeight="1">
      <c r="A208" s="849"/>
      <c r="B208" s="849"/>
      <c r="C208" s="936"/>
      <c r="D208" s="849"/>
      <c r="E208" s="849"/>
      <c r="F208" s="849"/>
      <c r="G208" s="849"/>
      <c r="H208" s="849"/>
      <c r="I208" s="849"/>
      <c r="J208" s="849"/>
      <c r="K208" s="849"/>
      <c r="L208" s="849"/>
      <c r="M208" s="849"/>
      <c r="N208" s="849"/>
      <c r="O208" s="901"/>
      <c r="P208" s="849"/>
      <c r="Q208" s="839"/>
      <c r="R208" s="833"/>
      <c r="S208" s="840"/>
    </row>
    <row r="209" spans="1:23" ht="20.25" customHeight="1">
      <c r="A209" s="834" t="s">
        <v>708</v>
      </c>
      <c r="B209" s="834"/>
      <c r="C209" s="835"/>
      <c r="D209" s="836"/>
      <c r="E209" s="836"/>
      <c r="F209" s="836"/>
      <c r="G209" s="833"/>
      <c r="H209" s="833"/>
      <c r="I209" s="833"/>
      <c r="J209" s="833"/>
      <c r="K209" s="833"/>
      <c r="L209" s="837"/>
      <c r="M209" s="833"/>
      <c r="N209" s="833"/>
      <c r="O209" s="838"/>
      <c r="P209" s="833"/>
      <c r="Q209" s="839"/>
      <c r="R209" s="833"/>
      <c r="S209" s="840"/>
    </row>
    <row r="210" spans="1:23" ht="20.25" customHeight="1">
      <c r="A210" s="841" t="s">
        <v>734</v>
      </c>
      <c r="B210" s="841"/>
      <c r="C210" s="841"/>
      <c r="D210" s="841"/>
      <c r="E210" s="841"/>
      <c r="F210" s="841"/>
      <c r="G210" s="841"/>
      <c r="H210" s="841"/>
      <c r="I210" s="841"/>
      <c r="J210" s="841"/>
      <c r="K210" s="841"/>
      <c r="L210" s="841"/>
      <c r="M210" s="841"/>
      <c r="N210" s="841"/>
      <c r="O210" s="841"/>
      <c r="P210" s="841"/>
      <c r="Q210" s="839"/>
      <c r="R210" s="833"/>
      <c r="S210" s="840"/>
    </row>
    <row r="211" spans="1:23" ht="12" customHeight="1">
      <c r="A211" s="842"/>
      <c r="B211" s="842"/>
      <c r="C211" s="843"/>
      <c r="D211" s="842"/>
      <c r="E211" s="842"/>
      <c r="F211" s="842"/>
      <c r="G211" s="842"/>
      <c r="H211" s="842"/>
      <c r="I211" s="842"/>
      <c r="J211" s="842"/>
      <c r="K211" s="842"/>
      <c r="L211" s="841"/>
      <c r="M211" s="842"/>
      <c r="N211" s="842"/>
      <c r="O211" s="844"/>
      <c r="P211" s="842"/>
      <c r="Q211" s="839"/>
      <c r="R211" s="833"/>
      <c r="S211" s="840"/>
    </row>
    <row r="212" spans="1:23" ht="12" customHeight="1">
      <c r="A212" s="845"/>
      <c r="B212" s="845"/>
      <c r="C212" s="846"/>
      <c r="D212" s="845"/>
      <c r="E212" s="845"/>
      <c r="F212" s="845"/>
      <c r="G212" s="845"/>
      <c r="H212" s="845"/>
      <c r="I212" s="845"/>
      <c r="J212" s="845"/>
      <c r="K212" s="845"/>
      <c r="L212" s="845"/>
      <c r="M212" s="845"/>
      <c r="N212" s="845"/>
      <c r="O212" s="847"/>
      <c r="P212" s="845"/>
      <c r="Q212" s="839"/>
      <c r="R212" s="833"/>
      <c r="S212" s="840"/>
    </row>
    <row r="213" spans="1:23" ht="36.75" customHeight="1">
      <c r="A213" s="850" t="s">
        <v>46</v>
      </c>
      <c r="B213" s="850" t="s">
        <v>710</v>
      </c>
      <c r="C213" s="851" t="s">
        <v>711</v>
      </c>
      <c r="D213" s="852" t="s">
        <v>712</v>
      </c>
      <c r="E213" s="852" t="s">
        <v>713</v>
      </c>
      <c r="F213" s="852" t="s">
        <v>714</v>
      </c>
      <c r="G213" s="852" t="s">
        <v>715</v>
      </c>
      <c r="H213" s="852" t="s">
        <v>716</v>
      </c>
      <c r="I213" s="852" t="s">
        <v>717</v>
      </c>
      <c r="J213" s="852" t="s">
        <v>718</v>
      </c>
      <c r="K213" s="853" t="s">
        <v>719</v>
      </c>
      <c r="L213" s="852" t="s">
        <v>720</v>
      </c>
      <c r="M213" s="853" t="s">
        <v>721</v>
      </c>
      <c r="N213" s="852" t="s">
        <v>722</v>
      </c>
      <c r="O213" s="854" t="s">
        <v>713</v>
      </c>
      <c r="P213" s="852" t="s">
        <v>723</v>
      </c>
      <c r="Q213" s="839"/>
      <c r="R213" s="850" t="s">
        <v>710</v>
      </c>
      <c r="S213" s="852" t="s">
        <v>677</v>
      </c>
      <c r="T213" s="852" t="s">
        <v>535</v>
      </c>
      <c r="U213" s="852" t="s">
        <v>714</v>
      </c>
      <c r="V213" s="852" t="s">
        <v>724</v>
      </c>
      <c r="W213" s="850" t="s">
        <v>724</v>
      </c>
    </row>
    <row r="214" spans="1:23" s="856" customFormat="1" ht="13.5" customHeight="1">
      <c r="A214" s="857" t="str">
        <f>IF(B214&lt;&gt;"",ROW()-(ROW()-1),"")</f>
        <v/>
      </c>
      <c r="B214" s="869"/>
      <c r="C214" s="858">
        <f>IF(ISNA(VLOOKUP(B214,NXT!$Q$61:$S$81,2,0)),0,VLOOKUP(B214,NXT!$Q$61:$S$81,2,0))</f>
        <v>0</v>
      </c>
      <c r="D214" s="707">
        <f t="shared" ref="D214:D219" si="24">ROUND(C214*O214,0)</f>
        <v>0</v>
      </c>
      <c r="E214" s="707"/>
      <c r="F214" s="707"/>
      <c r="G214" s="859">
        <f t="shared" ref="G214:G219" si="25">(D214+E214)*F214</f>
        <v>0</v>
      </c>
      <c r="H214" s="707">
        <f t="shared" ref="H214:H219" si="26">IF($D$221&lt;&gt;0,H$221/($D$221+$E$221/4)*($D214+$E214/4),0)</f>
        <v>0</v>
      </c>
      <c r="I214" s="707">
        <f t="shared" ref="I214:K219" si="27">IF($D$221&lt;&gt;0,I$221/$D$221*$D214,0)</f>
        <v>0</v>
      </c>
      <c r="J214" s="707">
        <f t="shared" si="27"/>
        <v>0</v>
      </c>
      <c r="K214" s="707">
        <f t="shared" si="27"/>
        <v>0</v>
      </c>
      <c r="L214" s="707"/>
      <c r="M214" s="707"/>
      <c r="N214" s="859">
        <f t="shared" ref="N214:N219" si="28">ROUND(SUM(G214:L214),0)</f>
        <v>0</v>
      </c>
      <c r="O214" s="865"/>
      <c r="P214" s="707">
        <f t="shared" ref="P214:P219" si="29">IF(N214&lt;&gt;0,N214/O214,0)</f>
        <v>0</v>
      </c>
      <c r="Q214" s="855"/>
      <c r="R214" s="861"/>
      <c r="S214" s="928"/>
      <c r="T214" s="271"/>
      <c r="U214" s="271"/>
      <c r="V214" s="859">
        <f t="shared" ref="V214:V223" si="30">ROUND(T214*U214,0)</f>
        <v>0</v>
      </c>
      <c r="W214" s="859"/>
    </row>
    <row r="215" spans="1:23" ht="13.5" customHeight="1">
      <c r="A215" s="857" t="str">
        <f t="shared" ref="A215:A220" si="31">IF(B215&lt;&gt;"",A214+1,"")</f>
        <v/>
      </c>
      <c r="B215" s="869"/>
      <c r="C215" s="858">
        <f>IF(ISNA(VLOOKUP(B215,NXT!$Q$61:$S$81,2,0)),0,VLOOKUP(B215,NXT!$Q$61:$S$81,2,0))</f>
        <v>0</v>
      </c>
      <c r="D215" s="707">
        <f t="shared" si="24"/>
        <v>0</v>
      </c>
      <c r="E215" s="707"/>
      <c r="F215" s="707"/>
      <c r="G215" s="859">
        <f t="shared" si="25"/>
        <v>0</v>
      </c>
      <c r="H215" s="707">
        <f t="shared" si="26"/>
        <v>0</v>
      </c>
      <c r="I215" s="707">
        <f>IF($D$221&lt;&gt;0,I$221/$D$221*$D215,0)</f>
        <v>0</v>
      </c>
      <c r="J215" s="707">
        <f t="shared" si="27"/>
        <v>0</v>
      </c>
      <c r="K215" s="707">
        <f t="shared" si="27"/>
        <v>0</v>
      </c>
      <c r="L215" s="859"/>
      <c r="M215" s="707" t="e">
        <f>34560000/($O$67+#REF!+#REF!)*O215</f>
        <v>#REF!</v>
      </c>
      <c r="N215" s="859">
        <f t="shared" si="28"/>
        <v>0</v>
      </c>
      <c r="O215" s="707"/>
      <c r="P215" s="707">
        <f t="shared" si="29"/>
        <v>0</v>
      </c>
      <c r="Q215" s="878"/>
      <c r="R215" s="866"/>
      <c r="S215" s="928"/>
      <c r="T215" s="271"/>
      <c r="U215" s="271"/>
      <c r="V215" s="859">
        <f t="shared" si="30"/>
        <v>0</v>
      </c>
      <c r="W215" s="875"/>
    </row>
    <row r="216" spans="1:23" ht="13.5" customHeight="1">
      <c r="A216" s="857" t="str">
        <f t="shared" si="31"/>
        <v/>
      </c>
      <c r="B216" s="582"/>
      <c r="C216" s="858">
        <f>IF(ISNA(VLOOKUP(B216,NXT!$Q$61:$S$81,2,0)),0,VLOOKUP(B216,NXT!$Q$61:$S$81,2,0))</f>
        <v>0</v>
      </c>
      <c r="D216" s="707">
        <f t="shared" si="24"/>
        <v>0</v>
      </c>
      <c r="E216" s="707"/>
      <c r="F216" s="707"/>
      <c r="G216" s="859">
        <f t="shared" si="25"/>
        <v>0</v>
      </c>
      <c r="H216" s="707">
        <f t="shared" si="26"/>
        <v>0</v>
      </c>
      <c r="I216" s="707">
        <f t="shared" si="27"/>
        <v>0</v>
      </c>
      <c r="J216" s="707">
        <f t="shared" si="27"/>
        <v>0</v>
      </c>
      <c r="K216" s="707">
        <f t="shared" si="27"/>
        <v>0</v>
      </c>
      <c r="L216" s="707"/>
      <c r="M216" s="707"/>
      <c r="N216" s="859">
        <f t="shared" si="28"/>
        <v>0</v>
      </c>
      <c r="O216" s="865"/>
      <c r="P216" s="707">
        <f t="shared" si="29"/>
        <v>0</v>
      </c>
      <c r="Q216" s="878"/>
      <c r="R216" s="866"/>
      <c r="S216" s="928"/>
      <c r="T216" s="271"/>
      <c r="U216" s="271"/>
      <c r="V216" s="859">
        <f t="shared" si="30"/>
        <v>0</v>
      </c>
      <c r="W216" s="875"/>
    </row>
    <row r="217" spans="1:23" ht="13.5" customHeight="1">
      <c r="A217" s="857" t="str">
        <f t="shared" si="31"/>
        <v/>
      </c>
      <c r="B217" s="869"/>
      <c r="C217" s="858">
        <f>IF(ISNA(VLOOKUP(B217,NXT!$Q$61:$S$81,2,0)),0,VLOOKUP(B217,NXT!$Q$61:$S$81,2,0))</f>
        <v>0</v>
      </c>
      <c r="D217" s="707">
        <f t="shared" si="24"/>
        <v>0</v>
      </c>
      <c r="E217" s="707"/>
      <c r="F217" s="707"/>
      <c r="G217" s="859">
        <f t="shared" si="25"/>
        <v>0</v>
      </c>
      <c r="H217" s="707">
        <f t="shared" si="26"/>
        <v>0</v>
      </c>
      <c r="I217" s="707">
        <f t="shared" si="27"/>
        <v>0</v>
      </c>
      <c r="J217" s="707">
        <f t="shared" si="27"/>
        <v>0</v>
      </c>
      <c r="K217" s="707">
        <f t="shared" si="27"/>
        <v>0</v>
      </c>
      <c r="L217" s="707"/>
      <c r="M217" s="707"/>
      <c r="N217" s="859">
        <f t="shared" si="28"/>
        <v>0</v>
      </c>
      <c r="O217" s="865"/>
      <c r="P217" s="707">
        <f t="shared" si="29"/>
        <v>0</v>
      </c>
      <c r="Q217" s="878"/>
      <c r="R217" s="866"/>
      <c r="S217" s="928"/>
      <c r="T217" s="271"/>
      <c r="U217" s="271"/>
      <c r="V217" s="859">
        <f t="shared" si="30"/>
        <v>0</v>
      </c>
      <c r="W217" s="875"/>
    </row>
    <row r="218" spans="1:23" ht="13.5" customHeight="1">
      <c r="A218" s="857" t="str">
        <f t="shared" si="31"/>
        <v/>
      </c>
      <c r="B218" s="869"/>
      <c r="C218" s="858">
        <f>IF(ISNA(VLOOKUP(B218,NXT!$Q$61:$S$81,2,0)),0,VLOOKUP(B218,NXT!$Q$61:$S$81,2,0))</f>
        <v>0</v>
      </c>
      <c r="D218" s="707">
        <f t="shared" si="24"/>
        <v>0</v>
      </c>
      <c r="E218" s="707"/>
      <c r="F218" s="707"/>
      <c r="G218" s="859">
        <f t="shared" si="25"/>
        <v>0</v>
      </c>
      <c r="H218" s="707">
        <f t="shared" si="26"/>
        <v>0</v>
      </c>
      <c r="I218" s="707">
        <f t="shared" si="27"/>
        <v>0</v>
      </c>
      <c r="J218" s="707">
        <f t="shared" si="27"/>
        <v>0</v>
      </c>
      <c r="K218" s="707">
        <f t="shared" si="27"/>
        <v>0</v>
      </c>
      <c r="L218" s="707"/>
      <c r="M218" s="707"/>
      <c r="N218" s="859">
        <f t="shared" si="28"/>
        <v>0</v>
      </c>
      <c r="O218" s="865"/>
      <c r="P218" s="707">
        <f t="shared" si="29"/>
        <v>0</v>
      </c>
      <c r="Q218" s="878"/>
      <c r="R218" s="866"/>
      <c r="S218" s="928"/>
      <c r="T218" s="271"/>
      <c r="U218" s="271"/>
      <c r="V218" s="859">
        <f t="shared" si="30"/>
        <v>0</v>
      </c>
      <c r="W218" s="875"/>
    </row>
    <row r="219" spans="1:23">
      <c r="A219" s="857" t="str">
        <f t="shared" si="31"/>
        <v/>
      </c>
      <c r="B219" s="869"/>
      <c r="C219" s="858">
        <f>IF(ISNA(VLOOKUP(B219,NXT!$Q$61:$S$81,2,0)),0,VLOOKUP(B219,NXT!$Q$61:$S$81,2,0))</f>
        <v>0</v>
      </c>
      <c r="D219" s="707">
        <f t="shared" si="24"/>
        <v>0</v>
      </c>
      <c r="E219" s="707"/>
      <c r="F219" s="707"/>
      <c r="G219" s="859">
        <f t="shared" si="25"/>
        <v>0</v>
      </c>
      <c r="H219" s="707">
        <f t="shared" si="26"/>
        <v>0</v>
      </c>
      <c r="I219" s="707">
        <f t="shared" si="27"/>
        <v>0</v>
      </c>
      <c r="J219" s="707">
        <f t="shared" si="27"/>
        <v>0</v>
      </c>
      <c r="K219" s="707">
        <f t="shared" si="27"/>
        <v>0</v>
      </c>
      <c r="L219" s="707"/>
      <c r="M219" s="707"/>
      <c r="N219" s="859">
        <f t="shared" si="28"/>
        <v>0</v>
      </c>
      <c r="O219" s="865"/>
      <c r="P219" s="707">
        <f t="shared" si="29"/>
        <v>0</v>
      </c>
      <c r="Q219" s="878"/>
      <c r="R219" s="866"/>
      <c r="S219" s="928"/>
      <c r="T219" s="271"/>
      <c r="U219" s="867"/>
      <c r="V219" s="859">
        <f t="shared" si="30"/>
        <v>0</v>
      </c>
      <c r="W219" s="875"/>
    </row>
    <row r="220" spans="1:23">
      <c r="A220" s="857" t="str">
        <f t="shared" si="31"/>
        <v/>
      </c>
      <c r="B220" s="870"/>
      <c r="C220" s="871"/>
      <c r="D220" s="873"/>
      <c r="E220" s="873"/>
      <c r="F220" s="873"/>
      <c r="G220" s="874"/>
      <c r="H220" s="919"/>
      <c r="I220" s="873"/>
      <c r="J220" s="875"/>
      <c r="K220" s="873"/>
      <c r="L220" s="876"/>
      <c r="M220" s="873"/>
      <c r="N220" s="907"/>
      <c r="O220" s="877"/>
      <c r="P220" s="873"/>
      <c r="Q220" s="878"/>
      <c r="R220" s="866"/>
      <c r="S220" s="930"/>
      <c r="T220" s="271"/>
      <c r="U220" s="271"/>
      <c r="V220" s="859">
        <f t="shared" si="30"/>
        <v>0</v>
      </c>
      <c r="W220" s="875"/>
    </row>
    <row r="221" spans="1:23" s="879" customFormat="1">
      <c r="A221" s="880"/>
      <c r="B221" s="881" t="s">
        <v>725</v>
      </c>
      <c r="C221" s="882"/>
      <c r="D221" s="883">
        <f>SUM(D214:D219)</f>
        <v>0</v>
      </c>
      <c r="E221" s="883">
        <f>SUM(E214:E219)</f>
        <v>0</v>
      </c>
      <c r="F221" s="883"/>
      <c r="G221" s="883">
        <f>SUM(G214:G220)</f>
        <v>0</v>
      </c>
      <c r="H221" s="884"/>
      <c r="I221" s="884">
        <f>V225</f>
        <v>0</v>
      </c>
      <c r="J221" s="884"/>
      <c r="K221" s="884"/>
      <c r="L221" s="883">
        <f>ROUND(SUM(L214:L220),0)</f>
        <v>0</v>
      </c>
      <c r="M221" s="883" t="e">
        <f>ROUND(SUM(M214:M220),0)</f>
        <v>#REF!</v>
      </c>
      <c r="N221" s="883">
        <f>ROUND(SUM(N214:N220),0)</f>
        <v>0</v>
      </c>
      <c r="O221" s="883">
        <f>ROUND(SUM(O214:O220),0)</f>
        <v>0</v>
      </c>
      <c r="P221" s="883"/>
      <c r="Q221" s="878"/>
      <c r="R221" s="866"/>
      <c r="S221" s="930"/>
      <c r="T221" s="889"/>
      <c r="U221" s="867"/>
      <c r="V221" s="859">
        <f t="shared" si="30"/>
        <v>0</v>
      </c>
      <c r="W221" s="875"/>
    </row>
    <row r="222" spans="1:23" s="834" customFormat="1">
      <c r="A222" s="830"/>
      <c r="B222" s="830"/>
      <c r="C222" s="830"/>
      <c r="D222" s="830"/>
      <c r="E222" s="830"/>
      <c r="F222" s="830"/>
      <c r="G222" s="830"/>
      <c r="H222" s="830"/>
      <c r="I222" s="830"/>
      <c r="J222" s="830"/>
      <c r="K222" s="830"/>
      <c r="L222" s="830"/>
      <c r="M222" s="830"/>
      <c r="N222" s="830"/>
      <c r="O222" s="830"/>
      <c r="P222" s="830"/>
      <c r="Q222" s="878"/>
      <c r="R222" s="931"/>
      <c r="S222" s="930"/>
      <c r="T222" s="889"/>
      <c r="U222" s="867"/>
      <c r="V222" s="859">
        <f t="shared" si="30"/>
        <v>0</v>
      </c>
      <c r="W222" s="875"/>
    </row>
    <row r="223" spans="1:23">
      <c r="Q223" s="878"/>
      <c r="R223" s="587"/>
      <c r="S223" s="930"/>
      <c r="T223" s="271"/>
      <c r="U223" s="271"/>
      <c r="V223" s="859">
        <f t="shared" si="30"/>
        <v>0</v>
      </c>
      <c r="W223" s="875"/>
    </row>
    <row r="224" spans="1:23">
      <c r="Q224" s="878"/>
      <c r="R224" s="932"/>
      <c r="S224" s="862"/>
      <c r="T224" s="271"/>
      <c r="U224" s="271"/>
      <c r="V224" s="875"/>
      <c r="W224" s="875"/>
    </row>
    <row r="225" spans="1:23">
      <c r="Q225" s="878"/>
      <c r="R225" s="912"/>
      <c r="S225" s="913"/>
      <c r="T225" s="914"/>
      <c r="U225" s="933"/>
      <c r="V225" s="893">
        <f>SUM(V214:V224)</f>
        <v>0</v>
      </c>
      <c r="W225" s="893">
        <f>SUM(W214:W224)</f>
        <v>0</v>
      </c>
    </row>
    <row r="226" spans="1:23">
      <c r="R226" s="866"/>
      <c r="S226" s="928"/>
      <c r="T226" s="271"/>
      <c r="U226" s="867"/>
      <c r="V226" s="859">
        <f t="shared" ref="V226:V233" si="32">ROUND(T226*U226,0)</f>
        <v>0</v>
      </c>
      <c r="W226" s="859"/>
    </row>
    <row r="227" spans="1:23">
      <c r="R227" s="866"/>
      <c r="S227" s="928"/>
      <c r="T227" s="867"/>
      <c r="U227" s="867"/>
      <c r="V227" s="859">
        <f t="shared" si="32"/>
        <v>0</v>
      </c>
      <c r="W227" s="875"/>
    </row>
    <row r="228" spans="1:23">
      <c r="R228" s="599"/>
      <c r="S228" s="928"/>
      <c r="T228" s="867"/>
      <c r="U228" s="867"/>
      <c r="V228" s="859">
        <f t="shared" si="32"/>
        <v>0</v>
      </c>
      <c r="W228" s="875"/>
    </row>
    <row r="229" spans="1:23">
      <c r="R229" s="889"/>
      <c r="S229" s="928"/>
      <c r="T229" s="867"/>
      <c r="U229" s="867"/>
      <c r="V229" s="859">
        <f t="shared" si="32"/>
        <v>0</v>
      </c>
      <c r="W229" s="875"/>
    </row>
    <row r="230" spans="1:23">
      <c r="R230" s="866"/>
      <c r="S230" s="928"/>
      <c r="T230" s="867"/>
      <c r="U230" s="867"/>
      <c r="V230" s="859">
        <f t="shared" si="32"/>
        <v>0</v>
      </c>
      <c r="W230" s="875"/>
    </row>
    <row r="231" spans="1:23">
      <c r="R231" s="866"/>
      <c r="S231" s="862"/>
      <c r="T231" s="867"/>
      <c r="U231" s="867"/>
      <c r="V231" s="859">
        <f t="shared" si="32"/>
        <v>0</v>
      </c>
      <c r="W231" s="875"/>
    </row>
    <row r="232" spans="1:23">
      <c r="R232" s="889"/>
      <c r="S232" s="862"/>
      <c r="T232" s="867"/>
      <c r="U232" s="867"/>
      <c r="V232" s="859">
        <f t="shared" si="32"/>
        <v>0</v>
      </c>
      <c r="W232" s="875"/>
    </row>
    <row r="233" spans="1:23">
      <c r="R233" s="889"/>
      <c r="S233" s="862"/>
      <c r="T233" s="867"/>
      <c r="U233" s="867"/>
      <c r="V233" s="859">
        <f t="shared" si="32"/>
        <v>0</v>
      </c>
      <c r="W233" s="875"/>
    </row>
    <row r="234" spans="1:23">
      <c r="R234" s="839"/>
      <c r="S234" s="916"/>
      <c r="T234" s="849"/>
      <c r="U234" s="849"/>
      <c r="V234" s="887"/>
      <c r="W234" s="917"/>
    </row>
    <row r="235" spans="1:23" ht="20.25" customHeight="1">
      <c r="A235" s="834" t="s">
        <v>708</v>
      </c>
      <c r="B235" s="834"/>
      <c r="C235" s="835"/>
      <c r="D235" s="836"/>
      <c r="E235" s="836"/>
      <c r="F235" s="836"/>
      <c r="G235" s="833"/>
      <c r="H235" s="833"/>
      <c r="I235" s="833"/>
      <c r="J235" s="833"/>
      <c r="K235" s="833"/>
      <c r="L235" s="837"/>
      <c r="M235" s="833"/>
      <c r="N235" s="833"/>
      <c r="O235" s="838"/>
      <c r="P235" s="833"/>
      <c r="R235" s="833"/>
      <c r="S235" s="840"/>
    </row>
    <row r="236" spans="1:23" ht="20.25" customHeight="1">
      <c r="A236" s="841" t="s">
        <v>735</v>
      </c>
      <c r="B236" s="841"/>
      <c r="C236" s="841"/>
      <c r="D236" s="841"/>
      <c r="E236" s="841"/>
      <c r="F236" s="841"/>
      <c r="G236" s="841"/>
      <c r="H236" s="841"/>
      <c r="I236" s="841"/>
      <c r="J236" s="841"/>
      <c r="K236" s="841"/>
      <c r="L236" s="841"/>
      <c r="M236" s="841"/>
      <c r="N236" s="841"/>
      <c r="O236" s="841"/>
      <c r="P236" s="841"/>
      <c r="Q236" s="839"/>
      <c r="R236" s="833"/>
      <c r="S236" s="840"/>
    </row>
    <row r="237" spans="1:23" ht="12" customHeight="1">
      <c r="A237" s="842"/>
      <c r="B237" s="842"/>
      <c r="C237" s="843"/>
      <c r="D237" s="842"/>
      <c r="E237" s="842"/>
      <c r="F237" s="842"/>
      <c r="G237" s="842"/>
      <c r="H237" s="842"/>
      <c r="I237" s="842"/>
      <c r="J237" s="842"/>
      <c r="K237" s="842"/>
      <c r="L237" s="841"/>
      <c r="M237" s="842"/>
      <c r="N237" s="842"/>
      <c r="O237" s="844"/>
      <c r="P237" s="842"/>
      <c r="Q237" s="839"/>
      <c r="R237" s="833"/>
      <c r="S237" s="840"/>
    </row>
    <row r="238" spans="1:23" ht="12" customHeight="1">
      <c r="A238" s="845"/>
      <c r="B238" s="845"/>
      <c r="C238" s="846"/>
      <c r="D238" s="845"/>
      <c r="E238" s="845"/>
      <c r="F238" s="845"/>
      <c r="G238" s="845"/>
      <c r="H238" s="845"/>
      <c r="I238" s="845"/>
      <c r="J238" s="845"/>
      <c r="K238" s="845"/>
      <c r="L238" s="845"/>
      <c r="M238" s="845"/>
      <c r="N238" s="845"/>
      <c r="O238" s="847"/>
      <c r="P238" s="845"/>
      <c r="Q238" s="839"/>
      <c r="R238" s="833"/>
      <c r="S238" s="840"/>
    </row>
    <row r="239" spans="1:23" ht="36.75" customHeight="1">
      <c r="A239" s="850" t="s">
        <v>46</v>
      </c>
      <c r="B239" s="850" t="s">
        <v>710</v>
      </c>
      <c r="C239" s="851" t="s">
        <v>711</v>
      </c>
      <c r="D239" s="852" t="s">
        <v>712</v>
      </c>
      <c r="E239" s="852" t="s">
        <v>713</v>
      </c>
      <c r="F239" s="852" t="s">
        <v>714</v>
      </c>
      <c r="G239" s="852" t="s">
        <v>715</v>
      </c>
      <c r="H239" s="852" t="s">
        <v>716</v>
      </c>
      <c r="I239" s="852" t="s">
        <v>717</v>
      </c>
      <c r="J239" s="852" t="s">
        <v>718</v>
      </c>
      <c r="K239" s="853" t="s">
        <v>719</v>
      </c>
      <c r="L239" s="852" t="s">
        <v>720</v>
      </c>
      <c r="M239" s="853" t="s">
        <v>721</v>
      </c>
      <c r="N239" s="852" t="s">
        <v>722</v>
      </c>
      <c r="O239" s="854" t="s">
        <v>713</v>
      </c>
      <c r="P239" s="852" t="s">
        <v>723</v>
      </c>
      <c r="Q239" s="839"/>
      <c r="R239" s="850" t="s">
        <v>710</v>
      </c>
      <c r="S239" s="852" t="s">
        <v>677</v>
      </c>
      <c r="T239" s="852" t="s">
        <v>535</v>
      </c>
      <c r="U239" s="852" t="s">
        <v>714</v>
      </c>
      <c r="V239" s="852" t="s">
        <v>724</v>
      </c>
      <c r="W239" s="850" t="s">
        <v>724</v>
      </c>
    </row>
    <row r="240" spans="1:23" s="856" customFormat="1" ht="13.5" customHeight="1">
      <c r="A240" s="857" t="str">
        <f>IF(B240&lt;&gt;"",ROW()-(ROW()-1),"")</f>
        <v/>
      </c>
      <c r="B240" s="869"/>
      <c r="C240" s="858">
        <f>IF(ISNA(VLOOKUP(B240,NXT!$Q$61:$S$81,2,0)),0,VLOOKUP(B240,NXT!$Q$61:$S$81,2,0))</f>
        <v>0</v>
      </c>
      <c r="D240" s="707">
        <f t="shared" ref="D240:D245" si="33">ROUND(C240*O240,0)</f>
        <v>0</v>
      </c>
      <c r="E240" s="707"/>
      <c r="F240" s="707"/>
      <c r="G240" s="859">
        <f t="shared" ref="G240:G245" si="34">(D240+E240)*F240</f>
        <v>0</v>
      </c>
      <c r="H240" s="707">
        <f t="shared" ref="H240:H245" si="35">IF($D$247&lt;&gt;0,H$247/($D$247+$E$247/4)*($D240+$E240/4),0)</f>
        <v>0</v>
      </c>
      <c r="I240" s="707">
        <f t="shared" ref="I240:I245" si="36">IF($D$247&lt;&gt;0,I$247/$D$247*$D240,0)</f>
        <v>0</v>
      </c>
      <c r="J240" s="707">
        <f t="shared" ref="J240:K245" si="37">IF($D$247&lt;&gt;0,J$247/$D$247*$D240,0)</f>
        <v>0</v>
      </c>
      <c r="K240" s="707">
        <f t="shared" si="37"/>
        <v>0</v>
      </c>
      <c r="L240" s="859">
        <f t="shared" ref="L240:L245" si="38">V252</f>
        <v>0</v>
      </c>
      <c r="M240" s="707" t="e">
        <f>34560000/($O$67+#REF!+#REF!)*O240</f>
        <v>#REF!</v>
      </c>
      <c r="N240" s="859"/>
      <c r="O240" s="865"/>
      <c r="P240" s="707">
        <f t="shared" ref="P240:P245" si="39">IF(N240&lt;&gt;0,N240/O240,0)</f>
        <v>0</v>
      </c>
      <c r="Q240" s="855"/>
      <c r="R240" s="861"/>
      <c r="S240" s="928"/>
      <c r="T240" s="271"/>
      <c r="U240" s="271"/>
      <c r="V240" s="859">
        <f t="shared" ref="V240:V249" si="40">ROUND(T240*U240,0)</f>
        <v>0</v>
      </c>
      <c r="W240" s="859"/>
    </row>
    <row r="241" spans="1:23" ht="13.5" customHeight="1">
      <c r="A241" s="857" t="str">
        <f t="shared" ref="A241:A246" si="41">IF(B241&lt;&gt;"",A240+1,"")</f>
        <v/>
      </c>
      <c r="B241" s="869"/>
      <c r="C241" s="858">
        <f>IF(ISNA(VLOOKUP(B241,NXT!$Q$61:$S$81,2,0)),0,VLOOKUP(B241,NXT!$Q$61:$S$81,2,0))</f>
        <v>0</v>
      </c>
      <c r="D241" s="707">
        <f t="shared" si="33"/>
        <v>0</v>
      </c>
      <c r="E241" s="707"/>
      <c r="F241" s="707"/>
      <c r="G241" s="859">
        <f t="shared" si="34"/>
        <v>0</v>
      </c>
      <c r="H241" s="707">
        <f t="shared" si="35"/>
        <v>0</v>
      </c>
      <c r="I241" s="707">
        <f t="shared" si="36"/>
        <v>0</v>
      </c>
      <c r="J241" s="707">
        <f t="shared" si="37"/>
        <v>0</v>
      </c>
      <c r="K241" s="707">
        <f t="shared" si="37"/>
        <v>0</v>
      </c>
      <c r="L241" s="707">
        <f t="shared" si="38"/>
        <v>0</v>
      </c>
      <c r="M241" s="707"/>
      <c r="N241" s="859"/>
      <c r="O241" s="865"/>
      <c r="P241" s="707">
        <f t="shared" si="39"/>
        <v>0</v>
      </c>
      <c r="Q241" s="878"/>
      <c r="R241" s="866"/>
      <c r="S241" s="928"/>
      <c r="T241" s="271"/>
      <c r="U241" s="271"/>
      <c r="V241" s="859">
        <f t="shared" si="40"/>
        <v>0</v>
      </c>
      <c r="W241" s="875"/>
    </row>
    <row r="242" spans="1:23" ht="13.5" customHeight="1">
      <c r="A242" s="857" t="str">
        <f t="shared" si="41"/>
        <v/>
      </c>
      <c r="B242" s="869"/>
      <c r="C242" s="858">
        <f>IF(ISNA(VLOOKUP(B242,NXT!$Q$61:$S$81,2,0)),0,VLOOKUP(B242,NXT!$Q$61:$S$81,2,0))</f>
        <v>0</v>
      </c>
      <c r="D242" s="707">
        <f t="shared" si="33"/>
        <v>0</v>
      </c>
      <c r="E242" s="707"/>
      <c r="F242" s="707"/>
      <c r="G242" s="859">
        <f t="shared" si="34"/>
        <v>0</v>
      </c>
      <c r="H242" s="707">
        <f t="shared" si="35"/>
        <v>0</v>
      </c>
      <c r="I242" s="707">
        <f t="shared" si="36"/>
        <v>0</v>
      </c>
      <c r="J242" s="707">
        <f t="shared" si="37"/>
        <v>0</v>
      </c>
      <c r="K242" s="707">
        <f t="shared" si="37"/>
        <v>0</v>
      </c>
      <c r="L242" s="707">
        <f t="shared" si="38"/>
        <v>0</v>
      </c>
      <c r="M242" s="707">
        <v>25840000</v>
      </c>
      <c r="N242" s="859"/>
      <c r="O242" s="865"/>
      <c r="P242" s="707">
        <f t="shared" si="39"/>
        <v>0</v>
      </c>
      <c r="Q242" s="878"/>
      <c r="R242" s="866"/>
      <c r="S242" s="928"/>
      <c r="T242" s="271"/>
      <c r="U242" s="271"/>
      <c r="V242" s="859">
        <f t="shared" si="40"/>
        <v>0</v>
      </c>
      <c r="W242" s="875"/>
    </row>
    <row r="243" spans="1:23" ht="13.5" customHeight="1">
      <c r="A243" s="857" t="str">
        <f t="shared" si="41"/>
        <v/>
      </c>
      <c r="B243" s="869"/>
      <c r="C243" s="858">
        <f>IF(ISNA(VLOOKUP(B243,NXT!$Q$61:$S$81,2,0)),0,VLOOKUP(B243,NXT!$Q$61:$S$81,2,0))</f>
        <v>0</v>
      </c>
      <c r="D243" s="707">
        <f t="shared" si="33"/>
        <v>0</v>
      </c>
      <c r="E243" s="707"/>
      <c r="F243" s="707"/>
      <c r="G243" s="859">
        <f t="shared" si="34"/>
        <v>0</v>
      </c>
      <c r="H243" s="707">
        <f t="shared" si="35"/>
        <v>0</v>
      </c>
      <c r="I243" s="707">
        <f t="shared" si="36"/>
        <v>0</v>
      </c>
      <c r="J243" s="707">
        <f t="shared" si="37"/>
        <v>0</v>
      </c>
      <c r="K243" s="707">
        <f t="shared" si="37"/>
        <v>0</v>
      </c>
      <c r="L243" s="707">
        <f t="shared" si="38"/>
        <v>0</v>
      </c>
      <c r="M243" s="707" t="e">
        <f>34560000/($O$67+#REF!+#REF!)*O243</f>
        <v>#REF!</v>
      </c>
      <c r="N243" s="859"/>
      <c r="O243" s="865"/>
      <c r="P243" s="707">
        <f t="shared" si="39"/>
        <v>0</v>
      </c>
      <c r="Q243" s="878"/>
      <c r="R243" s="866"/>
      <c r="S243" s="928"/>
      <c r="T243" s="271"/>
      <c r="U243" s="271"/>
      <c r="V243" s="859">
        <f t="shared" si="40"/>
        <v>0</v>
      </c>
      <c r="W243" s="875"/>
    </row>
    <row r="244" spans="1:23" ht="13.5" customHeight="1">
      <c r="A244" s="857" t="str">
        <f t="shared" si="41"/>
        <v/>
      </c>
      <c r="B244" s="869"/>
      <c r="C244" s="858">
        <f>IF(ISNA(VLOOKUP(B244,NXT!$Q$61:$S$81,2,0)),0,VLOOKUP(B244,NXT!$Q$61:$S$81,2,0))</f>
        <v>0</v>
      </c>
      <c r="D244" s="707">
        <f t="shared" si="33"/>
        <v>0</v>
      </c>
      <c r="E244" s="707"/>
      <c r="F244" s="707"/>
      <c r="G244" s="859">
        <f t="shared" si="34"/>
        <v>0</v>
      </c>
      <c r="H244" s="707">
        <f t="shared" si="35"/>
        <v>0</v>
      </c>
      <c r="I244" s="707">
        <f t="shared" si="36"/>
        <v>0</v>
      </c>
      <c r="J244" s="707">
        <f t="shared" si="37"/>
        <v>0</v>
      </c>
      <c r="K244" s="707">
        <f t="shared" si="37"/>
        <v>0</v>
      </c>
      <c r="L244" s="707">
        <f t="shared" si="38"/>
        <v>0</v>
      </c>
      <c r="M244" s="707"/>
      <c r="N244" s="859"/>
      <c r="O244" s="865"/>
      <c r="P244" s="707">
        <f t="shared" si="39"/>
        <v>0</v>
      </c>
      <c r="Q244" s="878"/>
      <c r="R244" s="866"/>
      <c r="S244" s="928"/>
      <c r="T244" s="271"/>
      <c r="U244" s="271"/>
      <c r="V244" s="859">
        <f t="shared" si="40"/>
        <v>0</v>
      </c>
      <c r="W244" s="875"/>
    </row>
    <row r="245" spans="1:23">
      <c r="A245" s="857" t="str">
        <f t="shared" si="41"/>
        <v/>
      </c>
      <c r="B245" s="869"/>
      <c r="C245" s="858"/>
      <c r="D245" s="707">
        <f t="shared" si="33"/>
        <v>0</v>
      </c>
      <c r="E245" s="707"/>
      <c r="F245" s="707"/>
      <c r="G245" s="859">
        <f t="shared" si="34"/>
        <v>0</v>
      </c>
      <c r="H245" s="707">
        <f t="shared" si="35"/>
        <v>0</v>
      </c>
      <c r="I245" s="707">
        <f t="shared" si="36"/>
        <v>0</v>
      </c>
      <c r="J245" s="707">
        <f t="shared" si="37"/>
        <v>0</v>
      </c>
      <c r="K245" s="707">
        <f t="shared" si="37"/>
        <v>0</v>
      </c>
      <c r="L245" s="707">
        <f t="shared" si="38"/>
        <v>0</v>
      </c>
      <c r="M245" s="707" t="e">
        <f>34560000/($O$67+#REF!+#REF!)*O245</f>
        <v>#REF!</v>
      </c>
      <c r="N245" s="859"/>
      <c r="O245" s="865"/>
      <c r="P245" s="707">
        <f t="shared" si="39"/>
        <v>0</v>
      </c>
      <c r="Q245" s="878"/>
      <c r="R245" s="866"/>
      <c r="S245" s="928"/>
      <c r="T245" s="271"/>
      <c r="U245" s="867"/>
      <c r="V245" s="859">
        <f t="shared" si="40"/>
        <v>0</v>
      </c>
      <c r="W245" s="875"/>
    </row>
    <row r="246" spans="1:23">
      <c r="A246" s="857" t="str">
        <f t="shared" si="41"/>
        <v/>
      </c>
      <c r="B246" s="870"/>
      <c r="C246" s="871"/>
      <c r="D246" s="873"/>
      <c r="E246" s="873"/>
      <c r="F246" s="873"/>
      <c r="G246" s="874"/>
      <c r="H246" s="919"/>
      <c r="I246" s="873"/>
      <c r="J246" s="875"/>
      <c r="K246" s="873"/>
      <c r="L246" s="876"/>
      <c r="M246" s="873"/>
      <c r="N246" s="907"/>
      <c r="O246" s="877"/>
      <c r="P246" s="873"/>
      <c r="Q246" s="878"/>
      <c r="R246" s="866"/>
      <c r="S246" s="930"/>
      <c r="T246" s="271"/>
      <c r="U246" s="271"/>
      <c r="V246" s="859">
        <f t="shared" si="40"/>
        <v>0</v>
      </c>
      <c r="W246" s="875"/>
    </row>
    <row r="247" spans="1:23" s="879" customFormat="1">
      <c r="A247" s="880"/>
      <c r="B247" s="881" t="s">
        <v>725</v>
      </c>
      <c r="C247" s="882"/>
      <c r="D247" s="883">
        <f>SUM(D240:D245)</f>
        <v>0</v>
      </c>
      <c r="E247" s="883">
        <f>SUM(E240:E245)</f>
        <v>0</v>
      </c>
      <c r="F247" s="883"/>
      <c r="G247" s="883">
        <f>SUM(G240:G245)</f>
        <v>0</v>
      </c>
      <c r="H247" s="884"/>
      <c r="I247" s="884">
        <f>V251</f>
        <v>0</v>
      </c>
      <c r="J247" s="884"/>
      <c r="K247" s="884"/>
      <c r="L247" s="883">
        <f>ROUND(SUM(L240:L246),0)</f>
        <v>0</v>
      </c>
      <c r="M247" s="883" t="e">
        <f>ROUND(SUM(M240:M246),0)</f>
        <v>#REF!</v>
      </c>
      <c r="N247" s="883">
        <f>ROUND(SUM(N240:N246),0)</f>
        <v>0</v>
      </c>
      <c r="O247" s="883">
        <f>ROUND(SUM(O240:O246),0)</f>
        <v>0</v>
      </c>
      <c r="P247" s="883"/>
      <c r="Q247" s="878"/>
      <c r="R247" s="866"/>
      <c r="S247" s="930"/>
      <c r="T247" s="889"/>
      <c r="U247" s="867"/>
      <c r="V247" s="859">
        <f t="shared" si="40"/>
        <v>0</v>
      </c>
      <c r="W247" s="875"/>
    </row>
    <row r="248" spans="1:23" s="834" customFormat="1">
      <c r="A248" s="830"/>
      <c r="B248" s="830"/>
      <c r="C248" s="830"/>
      <c r="D248" s="830"/>
      <c r="E248" s="830"/>
      <c r="F248" s="830"/>
      <c r="G248" s="830"/>
      <c r="H248" s="830"/>
      <c r="I248" s="830"/>
      <c r="J248" s="830"/>
      <c r="K248" s="830"/>
      <c r="L248" s="830"/>
      <c r="M248" s="830"/>
      <c r="N248" s="830"/>
      <c r="O248" s="830"/>
      <c r="P248" s="830"/>
      <c r="Q248" s="878"/>
      <c r="R248" s="931"/>
      <c r="S248" s="930"/>
      <c r="T248" s="889"/>
      <c r="U248" s="867"/>
      <c r="V248" s="859">
        <f t="shared" si="40"/>
        <v>0</v>
      </c>
      <c r="W248" s="875"/>
    </row>
    <row r="249" spans="1:23">
      <c r="Q249" s="878"/>
      <c r="R249" s="587"/>
      <c r="S249" s="930"/>
      <c r="T249" s="271"/>
      <c r="U249" s="271"/>
      <c r="V249" s="859">
        <f t="shared" si="40"/>
        <v>0</v>
      </c>
      <c r="W249" s="875"/>
    </row>
    <row r="250" spans="1:23">
      <c r="Q250" s="878"/>
      <c r="R250" s="932"/>
      <c r="S250" s="862"/>
      <c r="T250" s="271"/>
      <c r="U250" s="271"/>
      <c r="V250" s="875"/>
      <c r="W250" s="875"/>
    </row>
    <row r="251" spans="1:23">
      <c r="Q251" s="878"/>
      <c r="R251" s="912"/>
      <c r="S251" s="913"/>
      <c r="T251" s="914"/>
      <c r="U251" s="933"/>
      <c r="V251" s="893">
        <f>SUM(V240:V250)</f>
        <v>0</v>
      </c>
      <c r="W251" s="893">
        <f>SUM(W240:W250)</f>
        <v>0</v>
      </c>
    </row>
    <row r="252" spans="1:23">
      <c r="R252" s="889"/>
      <c r="S252" s="928"/>
      <c r="T252" s="271"/>
      <c r="U252" s="271"/>
      <c r="V252" s="859">
        <f t="shared" ref="V252:V257" si="42">ROUND(T252*U252,0)</f>
        <v>0</v>
      </c>
      <c r="W252" s="859"/>
    </row>
    <row r="253" spans="1:23">
      <c r="R253" s="866"/>
      <c r="S253" s="928"/>
      <c r="T253" s="867"/>
      <c r="U253" s="867"/>
      <c r="V253" s="859">
        <f t="shared" si="42"/>
        <v>0</v>
      </c>
      <c r="W253" s="875"/>
    </row>
    <row r="254" spans="1:23">
      <c r="R254" s="889"/>
      <c r="S254" s="928"/>
      <c r="T254" s="867"/>
      <c r="U254" s="867"/>
      <c r="V254" s="859">
        <f t="shared" si="42"/>
        <v>0</v>
      </c>
      <c r="W254" s="875"/>
    </row>
    <row r="255" spans="1:23">
      <c r="R255" s="866"/>
      <c r="S255" s="862"/>
      <c r="T255" s="867"/>
      <c r="U255" s="867"/>
      <c r="V255" s="859">
        <f t="shared" si="42"/>
        <v>0</v>
      </c>
      <c r="W255" s="875"/>
    </row>
    <row r="256" spans="1:23">
      <c r="R256" s="866"/>
      <c r="S256" s="862"/>
      <c r="T256" s="867"/>
      <c r="U256" s="867"/>
      <c r="V256" s="859">
        <f t="shared" si="42"/>
        <v>0</v>
      </c>
      <c r="W256" s="875"/>
    </row>
    <row r="257" spans="1:23">
      <c r="R257" s="889"/>
      <c r="S257" s="862"/>
      <c r="T257" s="867"/>
      <c r="U257" s="867"/>
      <c r="V257" s="859">
        <f t="shared" si="42"/>
        <v>0</v>
      </c>
      <c r="W257" s="875"/>
    </row>
    <row r="258" spans="1:23">
      <c r="R258" s="889"/>
      <c r="S258" s="862"/>
      <c r="T258" s="867"/>
      <c r="U258" s="867"/>
      <c r="V258" s="938">
        <f>SUM(V252:V257)</f>
        <v>0</v>
      </c>
      <c r="W258" s="875"/>
    </row>
    <row r="259" spans="1:23">
      <c r="A259" s="841"/>
      <c r="B259" s="841"/>
      <c r="C259" s="841"/>
      <c r="D259" s="841"/>
      <c r="E259" s="841"/>
      <c r="F259" s="841"/>
      <c r="G259" s="841"/>
      <c r="H259" s="841"/>
      <c r="I259" s="841"/>
      <c r="J259" s="841"/>
      <c r="K259" s="841"/>
      <c r="L259" s="841"/>
      <c r="M259" s="841"/>
      <c r="N259" s="841"/>
      <c r="O259" s="841"/>
      <c r="P259" s="841"/>
      <c r="R259" s="833"/>
      <c r="S259" s="840"/>
    </row>
    <row r="260" spans="1:23" ht="20.25" customHeight="1">
      <c r="A260" s="834" t="s">
        <v>708</v>
      </c>
      <c r="B260" s="834"/>
      <c r="C260" s="835"/>
      <c r="D260" s="836"/>
      <c r="E260" s="836"/>
      <c r="F260" s="836"/>
      <c r="G260" s="833"/>
      <c r="H260" s="833"/>
      <c r="I260" s="833"/>
      <c r="J260" s="833"/>
      <c r="K260" s="833"/>
      <c r="L260" s="837"/>
      <c r="M260" s="833"/>
      <c r="N260" s="833"/>
      <c r="O260" s="838"/>
      <c r="P260" s="833"/>
      <c r="Q260" s="839"/>
      <c r="R260" s="833"/>
      <c r="S260" s="840"/>
    </row>
    <row r="261" spans="1:23" ht="20.25" customHeight="1">
      <c r="A261" s="841" t="s">
        <v>736</v>
      </c>
      <c r="B261" s="841"/>
      <c r="C261" s="841"/>
      <c r="D261" s="841"/>
      <c r="E261" s="841"/>
      <c r="F261" s="841"/>
      <c r="G261" s="841"/>
      <c r="H261" s="841"/>
      <c r="I261" s="841"/>
      <c r="J261" s="841"/>
      <c r="K261" s="841"/>
      <c r="L261" s="841"/>
      <c r="M261" s="841"/>
      <c r="N261" s="841"/>
      <c r="O261" s="841"/>
      <c r="P261" s="841"/>
      <c r="Q261" s="839"/>
      <c r="R261" s="833"/>
      <c r="S261" s="840"/>
    </row>
    <row r="262" spans="1:23" ht="12" customHeight="1">
      <c r="A262" s="842"/>
      <c r="B262" s="842"/>
      <c r="C262" s="843"/>
      <c r="D262" s="842"/>
      <c r="E262" s="842"/>
      <c r="F262" s="842"/>
      <c r="G262" s="842"/>
      <c r="H262" s="842"/>
      <c r="I262" s="842"/>
      <c r="J262" s="842"/>
      <c r="K262" s="842"/>
      <c r="L262" s="841"/>
      <c r="M262" s="842"/>
      <c r="N262" s="842"/>
      <c r="O262" s="844"/>
      <c r="P262" s="842"/>
      <c r="Q262" s="839"/>
      <c r="R262" s="833"/>
      <c r="S262" s="840"/>
    </row>
    <row r="263" spans="1:23" ht="12" customHeight="1">
      <c r="A263" s="845"/>
      <c r="B263" s="845"/>
      <c r="C263" s="846"/>
      <c r="D263" s="845"/>
      <c r="E263" s="845"/>
      <c r="F263" s="845"/>
      <c r="G263" s="845"/>
      <c r="H263" s="845"/>
      <c r="I263" s="845"/>
      <c r="J263" s="845"/>
      <c r="K263" s="845"/>
      <c r="L263" s="845"/>
      <c r="M263" s="845"/>
      <c r="N263" s="845"/>
      <c r="O263" s="847"/>
      <c r="P263" s="845"/>
      <c r="Q263" s="839"/>
      <c r="R263" s="833"/>
      <c r="S263" s="840"/>
    </row>
    <row r="264" spans="1:23" ht="36.75" customHeight="1">
      <c r="A264" s="850" t="s">
        <v>46</v>
      </c>
      <c r="B264" s="850" t="s">
        <v>710</v>
      </c>
      <c r="C264" s="851" t="s">
        <v>711</v>
      </c>
      <c r="D264" s="852" t="s">
        <v>712</v>
      </c>
      <c r="E264" s="852" t="s">
        <v>713</v>
      </c>
      <c r="F264" s="852" t="s">
        <v>714</v>
      </c>
      <c r="G264" s="852" t="s">
        <v>715</v>
      </c>
      <c r="H264" s="852" t="s">
        <v>716</v>
      </c>
      <c r="I264" s="852" t="s">
        <v>717</v>
      </c>
      <c r="J264" s="852" t="s">
        <v>718</v>
      </c>
      <c r="K264" s="853" t="s">
        <v>719</v>
      </c>
      <c r="L264" s="852" t="s">
        <v>720</v>
      </c>
      <c r="M264" s="853" t="s">
        <v>721</v>
      </c>
      <c r="N264" s="852" t="s">
        <v>722</v>
      </c>
      <c r="O264" s="854" t="s">
        <v>713</v>
      </c>
      <c r="P264" s="852" t="s">
        <v>723</v>
      </c>
      <c r="Q264" s="839"/>
      <c r="R264" s="850" t="s">
        <v>710</v>
      </c>
      <c r="S264" s="852" t="s">
        <v>677</v>
      </c>
      <c r="T264" s="852" t="s">
        <v>535</v>
      </c>
      <c r="U264" s="852" t="s">
        <v>714</v>
      </c>
      <c r="V264" s="852" t="s">
        <v>724</v>
      </c>
      <c r="W264" s="850" t="s">
        <v>724</v>
      </c>
    </row>
    <row r="265" spans="1:23" s="856" customFormat="1" ht="13.5" customHeight="1">
      <c r="A265" s="857" t="str">
        <f>IF(B265&lt;&gt;"",ROW()-(ROW()-1),"")</f>
        <v/>
      </c>
      <c r="B265" s="935"/>
      <c r="C265" s="858">
        <f>IF(ISNA(VLOOKUP(B265,NXT!$Q$61:$S$81,2,0)),0,VLOOKUP(B265,NXT!$Q$61:$S$81,2,0))</f>
        <v>0</v>
      </c>
      <c r="D265" s="707">
        <f t="shared" ref="D265:D270" si="43">ROUND(C265*O265,0)</f>
        <v>0</v>
      </c>
      <c r="E265" s="707"/>
      <c r="F265" s="707"/>
      <c r="G265" s="859">
        <f t="shared" ref="G265:G270" si="44">(D265+E265)*F265</f>
        <v>0</v>
      </c>
      <c r="H265" s="707">
        <f t="shared" ref="H265:H270" si="45">IF($D$272&lt;&gt;0,H$272/($D$272+$E$272/4)*($D265+$E265/4),0)</f>
        <v>0</v>
      </c>
      <c r="I265" s="707">
        <f t="shared" ref="I265:I270" si="46">IF($D$272&lt;&gt;0,I$272/$D$272*$D265,0)</f>
        <v>0</v>
      </c>
      <c r="J265" s="707">
        <f t="shared" ref="J265:K270" si="47">IF($D$272&lt;&gt;0,J$272/$D$272*$D265,0)</f>
        <v>0</v>
      </c>
      <c r="K265" s="707">
        <f t="shared" si="47"/>
        <v>0</v>
      </c>
      <c r="L265" s="939"/>
      <c r="M265" s="707" t="e">
        <f>34560000/($O$67+#REF!+#REF!)*O265</f>
        <v>#REF!</v>
      </c>
      <c r="N265" s="859">
        <f t="shared" ref="N265:N270" si="48">ROUND(SUM(G265:L265),0)</f>
        <v>0</v>
      </c>
      <c r="O265" s="707"/>
      <c r="P265" s="707">
        <f t="shared" ref="P265:P270" si="49">IF(N265&lt;&gt;0,N265/O265,0)</f>
        <v>0</v>
      </c>
      <c r="Q265" s="855"/>
      <c r="R265" s="861"/>
      <c r="S265" s="928"/>
      <c r="T265" s="271"/>
      <c r="U265" s="271"/>
      <c r="V265" s="859">
        <f t="shared" ref="V265:V274" si="50">ROUND(T265*U265,0)</f>
        <v>0</v>
      </c>
      <c r="W265" s="859"/>
    </row>
    <row r="266" spans="1:23" ht="13.5" customHeight="1">
      <c r="A266" s="857" t="str">
        <f t="shared" ref="A266:A271" si="51">IF(B266&lt;&gt;"",A265+1,"")</f>
        <v/>
      </c>
      <c r="B266" s="869"/>
      <c r="C266" s="858">
        <f>IF(ISNA(VLOOKUP(B266,NXT!$Q$61:$S$81,2,0)),0,VLOOKUP(B266,NXT!$Q$61:$S$81,2,0))</f>
        <v>0</v>
      </c>
      <c r="D266" s="707">
        <f t="shared" si="43"/>
        <v>0</v>
      </c>
      <c r="E266" s="707"/>
      <c r="F266" s="707"/>
      <c r="G266" s="859">
        <f t="shared" si="44"/>
        <v>0</v>
      </c>
      <c r="H266" s="707">
        <f t="shared" si="45"/>
        <v>0</v>
      </c>
      <c r="I266" s="707">
        <f t="shared" si="46"/>
        <v>0</v>
      </c>
      <c r="J266" s="707">
        <f t="shared" si="47"/>
        <v>0</v>
      </c>
      <c r="K266" s="707">
        <f t="shared" si="47"/>
        <v>0</v>
      </c>
      <c r="L266" s="939"/>
      <c r="M266" s="707"/>
      <c r="N266" s="859">
        <f t="shared" si="48"/>
        <v>0</v>
      </c>
      <c r="O266" s="865"/>
      <c r="P266" s="707">
        <f t="shared" si="49"/>
        <v>0</v>
      </c>
      <c r="Q266" s="878"/>
      <c r="R266" s="866"/>
      <c r="S266" s="928"/>
      <c r="T266" s="271"/>
      <c r="U266" s="271"/>
      <c r="V266" s="859">
        <f t="shared" si="50"/>
        <v>0</v>
      </c>
      <c r="W266" s="875"/>
    </row>
    <row r="267" spans="1:23" ht="13.5" customHeight="1">
      <c r="A267" s="857" t="str">
        <f t="shared" si="51"/>
        <v/>
      </c>
      <c r="B267" s="869"/>
      <c r="C267" s="858">
        <f>IF(ISNA(VLOOKUP(B267,NXT!$Q$61:$S$81,2,0)),0,VLOOKUP(B267,NXT!$Q$61:$S$81,2,0))</f>
        <v>0</v>
      </c>
      <c r="D267" s="707">
        <f t="shared" si="43"/>
        <v>0</v>
      </c>
      <c r="E267" s="707"/>
      <c r="F267" s="707"/>
      <c r="G267" s="859">
        <f t="shared" si="44"/>
        <v>0</v>
      </c>
      <c r="H267" s="707">
        <f t="shared" si="45"/>
        <v>0</v>
      </c>
      <c r="I267" s="707">
        <f t="shared" si="46"/>
        <v>0</v>
      </c>
      <c r="J267" s="707">
        <f t="shared" si="47"/>
        <v>0</v>
      </c>
      <c r="K267" s="707">
        <f t="shared" si="47"/>
        <v>0</v>
      </c>
      <c r="L267" s="939"/>
      <c r="M267" s="707">
        <v>25840000</v>
      </c>
      <c r="N267" s="859">
        <f t="shared" si="48"/>
        <v>0</v>
      </c>
      <c r="O267" s="865"/>
      <c r="P267" s="707">
        <f t="shared" si="49"/>
        <v>0</v>
      </c>
      <c r="Q267" s="878"/>
      <c r="R267" s="866"/>
      <c r="S267" s="928"/>
      <c r="T267" s="271"/>
      <c r="U267" s="271"/>
      <c r="V267" s="859">
        <f t="shared" si="50"/>
        <v>0</v>
      </c>
      <c r="W267" s="875"/>
    </row>
    <row r="268" spans="1:23" ht="13.5" customHeight="1">
      <c r="A268" s="857" t="str">
        <f t="shared" si="51"/>
        <v/>
      </c>
      <c r="B268" s="869"/>
      <c r="C268" s="858">
        <f>IF(ISNA(VLOOKUP(B268,NXT!$Q$61:$S$81,2,0)),0,VLOOKUP(B268,NXT!$Q$61:$S$81,2,0))</f>
        <v>0</v>
      </c>
      <c r="D268" s="707">
        <f t="shared" si="43"/>
        <v>0</v>
      </c>
      <c r="E268" s="707"/>
      <c r="F268" s="707"/>
      <c r="G268" s="859">
        <f t="shared" si="44"/>
        <v>0</v>
      </c>
      <c r="H268" s="707">
        <f t="shared" si="45"/>
        <v>0</v>
      </c>
      <c r="I268" s="707">
        <f t="shared" si="46"/>
        <v>0</v>
      </c>
      <c r="J268" s="707">
        <f t="shared" si="47"/>
        <v>0</v>
      </c>
      <c r="K268" s="707">
        <f t="shared" si="47"/>
        <v>0</v>
      </c>
      <c r="L268" s="707"/>
      <c r="M268" s="707" t="e">
        <f>34560000/($O$67+#REF!+#REF!)*O268</f>
        <v>#REF!</v>
      </c>
      <c r="N268" s="859">
        <f t="shared" si="48"/>
        <v>0</v>
      </c>
      <c r="O268" s="865"/>
      <c r="P268" s="707">
        <f t="shared" si="49"/>
        <v>0</v>
      </c>
      <c r="Q268" s="878"/>
      <c r="R268" s="866"/>
      <c r="S268" s="928"/>
      <c r="T268" s="271"/>
      <c r="U268" s="271"/>
      <c r="V268" s="859">
        <f t="shared" si="50"/>
        <v>0</v>
      </c>
      <c r="W268" s="875"/>
    </row>
    <row r="269" spans="1:23" ht="13.5" customHeight="1">
      <c r="A269" s="857" t="str">
        <f t="shared" si="51"/>
        <v/>
      </c>
      <c r="B269" s="869"/>
      <c r="C269" s="858">
        <f>IF(ISNA(VLOOKUP(B269,NXT!$Q$61:$S$81,2,0)),0,VLOOKUP(B269,NXT!$Q$61:$S$81,2,0))</f>
        <v>0</v>
      </c>
      <c r="D269" s="707">
        <f t="shared" si="43"/>
        <v>0</v>
      </c>
      <c r="E269" s="707"/>
      <c r="F269" s="707"/>
      <c r="G269" s="859">
        <f t="shared" si="44"/>
        <v>0</v>
      </c>
      <c r="H269" s="707">
        <f t="shared" si="45"/>
        <v>0</v>
      </c>
      <c r="I269" s="707">
        <f t="shared" si="46"/>
        <v>0</v>
      </c>
      <c r="J269" s="707">
        <f t="shared" si="47"/>
        <v>0</v>
      </c>
      <c r="K269" s="707">
        <f t="shared" si="47"/>
        <v>0</v>
      </c>
      <c r="L269" s="707"/>
      <c r="M269" s="707"/>
      <c r="N269" s="859">
        <f t="shared" si="48"/>
        <v>0</v>
      </c>
      <c r="O269" s="865"/>
      <c r="P269" s="707">
        <f t="shared" si="49"/>
        <v>0</v>
      </c>
      <c r="Q269" s="878"/>
      <c r="R269" s="866"/>
      <c r="S269" s="928"/>
      <c r="T269" s="271"/>
      <c r="U269" s="271"/>
      <c r="V269" s="859">
        <f t="shared" si="50"/>
        <v>0</v>
      </c>
      <c r="W269" s="875"/>
    </row>
    <row r="270" spans="1:23">
      <c r="A270" s="857" t="str">
        <f t="shared" si="51"/>
        <v/>
      </c>
      <c r="B270" s="869"/>
      <c r="C270" s="858">
        <f>IF(ISNA(VLOOKUP(B270,NXT!$Q$61:$S$81,2,0)),0,VLOOKUP(B270,NXT!$Q$61:$S$81,2,0))</f>
        <v>0</v>
      </c>
      <c r="D270" s="707">
        <f t="shared" si="43"/>
        <v>0</v>
      </c>
      <c r="E270" s="707"/>
      <c r="F270" s="707"/>
      <c r="G270" s="859">
        <f t="shared" si="44"/>
        <v>0</v>
      </c>
      <c r="H270" s="707">
        <f t="shared" si="45"/>
        <v>0</v>
      </c>
      <c r="I270" s="707">
        <f t="shared" si="46"/>
        <v>0</v>
      </c>
      <c r="J270" s="707">
        <f t="shared" si="47"/>
        <v>0</v>
      </c>
      <c r="K270" s="707">
        <f t="shared" si="47"/>
        <v>0</v>
      </c>
      <c r="L270" s="707"/>
      <c r="M270" s="707" t="e">
        <f>34560000/($O$67+#REF!+#REF!)*O270</f>
        <v>#REF!</v>
      </c>
      <c r="N270" s="859">
        <f t="shared" si="48"/>
        <v>0</v>
      </c>
      <c r="O270" s="865"/>
      <c r="P270" s="707">
        <f t="shared" si="49"/>
        <v>0</v>
      </c>
      <c r="Q270" s="878"/>
      <c r="R270" s="866"/>
      <c r="S270" s="928"/>
      <c r="T270" s="271"/>
      <c r="U270" s="867"/>
      <c r="V270" s="859">
        <f t="shared" si="50"/>
        <v>0</v>
      </c>
      <c r="W270" s="875"/>
    </row>
    <row r="271" spans="1:23">
      <c r="A271" s="857" t="str">
        <f t="shared" si="51"/>
        <v/>
      </c>
      <c r="B271" s="870"/>
      <c r="C271" s="871"/>
      <c r="D271" s="873"/>
      <c r="E271" s="873"/>
      <c r="F271" s="873"/>
      <c r="G271" s="874"/>
      <c r="H271" s="919"/>
      <c r="I271" s="873"/>
      <c r="J271" s="875"/>
      <c r="K271" s="873"/>
      <c r="L271" s="876"/>
      <c r="M271" s="873"/>
      <c r="N271" s="907"/>
      <c r="O271" s="877"/>
      <c r="P271" s="873"/>
      <c r="Q271" s="878"/>
      <c r="R271" s="866"/>
      <c r="S271" s="928"/>
      <c r="T271" s="271"/>
      <c r="U271" s="271"/>
      <c r="V271" s="859">
        <f t="shared" si="50"/>
        <v>0</v>
      </c>
      <c r="W271" s="875"/>
    </row>
    <row r="272" spans="1:23" s="879" customFormat="1">
      <c r="A272" s="880"/>
      <c r="B272" s="881" t="s">
        <v>725</v>
      </c>
      <c r="C272" s="882"/>
      <c r="D272" s="883">
        <f>SUM(D265:D270)</f>
        <v>0</v>
      </c>
      <c r="E272" s="883">
        <f>SUM(E265:E270)</f>
        <v>0</v>
      </c>
      <c r="F272" s="883"/>
      <c r="G272" s="883">
        <f>SUM(G265:G270)</f>
        <v>0</v>
      </c>
      <c r="H272" s="884"/>
      <c r="I272" s="884">
        <f>V276</f>
        <v>0</v>
      </c>
      <c r="J272" s="884"/>
      <c r="K272" s="884"/>
      <c r="L272" s="883">
        <f>ROUND(SUM(L265:L271),0)</f>
        <v>0</v>
      </c>
      <c r="M272" s="883" t="e">
        <f>ROUND(SUM(M265:M271),0)</f>
        <v>#REF!</v>
      </c>
      <c r="N272" s="883">
        <f>ROUND(SUM(N265:N271),0)</f>
        <v>0</v>
      </c>
      <c r="O272" s="883">
        <f>ROUND(SUM(O265:O271),0)</f>
        <v>0</v>
      </c>
      <c r="P272" s="883"/>
      <c r="Q272" s="878"/>
      <c r="R272" s="866"/>
      <c r="S272" s="862"/>
      <c r="T272" s="889"/>
      <c r="U272" s="867"/>
      <c r="V272" s="859">
        <f t="shared" si="50"/>
        <v>0</v>
      </c>
      <c r="W272" s="875"/>
    </row>
    <row r="273" spans="1:23" s="834" customFormat="1">
      <c r="A273" s="830"/>
      <c r="B273" s="830"/>
      <c r="C273" s="830"/>
      <c r="D273" s="830"/>
      <c r="E273" s="830"/>
      <c r="F273" s="830"/>
      <c r="G273" s="830"/>
      <c r="H273" s="830"/>
      <c r="I273" s="830"/>
      <c r="J273" s="830"/>
      <c r="K273" s="830"/>
      <c r="L273" s="830"/>
      <c r="M273" s="830"/>
      <c r="N273" s="830"/>
      <c r="O273" s="830"/>
      <c r="P273" s="830"/>
      <c r="Q273" s="878"/>
      <c r="R273" s="931"/>
      <c r="S273" s="862"/>
      <c r="T273" s="889"/>
      <c r="U273" s="867"/>
      <c r="V273" s="859">
        <f t="shared" si="50"/>
        <v>0</v>
      </c>
      <c r="W273" s="875"/>
    </row>
    <row r="274" spans="1:23">
      <c r="L274" s="838">
        <f>L272-V284</f>
        <v>0</v>
      </c>
      <c r="Q274" s="878"/>
      <c r="R274" s="587"/>
      <c r="S274" s="862"/>
      <c r="T274" s="271"/>
      <c r="U274" s="271"/>
      <c r="V274" s="859">
        <f t="shared" si="50"/>
        <v>0</v>
      </c>
      <c r="W274" s="875"/>
    </row>
    <row r="275" spans="1:23">
      <c r="Q275" s="878"/>
      <c r="R275" s="932"/>
      <c r="S275" s="862"/>
      <c r="T275" s="271"/>
      <c r="U275" s="271"/>
      <c r="V275" s="875"/>
      <c r="W275" s="875"/>
    </row>
    <row r="276" spans="1:23">
      <c r="Q276" s="878"/>
      <c r="R276" s="912"/>
      <c r="S276" s="913"/>
      <c r="T276" s="914"/>
      <c r="U276" s="933"/>
      <c r="V276" s="893">
        <f>SUM(V265:V275)</f>
        <v>0</v>
      </c>
      <c r="W276" s="893">
        <f>SUM(W265:W275)</f>
        <v>0</v>
      </c>
    </row>
    <row r="277" spans="1:23">
      <c r="R277" s="915"/>
      <c r="S277" s="928"/>
      <c r="T277" s="271"/>
      <c r="U277" s="271"/>
      <c r="V277" s="859">
        <f t="shared" ref="V277:V283" si="52">ROUND(T277*U277,0)</f>
        <v>0</v>
      </c>
      <c r="W277" s="859"/>
    </row>
    <row r="278" spans="1:23">
      <c r="R278" s="866"/>
      <c r="S278" s="928"/>
      <c r="T278" s="867"/>
      <c r="U278" s="271"/>
      <c r="V278" s="859">
        <f t="shared" si="52"/>
        <v>0</v>
      </c>
      <c r="W278" s="875"/>
    </row>
    <row r="279" spans="1:23">
      <c r="R279" s="866"/>
      <c r="S279" s="928"/>
      <c r="T279" s="867"/>
      <c r="U279" s="271"/>
      <c r="V279" s="859">
        <f t="shared" si="52"/>
        <v>0</v>
      </c>
      <c r="W279" s="875"/>
    </row>
    <row r="280" spans="1:23">
      <c r="R280" s="866"/>
      <c r="S280" s="928"/>
      <c r="T280" s="867"/>
      <c r="U280" s="867"/>
      <c r="V280" s="859">
        <f t="shared" si="52"/>
        <v>0</v>
      </c>
      <c r="W280" s="875"/>
    </row>
    <row r="281" spans="1:23">
      <c r="R281" s="866"/>
      <c r="S281" s="862"/>
      <c r="T281" s="867"/>
      <c r="U281" s="867"/>
      <c r="V281" s="859">
        <f t="shared" si="52"/>
        <v>0</v>
      </c>
      <c r="W281" s="875"/>
    </row>
    <row r="282" spans="1:23">
      <c r="R282" s="866"/>
      <c r="S282" s="862"/>
      <c r="T282" s="867"/>
      <c r="U282" s="867"/>
      <c r="V282" s="859">
        <f t="shared" si="52"/>
        <v>0</v>
      </c>
      <c r="W282" s="875"/>
    </row>
    <row r="283" spans="1:23">
      <c r="R283" s="889"/>
      <c r="S283" s="862"/>
      <c r="T283" s="867"/>
      <c r="U283" s="867"/>
      <c r="V283" s="859">
        <f t="shared" si="52"/>
        <v>0</v>
      </c>
      <c r="W283" s="875"/>
    </row>
    <row r="284" spans="1:23">
      <c r="R284" s="889"/>
      <c r="S284" s="862"/>
      <c r="T284" s="867"/>
      <c r="U284" s="867"/>
      <c r="V284" s="938">
        <f>SUM(V277:V283)</f>
        <v>0</v>
      </c>
      <c r="W284" s="875"/>
    </row>
    <row r="286" spans="1:23">
      <c r="G286" s="833"/>
      <c r="N286" s="833"/>
    </row>
    <row r="287" spans="1:23">
      <c r="G287" s="833"/>
      <c r="H287" s="833"/>
      <c r="I287" s="833"/>
      <c r="J287" s="833"/>
      <c r="K287" s="833"/>
      <c r="L287" s="833"/>
      <c r="M287" s="833"/>
      <c r="N287" s="833"/>
    </row>
    <row r="288" spans="1:23">
      <c r="G288" s="895"/>
      <c r="N288" s="895"/>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9" customWidth="1"/>
    <col min="2" max="2" width="15.7109375" style="969" customWidth="1"/>
    <col min="3" max="3" width="16.85546875" style="969" customWidth="1"/>
    <col min="4" max="8" width="15.28515625" style="969" customWidth="1"/>
    <col min="9" max="9" width="10.140625" style="969" customWidth="1"/>
    <col min="10" max="10" width="5.85546875" style="969" customWidth="1"/>
    <col min="11" max="16384" width="10.28515625" style="969"/>
  </cols>
  <sheetData>
    <row r="1" spans="1:10" s="941" customFormat="1" ht="15" customHeight="1">
      <c r="A1" s="940" t="s">
        <v>514</v>
      </c>
      <c r="B1" s="940"/>
      <c r="D1" s="942"/>
      <c r="E1" s="942"/>
      <c r="F1" s="1257" t="s">
        <v>737</v>
      </c>
      <c r="G1" s="1257"/>
      <c r="H1" s="1257"/>
      <c r="I1" s="943"/>
      <c r="J1" s="944"/>
    </row>
    <row r="2" spans="1:10" s="941" customFormat="1" ht="29.25" customHeight="1">
      <c r="A2" s="940" t="s">
        <v>738</v>
      </c>
      <c r="B2" s="940"/>
      <c r="D2" s="945"/>
      <c r="E2" s="945"/>
      <c r="F2" s="1258" t="s">
        <v>224</v>
      </c>
      <c r="G2" s="1258"/>
      <c r="H2" s="1258"/>
      <c r="I2" s="943"/>
      <c r="J2" s="797">
        <v>1</v>
      </c>
    </row>
    <row r="3" spans="1:10" s="941" customFormat="1" ht="15">
      <c r="A3" s="946"/>
      <c r="B3" s="947"/>
      <c r="C3" s="945"/>
      <c r="D3" s="945"/>
      <c r="E3" s="945"/>
      <c r="F3" s="1258"/>
      <c r="G3" s="1258"/>
      <c r="H3" s="1258"/>
      <c r="I3" s="943"/>
    </row>
    <row r="4" spans="1:10" s="949" customFormat="1" ht="17.25" customHeight="1">
      <c r="A4" s="1259" t="s">
        <v>739</v>
      </c>
      <c r="B4" s="1259"/>
      <c r="C4" s="1259"/>
      <c r="D4" s="1259"/>
      <c r="E4" s="1259"/>
      <c r="F4" s="1259"/>
      <c r="G4" s="1259"/>
      <c r="H4" s="1259"/>
      <c r="I4" s="948"/>
    </row>
    <row r="5" spans="1:10" s="950" customFormat="1" ht="17.25" customHeight="1">
      <c r="B5" s="951"/>
      <c r="C5" s="952" t="s">
        <v>642</v>
      </c>
      <c r="D5" s="951" t="str">
        <f>IF($J$2&lt;10,"0"&amp;$J$2&amp;"  năm 2016",$J$2&amp;"  năm 2016")</f>
        <v>01  năm 2016</v>
      </c>
      <c r="E5" s="951"/>
      <c r="F5" s="951"/>
      <c r="G5" s="951"/>
      <c r="H5" s="951"/>
      <c r="I5" s="953"/>
    </row>
    <row r="6" spans="1:10" s="950" customFormat="1" ht="17.25" customHeight="1">
      <c r="B6" s="954"/>
      <c r="C6" s="1260" t="s">
        <v>740</v>
      </c>
      <c r="D6" s="1260"/>
      <c r="E6" s="1261" t="s">
        <v>627</v>
      </c>
      <c r="F6" s="1261"/>
      <c r="H6" s="954"/>
      <c r="I6" s="953"/>
    </row>
    <row r="7" spans="1:10" s="957" customFormat="1" ht="9.75" customHeight="1">
      <c r="A7" s="955"/>
      <c r="B7" s="955"/>
      <c r="C7" s="955"/>
      <c r="D7" s="955"/>
      <c r="E7" s="955"/>
      <c r="F7" s="955"/>
      <c r="G7" s="955"/>
      <c r="H7" s="955"/>
      <c r="I7" s="956"/>
    </row>
    <row r="8" spans="1:10" s="959" customFormat="1" ht="17.25" customHeight="1">
      <c r="A8" s="1262" t="s">
        <v>741</v>
      </c>
      <c r="B8" s="1263" t="s">
        <v>742</v>
      </c>
      <c r="C8" s="1263" t="s">
        <v>743</v>
      </c>
      <c r="D8" s="1263"/>
      <c r="E8" s="1263"/>
      <c r="F8" s="1263"/>
      <c r="G8" s="1263"/>
      <c r="H8" s="1263"/>
      <c r="I8" s="958"/>
    </row>
    <row r="9" spans="1:10" s="962" customFormat="1" ht="28.5">
      <c r="A9" s="1262"/>
      <c r="B9" s="1263"/>
      <c r="C9" s="960" t="s">
        <v>744</v>
      </c>
      <c r="D9" s="960" t="s">
        <v>745</v>
      </c>
      <c r="E9" s="960" t="s">
        <v>746</v>
      </c>
      <c r="F9" s="960" t="s">
        <v>747</v>
      </c>
      <c r="G9" s="960" t="s">
        <v>748</v>
      </c>
      <c r="H9" s="960" t="s">
        <v>749</v>
      </c>
      <c r="I9" s="961"/>
    </row>
    <row r="10" spans="1:10" s="965" customFormat="1" ht="15">
      <c r="A10" s="963" t="s">
        <v>2</v>
      </c>
      <c r="B10" s="964">
        <v>1</v>
      </c>
      <c r="C10" s="964">
        <v>2</v>
      </c>
      <c r="D10" s="964">
        <v>3</v>
      </c>
      <c r="E10" s="964">
        <v>4</v>
      </c>
      <c r="F10" s="964">
        <v>5</v>
      </c>
      <c r="G10" s="964">
        <v>6</v>
      </c>
      <c r="H10" s="964">
        <v>7</v>
      </c>
      <c r="I10" s="943"/>
    </row>
    <row r="11" spans="1:10" s="950" customFormat="1" ht="15">
      <c r="A11" s="966" t="s">
        <v>750</v>
      </c>
      <c r="B11" s="967">
        <f>ROUND(SUM(C11:H11),0)</f>
        <v>0</v>
      </c>
      <c r="C11" s="967">
        <v>0</v>
      </c>
      <c r="D11" s="967">
        <v>0</v>
      </c>
      <c r="E11" s="967">
        <v>0</v>
      </c>
      <c r="F11" s="967">
        <v>0</v>
      </c>
      <c r="G11" s="967">
        <v>0</v>
      </c>
      <c r="H11" s="967">
        <v>0</v>
      </c>
      <c r="I11" s="953"/>
    </row>
    <row r="12" spans="1:10" s="950" customFormat="1" ht="15">
      <c r="A12" s="966" t="s">
        <v>751</v>
      </c>
      <c r="B12" s="967">
        <f ca="1">ROUND(SUM(C12:H12),0)</f>
        <v>0</v>
      </c>
      <c r="C12" s="967">
        <f ca="1">IF(ISNA(VLOOKUP($E6,INDIRECT("DSSP"&amp;$J$2),6,0)),0,VLOOKUP($E6,INDIRECT("DSSP"&amp;$J$2),6,0))</f>
        <v>0</v>
      </c>
      <c r="D12" s="967">
        <f ca="1">IF(ISNA(VLOOKUP($E6,INDIRECT("DSSP"&amp;$J$2),7,0)),0,VLOOKUP($E6,INDIRECT("DSSP"&amp;$J$2),7,0))</f>
        <v>0</v>
      </c>
      <c r="E12" s="967">
        <f ca="1">IF(ISNA(VLOOKUP($E6,INDIRECT("DSSP"&amp;$J$2),8,0)),0,VLOOKUP($E6,INDIRECT("DSSP"&amp;$J$2),8,0))</f>
        <v>0</v>
      </c>
      <c r="F12" s="967">
        <f ca="1">IF(ISNA(VLOOKUP($E6,INDIRECT("DSSP"&amp;$J$2),9,0)),0,VLOOKUP($E6,INDIRECT("DSSP"&amp;$J$2),9,0))</f>
        <v>0</v>
      </c>
      <c r="G12" s="967">
        <f ca="1">IF(ISNA(VLOOKUP($E6,INDIRECT("DSSP"&amp;$J$2),10,0)),0,VLOOKUP($E6,INDIRECT("DSSP"&amp;$J$2),10,0))</f>
        <v>0</v>
      </c>
      <c r="H12" s="967">
        <f ca="1">IF(ISNA(VLOOKUP($E6,INDIRECT("DSSP"&amp;$J$2),11,0)),0,VLOOKUP($E6,INDIRECT("DSSP"&amp;$J$2),11,0))</f>
        <v>0</v>
      </c>
      <c r="I12" s="953"/>
    </row>
    <row r="13" spans="1:10" s="950" customFormat="1" ht="15">
      <c r="A13" s="966" t="s">
        <v>752</v>
      </c>
      <c r="B13" s="967">
        <f ca="1">ROUND(IF(ISNA(VLOOKUP($E6,INDIRECT("DSSP"&amp;$J$2),13,0)),0,VLOOKUP($E6,INDIRECT("DSSP"&amp;$J$2),13,0)),0)</f>
        <v>0</v>
      </c>
      <c r="C13" s="967">
        <f t="shared" ref="C13:H13" ca="1" si="0">C12</f>
        <v>0</v>
      </c>
      <c r="D13" s="967">
        <f t="shared" ca="1" si="0"/>
        <v>0</v>
      </c>
      <c r="E13" s="967">
        <f t="shared" ca="1" si="0"/>
        <v>0</v>
      </c>
      <c r="F13" s="967">
        <f t="shared" ca="1" si="0"/>
        <v>0</v>
      </c>
      <c r="G13" s="967">
        <f t="shared" ca="1" si="0"/>
        <v>0</v>
      </c>
      <c r="H13" s="967">
        <f t="shared" ca="1" si="0"/>
        <v>0</v>
      </c>
      <c r="I13" s="953"/>
    </row>
    <row r="14" spans="1:10" s="950" customFormat="1" ht="15">
      <c r="A14" s="966" t="s">
        <v>753</v>
      </c>
      <c r="B14" s="967">
        <f ca="1">B12-B13</f>
        <v>0</v>
      </c>
      <c r="C14" s="967">
        <f t="shared" ref="C14:H14" ca="1" si="1">C12-C13</f>
        <v>0</v>
      </c>
      <c r="D14" s="967">
        <f t="shared" ca="1" si="1"/>
        <v>0</v>
      </c>
      <c r="E14" s="967">
        <f t="shared" ca="1" si="1"/>
        <v>0</v>
      </c>
      <c r="F14" s="967">
        <f t="shared" ca="1" si="1"/>
        <v>0</v>
      </c>
      <c r="G14" s="967">
        <f t="shared" ca="1" si="1"/>
        <v>0</v>
      </c>
      <c r="H14" s="967">
        <f t="shared" ca="1" si="1"/>
        <v>0</v>
      </c>
      <c r="I14" s="953"/>
    </row>
    <row r="15" spans="1:10" s="950" customFormat="1" ht="15">
      <c r="B15" s="953"/>
      <c r="C15" s="953"/>
      <c r="D15" s="953"/>
      <c r="E15" s="953"/>
      <c r="F15" s="953"/>
      <c r="G15" s="953"/>
      <c r="H15" s="953"/>
      <c r="I15" s="953"/>
    </row>
    <row r="16" spans="1:10" s="950" customFormat="1" ht="15">
      <c r="B16" s="953"/>
      <c r="C16" s="953"/>
      <c r="D16" s="953"/>
      <c r="E16" s="1256" t="str">
        <f xml:space="preserve"> IF(OR($J$2=1,$J$2=4,$J$2=6,$J$2=9,$J$2=11),"Ngày  30  tháng  "&amp;$J$2&amp;"  năm 2016",IF(OR($J$2=3,$J$2=5,$J$2=7,$J$2=8,$J$2=10,$J$2=12),"Ngày  31  tháng  "&amp;$J$2&amp;"  năm 2016","Ngày  29  tháng  "&amp;$J$2&amp;"  năm 2016"))</f>
        <v>Ngày  30  tháng  1  năm 2016</v>
      </c>
      <c r="F16" s="1256"/>
      <c r="G16" s="1256"/>
      <c r="H16" s="1256"/>
      <c r="I16" s="953"/>
    </row>
    <row r="17" spans="1:9" s="950" customFormat="1" ht="15">
      <c r="A17" s="968" t="s">
        <v>754</v>
      </c>
      <c r="B17" s="953"/>
      <c r="C17" s="953"/>
      <c r="D17" s="953"/>
      <c r="E17" s="1256" t="s">
        <v>15</v>
      </c>
      <c r="F17" s="1256"/>
      <c r="G17" s="1256"/>
      <c r="H17" s="1256"/>
      <c r="I17" s="953"/>
    </row>
    <row r="19" spans="1:9" ht="15">
      <c r="E19" s="970"/>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94" customWidth="1"/>
    <col min="2" max="2" width="11" style="494" customWidth="1"/>
    <col min="3" max="3" width="22.140625" style="494" customWidth="1"/>
    <col min="4" max="4" width="6.7109375" style="494" customWidth="1"/>
    <col min="5" max="5" width="6.42578125" style="494" customWidth="1"/>
    <col min="6" max="6" width="8.85546875" style="494" customWidth="1"/>
    <col min="7" max="7" width="20.7109375" style="494" customWidth="1"/>
    <col min="8" max="11" width="9.140625" style="494"/>
    <col min="12" max="12" width="10.85546875" style="494" customWidth="1"/>
    <col min="13" max="16384" width="9.140625" style="494"/>
  </cols>
  <sheetData>
    <row r="1" spans="1:12">
      <c r="A1" s="134" t="s">
        <v>213</v>
      </c>
      <c r="D1" s="1266"/>
      <c r="E1" s="1266"/>
      <c r="F1" s="1266"/>
      <c r="G1" s="1266"/>
      <c r="I1" s="1266" t="s">
        <v>363</v>
      </c>
      <c r="J1" s="1266"/>
      <c r="K1" s="1266"/>
      <c r="L1" s="1266"/>
    </row>
    <row r="2" spans="1:12">
      <c r="A2" s="449" t="s">
        <v>214</v>
      </c>
      <c r="D2" s="1266"/>
      <c r="E2" s="1266"/>
      <c r="F2" s="1266"/>
      <c r="G2" s="1266"/>
      <c r="I2" s="1266" t="s">
        <v>344</v>
      </c>
      <c r="J2" s="1266"/>
      <c r="K2" s="1266"/>
      <c r="L2" s="1266"/>
    </row>
    <row r="3" spans="1:12">
      <c r="D3" s="1266"/>
      <c r="E3" s="1266"/>
      <c r="F3" s="1266"/>
      <c r="G3" s="1266"/>
      <c r="I3" s="1266" t="s">
        <v>364</v>
      </c>
      <c r="J3" s="1266"/>
      <c r="K3" s="1266"/>
      <c r="L3" s="1266"/>
    </row>
    <row r="8" spans="1:12" ht="40.5" customHeight="1">
      <c r="H8" s="495"/>
      <c r="I8" s="495"/>
      <c r="J8" s="495"/>
    </row>
    <row r="10" spans="1:12" ht="29.25" customHeight="1">
      <c r="A10" s="1264" t="s">
        <v>147</v>
      </c>
      <c r="B10" s="1264"/>
      <c r="C10" s="1264"/>
      <c r="D10" s="1264"/>
      <c r="E10" s="1264"/>
      <c r="F10" s="1264"/>
      <c r="G10" s="1264"/>
    </row>
    <row r="11" spans="1:12" ht="6" customHeight="1">
      <c r="H11" s="496"/>
      <c r="I11" s="496"/>
    </row>
    <row r="12" spans="1:12" ht="20.25">
      <c r="A12" s="1265" t="s">
        <v>365</v>
      </c>
      <c r="B12" s="1265"/>
      <c r="C12" s="1265"/>
      <c r="D12" s="1265"/>
      <c r="E12" s="1265"/>
      <c r="F12" s="1265"/>
      <c r="G12" s="1265"/>
    </row>
    <row r="13" spans="1:12" ht="64.5" customHeight="1"/>
    <row r="16" spans="1:12" ht="22.5" customHeight="1">
      <c r="B16" s="497" t="s">
        <v>366</v>
      </c>
    </row>
    <row r="17" spans="2:2" ht="22.5" customHeight="1">
      <c r="B17" s="497" t="s">
        <v>367</v>
      </c>
    </row>
    <row r="18" spans="2:2" ht="22.5" customHeight="1">
      <c r="B18" s="497"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2016-06-22T08:08:48Z</cp:lastPrinted>
  <dcterms:created xsi:type="dcterms:W3CDTF">1996-10-14T23:33:28Z</dcterms:created>
  <dcterms:modified xsi:type="dcterms:W3CDTF">2016-06-24T06:41:50Z</dcterms:modified>
</cp:coreProperties>
</file>