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/>
  </bookViews>
  <sheets>
    <sheet name="CDPS" sheetId="15" r:id="rId1"/>
    <sheet name="TH" sheetId="34" r:id="rId2"/>
    <sheet name="01-03" sheetId="48" r:id="rId3"/>
    <sheet name="IN - TC" sheetId="39" r:id="rId4"/>
    <sheet name="1111" sheetId="42" r:id="rId5"/>
    <sheet name="4111" sheetId="57" r:id="rId6"/>
  </sheets>
  <externalReferences>
    <externalReference r:id="rId7"/>
    <externalReference r:id="rId8"/>
  </externalReferences>
  <definedNames>
    <definedName name="_C111">TH!$N$11:$N$69</definedName>
    <definedName name="_Fill" localSheetId="5" hidden="1">#REF!</definedName>
    <definedName name="_Fill" hidden="1">#REF!</definedName>
    <definedName name="_xlnm._FilterDatabase" localSheetId="2" hidden="1">'01-03'!$A$9:$AW$23</definedName>
    <definedName name="_xlnm._FilterDatabase" localSheetId="4" hidden="1">'1111'!$A$11:$J$17</definedName>
    <definedName name="_xlnm._FilterDatabase" localSheetId="1" hidden="1">TH!$A$9:$N$69</definedName>
    <definedName name="_N111">TH!$M$11:$M$69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TK">CDPS!$A$10:$D$40</definedName>
    <definedName name="KH">TH!$H$11:$H$69</definedName>
    <definedName name="KHC">TH!$K$11:$K$69</definedName>
    <definedName name="KHN">TH!$J$11:$J$69</definedName>
    <definedName name="Loai1">OFFSET(TH!$L$5,,,COUNTA(TH!$L$5:$L$38334))</definedName>
    <definedName name="Loai6">OFFSET(TH!$O$5,,,COUNTA(TH!$O$5:$O$38334))</definedName>
    <definedName name="TH">TH!$I$11:$I$69</definedName>
    <definedName name="THC">TH!$K$11:$K$69</definedName>
    <definedName name="THN">TH!$J$11:$J$69</definedName>
    <definedName name="TM">TH!$A$11:$K$69</definedName>
  </definedNames>
  <calcPr calcId="124519"/>
</workbook>
</file>

<file path=xl/calcChain.xml><?xml version="1.0" encoding="utf-8"?>
<calcChain xmlns="http://schemas.openxmlformats.org/spreadsheetml/2006/main">
  <c r="E11" i="34"/>
  <c r="E12"/>
  <c r="E13"/>
  <c r="E14"/>
  <c r="E15"/>
  <c r="E16"/>
  <c r="E10"/>
  <c r="K29" i="57"/>
  <c r="C29"/>
  <c r="B22"/>
  <c r="K18"/>
  <c r="N19" s="1"/>
  <c r="J18"/>
  <c r="I18"/>
  <c r="H18"/>
  <c r="G18"/>
  <c r="M19" s="1"/>
  <c r="F18"/>
  <c r="N17"/>
  <c r="M17"/>
  <c r="L17"/>
  <c r="N16"/>
  <c r="M16"/>
  <c r="L16"/>
  <c r="N15"/>
  <c r="L15"/>
  <c r="N14"/>
  <c r="M14"/>
  <c r="M15" s="1"/>
  <c r="L14"/>
  <c r="M8" i="39"/>
  <c r="B27" i="34"/>
  <c r="A27" s="1"/>
  <c r="B28"/>
  <c r="A28" s="1"/>
  <c r="B29"/>
  <c r="A29" s="1"/>
  <c r="B30"/>
  <c r="A30" s="1"/>
  <c r="O30"/>
  <c r="B31"/>
  <c r="A31" s="1"/>
  <c r="B32"/>
  <c r="A32" s="1"/>
  <c r="B33"/>
  <c r="A33" s="1"/>
  <c r="B34"/>
  <c r="A34" s="1"/>
  <c r="B35"/>
  <c r="A35" s="1"/>
  <c r="B36"/>
  <c r="A36" s="1"/>
  <c r="B37"/>
  <c r="A37" s="1"/>
  <c r="B38"/>
  <c r="A38" s="1"/>
  <c r="B39"/>
  <c r="A39" s="1"/>
  <c r="B40"/>
  <c r="A40" s="1"/>
  <c r="B41"/>
  <c r="A41" s="1"/>
  <c r="B42"/>
  <c r="A42" s="1"/>
  <c r="B43"/>
  <c r="A43" s="1"/>
  <c r="B44"/>
  <c r="A44" s="1"/>
  <c r="B45"/>
  <c r="A45" s="1"/>
  <c r="B46"/>
  <c r="A46" s="1"/>
  <c r="B47"/>
  <c r="A47" s="1"/>
  <c r="B48"/>
  <c r="A48" s="1"/>
  <c r="B49"/>
  <c r="A49" s="1"/>
  <c r="B50"/>
  <c r="A50" s="1"/>
  <c r="B51"/>
  <c r="A51" s="1"/>
  <c r="B52"/>
  <c r="A52" s="1"/>
  <c r="B53"/>
  <c r="A53" s="1"/>
  <c r="B54"/>
  <c r="A54" s="1"/>
  <c r="B55"/>
  <c r="A55" s="1"/>
  <c r="B56"/>
  <c r="A56" s="1"/>
  <c r="B57"/>
  <c r="A57" s="1"/>
  <c r="B58"/>
  <c r="A58" s="1"/>
  <c r="B59"/>
  <c r="A59" s="1"/>
  <c r="B60"/>
  <c r="A60" s="1"/>
  <c r="B61"/>
  <c r="A61" s="1"/>
  <c r="B62"/>
  <c r="A62" s="1"/>
  <c r="B63"/>
  <c r="A63" s="1"/>
  <c r="B64"/>
  <c r="A64" s="1"/>
  <c r="B65"/>
  <c r="A65" s="1"/>
  <c r="B66"/>
  <c r="A66" s="1"/>
  <c r="B67"/>
  <c r="A67" s="1"/>
  <c r="B68"/>
  <c r="A68" s="1"/>
  <c r="B69"/>
  <c r="A69" s="1"/>
  <c r="O29" l="1"/>
  <c r="L19" i="57"/>
  <c r="O69" i="34"/>
  <c r="O67"/>
  <c r="O65"/>
  <c r="O63"/>
  <c r="O61"/>
  <c r="O59"/>
  <c r="O57"/>
  <c r="O55"/>
  <c r="O53"/>
  <c r="O51"/>
  <c r="O49"/>
  <c r="O47"/>
  <c r="O45"/>
  <c r="O43"/>
  <c r="O41"/>
  <c r="O39"/>
  <c r="O37"/>
  <c r="O35"/>
  <c r="O33"/>
  <c r="O31"/>
  <c r="O28"/>
  <c r="O27"/>
  <c r="O68"/>
  <c r="O66"/>
  <c r="O64"/>
  <c r="O62"/>
  <c r="O60"/>
  <c r="O58"/>
  <c r="O56"/>
  <c r="O54"/>
  <c r="O52"/>
  <c r="O50"/>
  <c r="O48"/>
  <c r="O46"/>
  <c r="O44"/>
  <c r="O42"/>
  <c r="O40"/>
  <c r="O38"/>
  <c r="O36"/>
  <c r="O34"/>
  <c r="O32"/>
  <c r="A20" i="48" l="1" a="1"/>
  <c r="A20" s="1"/>
  <c r="I20" s="1"/>
  <c r="A21" a="1"/>
  <c r="A21" s="1"/>
  <c r="I16" i="34"/>
  <c r="B16"/>
  <c r="A16" s="1"/>
  <c r="AK10" i="48"/>
  <c r="AJ10"/>
  <c r="AI10"/>
  <c r="AH10"/>
  <c r="F13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V28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AW19"/>
  <c r="AU19"/>
  <c r="AT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D19"/>
  <c r="AV18"/>
  <c r="AU18"/>
  <c r="AT18"/>
  <c r="AS18"/>
  <c r="AR18"/>
  <c r="AQ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D18"/>
  <c r="AV17"/>
  <c r="AU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D17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D16"/>
  <c r="AW15"/>
  <c r="AU15"/>
  <c r="AT15"/>
  <c r="AS15"/>
  <c r="AR15"/>
  <c r="AQ15"/>
  <c r="AP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D15"/>
  <c r="AW14"/>
  <c r="AU14"/>
  <c r="AT14"/>
  <c r="AS14"/>
  <c r="AR14"/>
  <c r="AQ14"/>
  <c r="AP14"/>
  <c r="AO14"/>
  <c r="AN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Q14"/>
  <c r="P14"/>
  <c r="O14"/>
  <c r="N14"/>
  <c r="M14"/>
  <c r="L14"/>
  <c r="K14"/>
  <c r="J14"/>
  <c r="D14"/>
  <c r="AW13"/>
  <c r="AV13"/>
  <c r="AU13"/>
  <c r="AT13"/>
  <c r="AS13"/>
  <c r="AR13"/>
  <c r="AQ13"/>
  <c r="AP13"/>
  <c r="AO13"/>
  <c r="AN13"/>
  <c r="AM13"/>
  <c r="AL13"/>
  <c r="AK13"/>
  <c r="AJ13"/>
  <c r="AG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AH13"/>
  <c r="D13"/>
  <c r="A10" a="1"/>
  <c r="A10" s="1"/>
  <c r="AI13" l="1"/>
  <c r="AF13"/>
  <c r="AV14" l="1"/>
  <c r="B18" i="34" l="1"/>
  <c r="B19"/>
  <c r="B20"/>
  <c r="B21"/>
  <c r="B22"/>
  <c r="B23"/>
  <c r="B24"/>
  <c r="B25"/>
  <c r="B26"/>
  <c r="O10" i="42"/>
  <c r="I21" s="1"/>
  <c r="N10"/>
  <c r="L30" i="34" l="1"/>
  <c r="M31"/>
  <c r="M39"/>
  <c r="M47"/>
  <c r="M55"/>
  <c r="M63"/>
  <c r="N30"/>
  <c r="M35"/>
  <c r="M43"/>
  <c r="M51"/>
  <c r="M59"/>
  <c r="M67"/>
  <c r="M69"/>
  <c r="M61"/>
  <c r="M53"/>
  <c r="M45"/>
  <c r="M37"/>
  <c r="N28"/>
  <c r="M27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29"/>
  <c r="L28"/>
  <c r="L27"/>
  <c r="N68"/>
  <c r="N66"/>
  <c r="N64"/>
  <c r="N62"/>
  <c r="N60"/>
  <c r="N58"/>
  <c r="N56"/>
  <c r="N54"/>
  <c r="N52"/>
  <c r="N50"/>
  <c r="N48"/>
  <c r="N46"/>
  <c r="N44"/>
  <c r="N42"/>
  <c r="N40"/>
  <c r="N38"/>
  <c r="N36"/>
  <c r="N34"/>
  <c r="N32"/>
  <c r="M28"/>
  <c r="M68"/>
  <c r="M64"/>
  <c r="M60"/>
  <c r="M52"/>
  <c r="M44"/>
  <c r="M36"/>
  <c r="M30"/>
  <c r="M65"/>
  <c r="M57"/>
  <c r="M49"/>
  <c r="M41"/>
  <c r="M33"/>
  <c r="N29"/>
  <c r="N69"/>
  <c r="N67"/>
  <c r="N65"/>
  <c r="N63"/>
  <c r="N61"/>
  <c r="N59"/>
  <c r="N57"/>
  <c r="N55"/>
  <c r="N53"/>
  <c r="N51"/>
  <c r="N49"/>
  <c r="N47"/>
  <c r="N45"/>
  <c r="N43"/>
  <c r="N41"/>
  <c r="N39"/>
  <c r="N37"/>
  <c r="N35"/>
  <c r="N33"/>
  <c r="N31"/>
  <c r="N27"/>
  <c r="M29"/>
  <c r="M66"/>
  <c r="M62"/>
  <c r="M58"/>
  <c r="M54"/>
  <c r="M50"/>
  <c r="M46"/>
  <c r="M42"/>
  <c r="M38"/>
  <c r="M34"/>
  <c r="M56"/>
  <c r="M48"/>
  <c r="M40"/>
  <c r="M32"/>
  <c r="O25"/>
  <c r="A25"/>
  <c r="O23"/>
  <c r="A23"/>
  <c r="O21"/>
  <c r="A21"/>
  <c r="O19"/>
  <c r="A19"/>
  <c r="O26"/>
  <c r="A26"/>
  <c r="O24"/>
  <c r="A24"/>
  <c r="O22"/>
  <c r="A22"/>
  <c r="O20"/>
  <c r="A20"/>
  <c r="O18"/>
  <c r="A18"/>
  <c r="L16"/>
  <c r="M16"/>
  <c r="N16"/>
  <c r="M25"/>
  <c r="N25"/>
  <c r="L25"/>
  <c r="M23"/>
  <c r="N23"/>
  <c r="L23"/>
  <c r="M21"/>
  <c r="N21"/>
  <c r="L21"/>
  <c r="M19"/>
  <c r="N19"/>
  <c r="L19"/>
  <c r="L26"/>
  <c r="N26"/>
  <c r="M26"/>
  <c r="L24"/>
  <c r="N24"/>
  <c r="M24"/>
  <c r="L22"/>
  <c r="N22"/>
  <c r="M22"/>
  <c r="L20"/>
  <c r="N20"/>
  <c r="M20"/>
  <c r="L18"/>
  <c r="N18"/>
  <c r="M18"/>
  <c r="C41" i="15"/>
  <c r="D41" l="1"/>
  <c r="L1" i="39" l="1"/>
  <c r="L3"/>
  <c r="L2"/>
  <c r="M17" l="1"/>
  <c r="H17"/>
  <c r="C11"/>
  <c r="M7"/>
  <c r="L7"/>
  <c r="H4" l="1"/>
  <c r="I11" i="34" l="1"/>
  <c r="I15"/>
  <c r="I14"/>
  <c r="I13"/>
  <c r="I12"/>
  <c r="B15" l="1"/>
  <c r="A15" s="1"/>
  <c r="M15" l="1"/>
  <c r="N15"/>
  <c r="L15"/>
  <c r="B12" l="1"/>
  <c r="A12" s="1"/>
  <c r="B10"/>
  <c r="A10" s="1"/>
  <c r="B13"/>
  <c r="A13" s="1"/>
  <c r="B14"/>
  <c r="A14" s="1"/>
  <c r="B11"/>
  <c r="A11" s="1"/>
  <c r="M13" l="1"/>
  <c r="N13"/>
  <c r="L13"/>
  <c r="L12"/>
  <c r="N12"/>
  <c r="M12"/>
  <c r="L14"/>
  <c r="N14"/>
  <c r="M14"/>
  <c r="M11"/>
  <c r="N11"/>
  <c r="L11"/>
  <c r="L10"/>
  <c r="N10"/>
  <c r="M10"/>
  <c r="B17" l="1"/>
  <c r="O17" l="1"/>
  <c r="A17"/>
  <c r="M17"/>
  <c r="N17"/>
  <c r="L17"/>
  <c r="D13" i="39" l="1"/>
  <c r="M9"/>
  <c r="I10" i="34"/>
  <c r="F25" i="15" l="1" a="1"/>
  <c r="F25" s="1"/>
  <c r="F26" s="1"/>
  <c r="E34" a="1"/>
  <c r="E34" s="1"/>
  <c r="E10" a="1"/>
  <c r="E10" s="1"/>
  <c r="E11" s="1"/>
  <c r="F27" a="1"/>
  <c r="F27" s="1"/>
  <c r="F28" s="1"/>
  <c r="E14" a="1"/>
  <c r="E14" s="1"/>
  <c r="E15" s="1"/>
  <c r="E21" a="1"/>
  <c r="E21" s="1"/>
  <c r="E29" a="1"/>
  <c r="E29" s="1"/>
  <c r="E30" s="1"/>
  <c r="F21" a="1"/>
  <c r="F21" s="1"/>
  <c r="H21" s="1"/>
  <c r="F12" a="1"/>
  <c r="F12" s="1"/>
  <c r="F13" s="1"/>
  <c r="E40" a="1"/>
  <c r="E40" s="1"/>
  <c r="E25" a="1"/>
  <c r="E25" s="1"/>
  <c r="E35" a="1"/>
  <c r="E35" s="1"/>
  <c r="F22" a="1"/>
  <c r="F22" s="1"/>
  <c r="F23" s="1"/>
  <c r="F24" s="1"/>
  <c r="F14" a="1"/>
  <c r="F14" s="1"/>
  <c r="F15" s="1"/>
  <c r="F29" a="1"/>
  <c r="F29" s="1"/>
  <c r="G29" s="1"/>
  <c r="E39" a="1"/>
  <c r="E39" s="1"/>
  <c r="E27" a="1"/>
  <c r="E27" s="1"/>
  <c r="G27" s="1"/>
  <c r="G28" s="1"/>
  <c r="E37" a="1"/>
  <c r="E37" s="1"/>
  <c r="E38" a="1"/>
  <c r="E38" s="1"/>
  <c r="F36" a="1"/>
  <c r="F36" s="1"/>
  <c r="F35" a="1"/>
  <c r="F35" s="1"/>
  <c r="F37" a="1"/>
  <c r="F37" s="1"/>
  <c r="E18" a="1"/>
  <c r="E18" s="1"/>
  <c r="F18" a="1"/>
  <c r="F18" s="1"/>
  <c r="E12" a="1"/>
  <c r="E12" s="1"/>
  <c r="G12" s="1"/>
  <c r="F31" a="1"/>
  <c r="F31" s="1"/>
  <c r="E22" a="1"/>
  <c r="E22" s="1"/>
  <c r="F16" a="1"/>
  <c r="F16" s="1"/>
  <c r="F17" s="1"/>
  <c r="F10" a="1"/>
  <c r="F10" s="1"/>
  <c r="F11" s="1"/>
  <c r="E20" a="1"/>
  <c r="E20" s="1"/>
  <c r="F20" a="1"/>
  <c r="F20" s="1"/>
  <c r="E31" a="1"/>
  <c r="E31" s="1"/>
  <c r="E16" a="1"/>
  <c r="E16" s="1"/>
  <c r="H16" s="1"/>
  <c r="F39" a="1"/>
  <c r="F39" s="1"/>
  <c r="I39" s="1"/>
  <c r="F34" a="1"/>
  <c r="F34" s="1"/>
  <c r="I34" s="1"/>
  <c r="E36" a="1"/>
  <c r="E36" s="1"/>
  <c r="I36" s="1"/>
  <c r="E32" a="1"/>
  <c r="E32" s="1"/>
  <c r="F32" a="1"/>
  <c r="F32" s="1"/>
  <c r="F40" a="1"/>
  <c r="F40" s="1"/>
  <c r="I40" s="1"/>
  <c r="G21"/>
  <c r="E13" l="1"/>
  <c r="H14"/>
  <c r="H15" s="1"/>
  <c r="G10"/>
  <c r="G11" s="1"/>
  <c r="I35"/>
  <c r="I21"/>
  <c r="F33"/>
  <c r="G22"/>
  <c r="G23" s="1"/>
  <c r="G24" s="1"/>
  <c r="I37"/>
  <c r="H27"/>
  <c r="H28" s="1"/>
  <c r="H29"/>
  <c r="G31"/>
  <c r="E17"/>
  <c r="G17" s="1"/>
  <c r="F38" a="1"/>
  <c r="F38" s="1"/>
  <c r="I38" s="1"/>
  <c r="G25"/>
  <c r="G26" s="1"/>
  <c r="H25"/>
  <c r="H26" s="1"/>
  <c r="F30"/>
  <c r="G30" s="1"/>
  <c r="H22"/>
  <c r="H23" s="1"/>
  <c r="H24" s="1"/>
  <c r="H10"/>
  <c r="H11" s="1"/>
  <c r="G14"/>
  <c r="G15" s="1"/>
  <c r="E26"/>
  <c r="E28"/>
  <c r="I22"/>
  <c r="H20"/>
  <c r="H12"/>
  <c r="E23"/>
  <c r="E24" s="1"/>
  <c r="I24" s="1"/>
  <c r="E33"/>
  <c r="G16"/>
  <c r="G20"/>
  <c r="H18"/>
  <c r="F19"/>
  <c r="H31"/>
  <c r="G18"/>
  <c r="E19"/>
  <c r="H32"/>
  <c r="G32"/>
  <c r="G33" s="1"/>
  <c r="H13"/>
  <c r="G13"/>
  <c r="H17" l="1"/>
  <c r="H30"/>
  <c r="F41"/>
  <c r="E41"/>
  <c r="I23"/>
  <c r="H33"/>
  <c r="G19"/>
  <c r="H19"/>
  <c r="G41"/>
  <c r="E43" l="1"/>
  <c r="H41"/>
  <c r="H43" s="1"/>
  <c r="G11" i="48" l="1"/>
  <c r="H11"/>
  <c r="C14" i="39"/>
  <c r="B12" i="48" l="1"/>
  <c r="C12"/>
  <c r="D12"/>
  <c r="E12"/>
  <c r="F12"/>
  <c r="G12"/>
  <c r="H12"/>
  <c r="F11"/>
  <c r="D11"/>
  <c r="C11"/>
  <c r="B11"/>
  <c r="E11"/>
  <c r="A18" a="1"/>
  <c r="A18" s="1"/>
  <c r="I18" s="1"/>
  <c r="A11" a="1"/>
  <c r="A11" s="1"/>
  <c r="I11" s="1"/>
  <c r="AW11"/>
  <c r="AS11"/>
  <c r="AO11"/>
  <c r="AK11"/>
  <c r="AG11"/>
  <c r="AC11"/>
  <c r="Y11"/>
  <c r="U11"/>
  <c r="Q11"/>
  <c r="M11"/>
  <c r="AU11"/>
  <c r="AQ11"/>
  <c r="AM11"/>
  <c r="AI11"/>
  <c r="AE11"/>
  <c r="AA11"/>
  <c r="W11"/>
  <c r="S11"/>
  <c r="O11"/>
  <c r="K11"/>
  <c r="AV11"/>
  <c r="AR11"/>
  <c r="AN11"/>
  <c r="AJ11"/>
  <c r="AF11"/>
  <c r="AB11"/>
  <c r="X11"/>
  <c r="T11"/>
  <c r="P11"/>
  <c r="L11"/>
  <c r="AT11"/>
  <c r="AP11"/>
  <c r="AL11"/>
  <c r="AH11"/>
  <c r="AD11"/>
  <c r="Z11"/>
  <c r="V11"/>
  <c r="R11"/>
  <c r="N11"/>
  <c r="J11"/>
  <c r="C12" i="39"/>
  <c r="C15"/>
  <c r="H5"/>
  <c r="M16" s="1"/>
  <c r="C10"/>
  <c r="I12" i="42"/>
  <c r="G13"/>
  <c r="H13"/>
  <c r="A15"/>
  <c r="B15"/>
  <c r="D14"/>
  <c r="F14"/>
  <c r="C15"/>
  <c r="E14"/>
  <c r="F13"/>
  <c r="H14"/>
  <c r="F15"/>
  <c r="A14"/>
  <c r="D15"/>
  <c r="G15"/>
  <c r="A13"/>
  <c r="A20" s="1"/>
  <c r="B14"/>
  <c r="C14"/>
  <c r="E13"/>
  <c r="E15"/>
  <c r="C13"/>
  <c r="D13"/>
  <c r="H15"/>
  <c r="G14"/>
  <c r="B13"/>
  <c r="AV12" i="48" l="1"/>
  <c r="AR12"/>
  <c r="AR21" s="1"/>
  <c r="AR23" s="1"/>
  <c r="AN12"/>
  <c r="AN21" s="1"/>
  <c r="AJ12"/>
  <c r="AF12"/>
  <c r="AF21" s="1"/>
  <c r="AF23" s="1"/>
  <c r="AB12"/>
  <c r="AB21" s="1"/>
  <c r="AB23" s="1"/>
  <c r="X12"/>
  <c r="X21" s="1"/>
  <c r="X23" s="1"/>
  <c r="T12"/>
  <c r="P12"/>
  <c r="P21" s="1"/>
  <c r="P23" s="1"/>
  <c r="L12"/>
  <c r="L21" s="1"/>
  <c r="L23" s="1"/>
  <c r="AT12"/>
  <c r="AT21" s="1"/>
  <c r="AT23" s="1"/>
  <c r="AP12"/>
  <c r="AL12"/>
  <c r="AL21" s="1"/>
  <c r="AH12"/>
  <c r="AH21" s="1"/>
  <c r="AH23" s="1"/>
  <c r="AD12"/>
  <c r="AD21" s="1"/>
  <c r="AD23" s="1"/>
  <c r="Z12"/>
  <c r="Z21" s="1"/>
  <c r="Z23" s="1"/>
  <c r="V12"/>
  <c r="V21" s="1"/>
  <c r="V23" s="1"/>
  <c r="R12"/>
  <c r="N12"/>
  <c r="N21" s="1"/>
  <c r="N23" s="1"/>
  <c r="J12"/>
  <c r="J21" s="1"/>
  <c r="T21"/>
  <c r="T23" s="1"/>
  <c r="AW12"/>
  <c r="AS12"/>
  <c r="AO12"/>
  <c r="AK12"/>
  <c r="AK21" s="1"/>
  <c r="F17" s="1"/>
  <c r="AG12"/>
  <c r="AG21" s="1"/>
  <c r="AC12"/>
  <c r="AC21" s="1"/>
  <c r="AC23" s="1"/>
  <c r="Y12"/>
  <c r="Y21" s="1"/>
  <c r="U12"/>
  <c r="U21" s="1"/>
  <c r="Q12"/>
  <c r="Q21" s="1"/>
  <c r="M12"/>
  <c r="M21" s="1"/>
  <c r="M23" s="1"/>
  <c r="AU12"/>
  <c r="AU21" s="1"/>
  <c r="AQ12"/>
  <c r="AQ21" s="1"/>
  <c r="AQ23" s="1"/>
  <c r="AM12"/>
  <c r="AI12"/>
  <c r="AI21" s="1"/>
  <c r="AE12"/>
  <c r="AE21" s="1"/>
  <c r="AA12"/>
  <c r="AA21" s="1"/>
  <c r="W12"/>
  <c r="W21" s="1"/>
  <c r="S12"/>
  <c r="S21" s="1"/>
  <c r="S23" s="1"/>
  <c r="O12"/>
  <c r="O21" s="1"/>
  <c r="K12"/>
  <c r="K21" s="1"/>
  <c r="K23" s="1"/>
  <c r="A13" a="1"/>
  <c r="A13" s="1"/>
  <c r="I13" s="1"/>
  <c r="A12" a="1"/>
  <c r="A12" s="1"/>
  <c r="I12" s="1"/>
  <c r="A19" a="1"/>
  <c r="A19" s="1"/>
  <c r="I19" s="1"/>
  <c r="A17" a="1"/>
  <c r="A17" s="1"/>
  <c r="I17" s="1"/>
  <c r="A16" a="1"/>
  <c r="A16" s="1"/>
  <c r="I16" s="1"/>
  <c r="A15" a="1"/>
  <c r="A15" s="1"/>
  <c r="I15" s="1"/>
  <c r="A14" a="1"/>
  <c r="A14" s="1"/>
  <c r="I14" s="1"/>
  <c r="G16" i="42"/>
  <c r="H16"/>
  <c r="I13"/>
  <c r="I14" s="1"/>
  <c r="I15" s="1"/>
  <c r="U22" i="48" l="1"/>
  <c r="F19"/>
  <c r="AV19" s="1"/>
  <c r="AH22"/>
  <c r="AI22"/>
  <c r="AI23"/>
  <c r="Z22"/>
  <c r="AA22"/>
  <c r="AK23"/>
  <c r="U23"/>
  <c r="F18"/>
  <c r="AW18" s="1"/>
  <c r="T22"/>
  <c r="F14"/>
  <c r="AM14" s="1"/>
  <c r="AM21" s="1"/>
  <c r="AL23"/>
  <c r="AA23"/>
  <c r="L22"/>
  <c r="AB22"/>
  <c r="AN23"/>
  <c r="F15"/>
  <c r="AV15" s="1"/>
  <c r="AC22"/>
  <c r="M22"/>
  <c r="J22"/>
  <c r="K22"/>
  <c r="J23"/>
  <c r="O22"/>
  <c r="O23"/>
  <c r="N22"/>
  <c r="W22"/>
  <c r="W23"/>
  <c r="V22"/>
  <c r="Q22"/>
  <c r="P22"/>
  <c r="Q23"/>
  <c r="AE22"/>
  <c r="AD22"/>
  <c r="AE23"/>
  <c r="AU22"/>
  <c r="AT22"/>
  <c r="AU23"/>
  <c r="Y22"/>
  <c r="Y23"/>
  <c r="X22"/>
  <c r="AG22"/>
  <c r="AF22"/>
  <c r="AG23"/>
  <c r="AW17"/>
  <c r="AJ17"/>
  <c r="AJ21" s="1"/>
  <c r="I17" i="42"/>
  <c r="AP18" i="48" l="1"/>
  <c r="AP21" s="1"/>
  <c r="AP23" s="1"/>
  <c r="AS19"/>
  <c r="AS21" s="1"/>
  <c r="AS23" s="1"/>
  <c r="R14"/>
  <c r="R21" s="1"/>
  <c r="R22" s="1"/>
  <c r="AO15"/>
  <c r="AO21" s="1"/>
  <c r="AO22" s="1"/>
  <c r="R23"/>
  <c r="AO23"/>
  <c r="AW21"/>
  <c r="AJ23"/>
  <c r="AJ22"/>
  <c r="AK22"/>
  <c r="AS22"/>
  <c r="AM22"/>
  <c r="AM23"/>
  <c r="AL22"/>
  <c r="AV21"/>
  <c r="AP22" l="1"/>
  <c r="AQ22"/>
  <c r="AR22"/>
  <c r="AN22"/>
  <c r="S22"/>
  <c r="AW23"/>
  <c r="AW22"/>
  <c r="AV23"/>
  <c r="AV22"/>
</calcChain>
</file>

<file path=xl/sharedStrings.xml><?xml version="1.0" encoding="utf-8"?>
<sst xmlns="http://schemas.openxmlformats.org/spreadsheetml/2006/main" count="389" uniqueCount="215">
  <si>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</si>
  <si>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</si>
  <si>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</si>
  <si>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</si>
  <si>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</si>
  <si>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</si>
  <si>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</si>
  <si>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</si>
  <si>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</si>
  <si>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</si>
  <si>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T01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</si>
  <si>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</si>
  <si>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</si>
  <si>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</si>
  <si>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</si>
  <si>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</si>
  <si>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</si>
  <si>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</si>
  <si>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</si>
  <si>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</si>
  <si>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</si>
  <si>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</si>
  <si>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</si>
  <si>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</si>
  <si>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</si>
  <si>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</si>
  <si>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</si>
  <si>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Số dư</t>
  </si>
  <si>
    <t>Ngày tháng</t>
  </si>
  <si>
    <t>- Cộng số phát sinh</t>
  </si>
  <si>
    <t>STT</t>
  </si>
  <si>
    <t>341</t>
  </si>
  <si>
    <t>515</t>
  </si>
  <si>
    <t>Khách Hàng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</si>
  <si>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</si>
  <si>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</si>
  <si>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</si>
  <si>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</si>
  <si>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</si>
  <si>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</si>
  <si>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</si>
  <si>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</si>
  <si>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</si>
  <si>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</si>
  <si>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</si>
  <si>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</si>
  <si>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</si>
  <si>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</si>
  <si>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</si>
  <si>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</si>
  <si>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</si>
  <si>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</si>
  <si>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</si>
  <si>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</si>
  <si>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</si>
  <si>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</si>
  <si>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</si>
  <si>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</si>
  <si>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</si>
  <si>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</si>
  <si>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</si>
  <si>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</si>
  <si>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</si>
  <si>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</si>
  <si>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</si>
  <si>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</si>
  <si>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</si>
  <si>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</si>
  <si>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</si>
  <si>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</si>
  <si>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</si>
  <si>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</si>
  <si>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</si>
  <si>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</si>
  <si>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</si>
  <si>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</si>
  <si>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</si>
  <si>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</si>
  <si>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</si>
  <si>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</si>
  <si>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</si>
  <si>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</si>
  <si>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</si>
  <si>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</si>
  <si>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</si>
  <si>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</si>
  <si>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</si>
  <si>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</si>
  <si>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</si>
  <si>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</si>
  <si>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</si>
  <si>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</si>
  <si>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</si>
  <si>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</si>
  <si>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</si>
  <si>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</si>
  <si>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</si>
  <si>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</si>
  <si>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</si>
  <si>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</si>
  <si>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</si>
  <si>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</si>
  <si>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</si>
  <si>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</si>
  <si>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</si>
  <si>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</si>
  <si>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</si>
  <si>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</si>
  <si>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</si>
  <si>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</si>
  <si>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</si>
  <si>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</si>
  <si>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</si>
  <si>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</si>
  <si>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</si>
  <si>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</si>
  <si>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</si>
  <si>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</si>
  <si>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</si>
  <si>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</si>
  <si>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</si>
  <si>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</si>
  <si>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</si>
  <si>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</si>
  <si>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</si>
  <si>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</si>
  <si>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</si>
  <si>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</si>
  <si>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</si>
  <si>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</si>
  <si>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</si>
  <si>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</si>
  <si>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</si>
  <si>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</si>
  <si>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</si>
  <si>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</si>
  <si>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</si>
  <si>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</si>
  <si>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</si>
  <si>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</si>
  <si>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</si>
  <si>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</si>
  <si>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</si>
  <si>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</si>
  <si>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</si>
  <si>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</si>
  <si>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</si>
  <si>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</si>
  <si>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</si>
  <si>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</si>
  <si>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</si>
  <si>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</si>
  <si>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1</t>
  </si>
  <si>
    <t>2</t>
  </si>
  <si>
    <t>Cộng số phát sinh</t>
  </si>
  <si>
    <t>Địa chỉ: 20 Lô E KCN Long Đức Tp.Trà Vinh Tỉnh Trà Vinh</t>
  </si>
  <si>
    <t>- Sổ này có 1 trang, đánh số từ trang 1 đến trang 1.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</si>
  <si>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</si>
  <si>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</si>
  <si>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</si>
  <si>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</si>
  <si>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</si>
  <si>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</si>
  <si>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</si>
  <si>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</si>
  <si>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</si>
  <si>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</si>
  <si>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</si>
  <si>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</si>
  <si>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</si>
  <si>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</si>
  <si>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</si>
  <si>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</si>
  <si>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</si>
  <si>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</si>
  <si>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</si>
  <si>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</si>
  <si>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</si>
  <si>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</si>
  <si>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</si>
  <si>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</si>
  <si>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</si>
  <si>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</si>
  <si>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</si>
  <si>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</si>
  <si>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</si>
  <si>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</si>
  <si>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NK</t>
  </si>
  <si>
    <t>241</t>
  </si>
  <si>
    <t>Quý</t>
  </si>
  <si>
    <t>T02</t>
  </si>
  <si>
    <t>Lê Thị Hoa</t>
  </si>
  <si>
    <t>Thu vốn đầu tư ban đầu - Nguyễn Thiện Duy</t>
  </si>
  <si>
    <t>Thu vốn đầu tư ban đầu  - Lê Thị Hoa</t>
  </si>
  <si>
    <t>T</t>
  </si>
  <si>
    <t>Quý I</t>
  </si>
  <si>
    <t>Mẫu số S24-DNN</t>
  </si>
  <si>
    <t>Địa chỉ: KCN Long Đức, Vĩnh Yên, Long Đức, Trà Vinh</t>
  </si>
  <si>
    <t>(Ban hành theo QĐ số 48/2006/QĐ-BTC
Ngày 14/09/2006 của Bộ trưởng BTC)</t>
  </si>
  <si>
    <t>SỔ THEO DÕI CHI TIẾT NGUỒN VỐN KINH DOANH</t>
  </si>
  <si>
    <t>Năm 2008</t>
  </si>
  <si>
    <t>Nợ (giảm)</t>
  </si>
  <si>
    <t>Có (tăng)</t>
  </si>
  <si>
    <t>Vốn góp</t>
  </si>
  <si>
    <t>Thặng dư vốn</t>
  </si>
  <si>
    <t>Vốn khác</t>
  </si>
  <si>
    <t>3</t>
  </si>
  <si>
    <t>4</t>
  </si>
  <si>
    <t>5</t>
  </si>
  <si>
    <t>6</t>
  </si>
  <si>
    <t>7</t>
  </si>
  <si>
    <t>8</t>
  </si>
  <si>
    <t>9</t>
  </si>
  <si>
    <t>- Số phát sinh trong kỳ</t>
  </si>
  <si>
    <t>Ngày  31  tháng  12   năm   2008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</si>
</sst>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6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sz val="10"/>
      <name val="Arial"/>
    </font>
    <font>
      <b/>
      <sz val="11"/>
      <name val="Arial"/>
    </font>
    <font>
      <sz val="11"/>
      <color indexed="12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3" fillId="0" borderId="0"/>
    <xf numFmtId="0" fontId="36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4" fillId="0" borderId="0">
      <alignment horizontal="center"/>
    </xf>
    <xf numFmtId="0" fontId="49" fillId="0" borderId="0"/>
    <xf numFmtId="0" fontId="3" fillId="0" borderId="0"/>
    <xf numFmtId="0" fontId="55" fillId="0" borderId="0" applyNumberFormat="0" applyFill="0" applyBorder="0" applyAlignment="0" applyProtection="0">
      <alignment vertical="top"/>
      <protection locked="0"/>
    </xf>
    <xf numFmtId="43" fontId="60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0" fillId="0" borderId="0" applyFont="0" applyFill="0" applyBorder="0" applyAlignment="0" applyProtection="0"/>
    <xf numFmtId="0" fontId="60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64" fillId="0" borderId="0"/>
    <xf numFmtId="0" fontId="64" fillId="0" borderId="0"/>
  </cellStyleXfs>
  <cellXfs count="328">
    <xf numFmtId="0" fontId="0" fillId="0" borderId="0" xfId="0"/>
    <xf numFmtId="164" fontId="35" fillId="0" borderId="0" xfId="53" applyNumberFormat="1" applyFont="1" applyAlignment="1">
      <alignment vertical="center" wrapText="1"/>
    </xf>
    <xf numFmtId="164" fontId="32" fillId="0" borderId="0" xfId="53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164" fontId="35" fillId="0" borderId="0" xfId="53" applyNumberFormat="1" applyFont="1" applyAlignment="1">
      <alignment horizontal="center" vertical="center" wrapText="1"/>
    </xf>
    <xf numFmtId="0" fontId="22" fillId="0" borderId="0" xfId="72" applyFont="1"/>
    <xf numFmtId="164" fontId="25" fillId="0" borderId="0" xfId="73" applyNumberFormat="1" applyFont="1"/>
    <xf numFmtId="0" fontId="25" fillId="0" borderId="0" xfId="72"/>
    <xf numFmtId="0" fontId="27" fillId="0" borderId="0" xfId="57">
      <alignment horizontal="centerContinuous"/>
    </xf>
    <xf numFmtId="164" fontId="27" fillId="0" borderId="0" xfId="73" applyNumberFormat="1" applyFont="1" applyAlignment="1">
      <alignment horizontal="centerContinuous"/>
    </xf>
    <xf numFmtId="0" fontId="27" fillId="0" borderId="0" xfId="57" applyFont="1">
      <alignment horizontal="centerContinuous"/>
    </xf>
    <xf numFmtId="0" fontId="22" fillId="21" borderId="17" xfId="74" applyBorder="1">
      <alignment horizontal="centerContinuous" vertical="center" wrapText="1"/>
    </xf>
    <xf numFmtId="164" fontId="22" fillId="21" borderId="2" xfId="73" applyNumberFormat="1" applyFont="1" applyFill="1" applyBorder="1" applyAlignment="1">
      <alignment horizontal="centerContinuous" vertical="center" wrapText="1"/>
    </xf>
    <xf numFmtId="0" fontId="22" fillId="21" borderId="2" xfId="74">
      <alignment horizontal="centerContinuous" vertical="center" wrapText="1"/>
    </xf>
    <xf numFmtId="0" fontId="22" fillId="21" borderId="18" xfId="74" applyBorder="1">
      <alignment horizontal="centerContinuous" vertical="center" wrapText="1"/>
    </xf>
    <xf numFmtId="164" fontId="40" fillId="0" borderId="24" xfId="73" quotePrefix="1" applyNumberFormat="1" applyFont="1" applyBorder="1" applyAlignment="1">
      <alignment horizontal="center"/>
    </xf>
    <xf numFmtId="164" fontId="41" fillId="0" borderId="24" xfId="73" applyNumberFormat="1" applyFont="1" applyBorder="1" applyAlignment="1">
      <alignment horizontal="center"/>
    </xf>
    <xf numFmtId="164" fontId="40" fillId="0" borderId="24" xfId="73" applyNumberFormat="1" applyFont="1" applyBorder="1"/>
    <xf numFmtId="164" fontId="40" fillId="0" borderId="26" xfId="73" applyNumberFormat="1" applyFont="1" applyBorder="1"/>
    <xf numFmtId="164" fontId="25" fillId="0" borderId="0" xfId="73" applyNumberFormat="1" applyFont="1" applyFill="1"/>
    <xf numFmtId="164" fontId="22" fillId="0" borderId="10" xfId="73" applyNumberFormat="1" applyFont="1" applyBorder="1" applyAlignment="1">
      <alignment horizontal="left"/>
    </xf>
    <xf numFmtId="164" fontId="39" fillId="0" borderId="10" xfId="73" applyNumberFormat="1" applyFont="1" applyBorder="1" applyAlignment="1">
      <alignment horizontal="left"/>
    </xf>
    <xf numFmtId="164" fontId="22" fillId="0" borderId="10" xfId="73" applyNumberFormat="1" applyFont="1" applyBorder="1"/>
    <xf numFmtId="164" fontId="40" fillId="0" borderId="24" xfId="73" applyNumberFormat="1" applyFont="1" applyBorder="1" applyAlignment="1">
      <alignment horizontal="center"/>
    </xf>
    <xf numFmtId="164" fontId="22" fillId="0" borderId="10" xfId="73" quotePrefix="1" applyNumberFormat="1" applyFont="1" applyBorder="1" applyAlignment="1">
      <alignment horizontal="left"/>
    </xf>
    <xf numFmtId="164" fontId="25" fillId="0" borderId="27" xfId="73" applyNumberFormat="1" applyFont="1" applyBorder="1"/>
    <xf numFmtId="164" fontId="25" fillId="0" borderId="27" xfId="73" quotePrefix="1" applyNumberFormat="1" applyFont="1" applyBorder="1" applyAlignment="1">
      <alignment horizontal="right"/>
    </xf>
    <xf numFmtId="164" fontId="34" fillId="0" borderId="27" xfId="73" applyNumberFormat="1" applyFont="1" applyBorder="1" applyAlignment="1">
      <alignment horizontal="right"/>
    </xf>
    <xf numFmtId="164" fontId="22" fillId="0" borderId="2" xfId="73" applyNumberFormat="1" applyFont="1" applyBorder="1"/>
    <xf numFmtId="3" fontId="25" fillId="0" borderId="0" xfId="72" applyNumberFormat="1"/>
    <xf numFmtId="164" fontId="25" fillId="0" borderId="0" xfId="72" applyNumberFormat="1"/>
    <xf numFmtId="0" fontId="25" fillId="0" borderId="0" xfId="72" applyBorder="1"/>
    <xf numFmtId="0" fontId="33" fillId="0" borderId="0" xfId="75" applyFont="1" applyFill="1" applyAlignment="1">
      <alignment horizontal="left" vertical="center"/>
    </xf>
    <xf numFmtId="0" fontId="37" fillId="0" borderId="0" xfId="75" applyFont="1" applyFill="1" applyAlignment="1">
      <alignment horizontal="center" vertical="center" wrapText="1"/>
    </xf>
    <xf numFmtId="0" fontId="37" fillId="0" borderId="0" xfId="75" applyFont="1" applyFill="1" applyAlignment="1">
      <alignment vertical="center" wrapText="1"/>
    </xf>
    <xf numFmtId="1" fontId="33" fillId="0" borderId="0" xfId="75" applyNumberFormat="1" applyFont="1" applyFill="1" applyAlignment="1">
      <alignment horizontal="center" vertical="center"/>
    </xf>
    <xf numFmtId="1" fontId="33" fillId="0" borderId="0" xfId="75" applyNumberFormat="1" applyFont="1" applyFill="1" applyAlignment="1">
      <alignment horizontal="center" vertical="center" wrapText="1"/>
    </xf>
    <xf numFmtId="0" fontId="33" fillId="0" borderId="16" xfId="76" applyNumberFormat="1" applyFont="1" applyFill="1" applyBorder="1" applyAlignment="1">
      <alignment horizontal="center" vertical="center"/>
    </xf>
    <xf numFmtId="14" fontId="33" fillId="0" borderId="16" xfId="75" applyNumberFormat="1" applyFont="1" applyFill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vertical="center"/>
    </xf>
    <xf numFmtId="0" fontId="33" fillId="0" borderId="16" xfId="75" quotePrefix="1" applyNumberFormat="1" applyFont="1" applyFill="1" applyBorder="1" applyAlignment="1">
      <alignment horizontal="center" vertical="center"/>
    </xf>
    <xf numFmtId="164" fontId="33" fillId="0" borderId="16" xfId="75" applyNumberFormat="1" applyFont="1" applyFill="1" applyBorder="1" applyAlignment="1">
      <alignment horizontal="left" vertical="center"/>
    </xf>
    <xf numFmtId="0" fontId="33" fillId="0" borderId="16" xfId="75" applyNumberFormat="1" applyFont="1" applyFill="1" applyBorder="1" applyAlignment="1">
      <alignment horizontal="center" vertical="center"/>
    </xf>
    <xf numFmtId="1" fontId="33" fillId="0" borderId="16" xfId="75" quotePrefix="1" applyNumberFormat="1" applyFont="1" applyFill="1" applyBorder="1" applyAlignment="1">
      <alignment horizontal="center" vertical="center"/>
    </xf>
    <xf numFmtId="164" fontId="45" fillId="0" borderId="16" xfId="75" applyNumberFormat="1" applyFont="1" applyFill="1" applyBorder="1" applyAlignment="1">
      <alignment horizontal="left" vertical="center"/>
    </xf>
    <xf numFmtId="0" fontId="33" fillId="0" borderId="2" xfId="75" applyFont="1" applyFill="1" applyBorder="1" applyAlignment="1">
      <alignment horizontal="center" vertical="center" wrapText="1"/>
    </xf>
    <xf numFmtId="0" fontId="33" fillId="0" borderId="0" xfId="75" applyFont="1" applyFill="1" applyAlignment="1">
      <alignment horizontal="center" vertical="center" wrapText="1"/>
    </xf>
    <xf numFmtId="0" fontId="33" fillId="0" borderId="20" xfId="75" applyFont="1" applyFill="1" applyBorder="1" applyAlignment="1">
      <alignment horizontal="center" vertical="center" wrapText="1"/>
    </xf>
    <xf numFmtId="0" fontId="33" fillId="0" borderId="2" xfId="75" applyNumberFormat="1" applyFont="1" applyFill="1" applyBorder="1" applyAlignment="1">
      <alignment horizontal="center" vertical="center" wrapText="1"/>
    </xf>
    <xf numFmtId="0" fontId="33" fillId="0" borderId="0" xfId="75" applyFont="1" applyFill="1" applyAlignment="1">
      <alignment horizontal="center" vertical="center"/>
    </xf>
    <xf numFmtId="14" fontId="33" fillId="0" borderId="16" xfId="76" applyNumberFormat="1" applyFont="1" applyBorder="1" applyAlignment="1">
      <alignment horizontal="center" vertical="center"/>
    </xf>
    <xf numFmtId="0" fontId="0" fillId="0" borderId="0" xfId="0" applyAlignment="1"/>
    <xf numFmtId="49" fontId="33" fillId="0" borderId="0" xfId="75" applyNumberFormat="1" applyFont="1" applyFill="1" applyAlignment="1">
      <alignment horizontal="center" vertical="center"/>
    </xf>
    <xf numFmtId="49" fontId="45" fillId="0" borderId="16" xfId="75" applyNumberFormat="1" applyFont="1" applyFill="1" applyBorder="1" applyAlignment="1">
      <alignment horizontal="left" vertical="center"/>
    </xf>
    <xf numFmtId="49" fontId="33" fillId="0" borderId="16" xfId="75" applyNumberFormat="1" applyFont="1" applyFill="1" applyBorder="1" applyAlignment="1">
      <alignment horizontal="left" vertical="center"/>
    </xf>
    <xf numFmtId="14" fontId="46" fillId="0" borderId="16" xfId="75" applyNumberFormat="1" applyFont="1" applyFill="1" applyBorder="1" applyAlignment="1">
      <alignment horizontal="center" vertical="center"/>
    </xf>
    <xf numFmtId="164" fontId="46" fillId="0" borderId="16" xfId="75" applyNumberFormat="1" applyFont="1" applyFill="1" applyBorder="1" applyAlignment="1">
      <alignment horizontal="left" vertical="center"/>
    </xf>
    <xf numFmtId="49" fontId="46" fillId="0" borderId="16" xfId="75" applyNumberFormat="1" applyFont="1" applyFill="1" applyBorder="1" applyAlignment="1">
      <alignment horizontal="left" vertical="center"/>
    </xf>
    <xf numFmtId="164" fontId="46" fillId="0" borderId="16" xfId="76" applyNumberFormat="1" applyFont="1" applyFill="1" applyBorder="1" applyAlignment="1">
      <alignment vertical="center"/>
    </xf>
    <xf numFmtId="0" fontId="46" fillId="0" borderId="16" xfId="75" quotePrefix="1" applyNumberFormat="1" applyFont="1" applyFill="1" applyBorder="1" applyAlignment="1">
      <alignment horizontal="center" vertical="center"/>
    </xf>
    <xf numFmtId="164" fontId="22" fillId="0" borderId="27" xfId="73" applyNumberFormat="1" applyFont="1" applyBorder="1"/>
    <xf numFmtId="164" fontId="22" fillId="0" borderId="28" xfId="73" applyNumberFormat="1" applyFont="1" applyBorder="1"/>
    <xf numFmtId="1" fontId="46" fillId="0" borderId="16" xfId="75" quotePrefix="1" applyNumberFormat="1" applyFont="1" applyFill="1" applyBorder="1" applyAlignment="1">
      <alignment horizontal="center" vertical="center"/>
    </xf>
    <xf numFmtId="49" fontId="46" fillId="0" borderId="16" xfId="75" quotePrefix="1" applyNumberFormat="1" applyFont="1" applyFill="1" applyBorder="1" applyAlignment="1">
      <alignment horizontal="left" vertical="center"/>
    </xf>
    <xf numFmtId="49" fontId="37" fillId="0" borderId="0" xfId="75" applyNumberFormat="1" applyFont="1" applyFill="1" applyAlignment="1">
      <alignment vertical="center"/>
    </xf>
    <xf numFmtId="49" fontId="37" fillId="0" borderId="0" xfId="75" applyNumberFormat="1" applyFont="1" applyFill="1" applyAlignment="1">
      <alignment horizontal="center" vertical="center"/>
    </xf>
    <xf numFmtId="49" fontId="0" fillId="0" borderId="0" xfId="0" applyNumberFormat="1" applyAlignment="1"/>
    <xf numFmtId="0" fontId="39" fillId="0" borderId="0" xfId="76" applyFont="1" applyFill="1" applyBorder="1" applyAlignment="1" applyProtection="1">
      <alignment horizontal="left" vertical="center"/>
      <protection hidden="1"/>
    </xf>
    <xf numFmtId="0" fontId="34" fillId="0" borderId="0" xfId="76" applyFont="1" applyFill="1" applyBorder="1" applyAlignment="1" applyProtection="1">
      <alignment horizontal="justify" vertical="center"/>
      <protection hidden="1"/>
    </xf>
    <xf numFmtId="0" fontId="32" fillId="0" borderId="0" xfId="76" applyFont="1" applyFill="1" applyBorder="1" applyAlignment="1" applyProtection="1">
      <alignment vertical="center"/>
      <protection hidden="1"/>
    </xf>
    <xf numFmtId="0" fontId="47" fillId="0" borderId="0" xfId="76" applyFont="1" applyFill="1" applyBorder="1" applyAlignment="1" applyProtection="1">
      <alignment vertical="center"/>
      <protection hidden="1"/>
    </xf>
    <xf numFmtId="0" fontId="48" fillId="0" borderId="0" xfId="76" applyFont="1" applyFill="1" applyBorder="1" applyAlignment="1" applyProtection="1">
      <alignment horizontal="center" vertical="center"/>
      <protection hidden="1"/>
    </xf>
    <xf numFmtId="0" fontId="48" fillId="0" borderId="0" xfId="76" applyFont="1" applyFill="1" applyBorder="1" applyAlignment="1" applyProtection="1">
      <alignment vertical="center"/>
      <protection hidden="1"/>
    </xf>
    <xf numFmtId="0" fontId="32" fillId="0" borderId="0" xfId="78" applyNumberFormat="1" applyFont="1" applyFill="1" applyBorder="1" applyAlignment="1" applyProtection="1">
      <alignment horizontal="center" vertical="center"/>
      <protection hidden="1"/>
    </xf>
    <xf numFmtId="0" fontId="50" fillId="0" borderId="0" xfId="76" applyFont="1" applyFill="1" applyBorder="1" applyAlignment="1" applyProtection="1">
      <alignment vertical="center"/>
      <protection hidden="1"/>
    </xf>
    <xf numFmtId="0" fontId="51" fillId="0" borderId="0" xfId="76" applyFont="1" applyFill="1" applyBorder="1" applyAlignment="1" applyProtection="1">
      <alignment vertical="center"/>
      <protection hidden="1"/>
    </xf>
    <xf numFmtId="14" fontId="32" fillId="0" borderId="0" xfId="76" applyNumberFormat="1" applyFont="1" applyFill="1" applyBorder="1" applyAlignment="1" applyProtection="1">
      <alignment vertical="center"/>
      <protection hidden="1"/>
    </xf>
    <xf numFmtId="0" fontId="34" fillId="0" borderId="0" xfId="76" applyFont="1" applyFill="1" applyBorder="1" applyAlignment="1" applyProtection="1">
      <alignment vertical="center"/>
      <protection hidden="1"/>
    </xf>
    <xf numFmtId="0" fontId="34" fillId="0" borderId="0" xfId="76" applyFont="1" applyFill="1" applyBorder="1" applyAlignment="1" applyProtection="1">
      <alignment horizontal="left" vertical="center"/>
      <protection hidden="1"/>
    </xf>
    <xf numFmtId="0" fontId="34" fillId="0" borderId="0" xfId="79" applyFont="1" applyAlignment="1" applyProtection="1">
      <alignment horizontal="center" vertical="center"/>
      <protection hidden="1"/>
    </xf>
    <xf numFmtId="0" fontId="52" fillId="0" borderId="0" xfId="76" applyFont="1" applyFill="1" applyBorder="1" applyAlignment="1" applyProtection="1">
      <alignment vertical="center"/>
      <protection hidden="1"/>
    </xf>
    <xf numFmtId="0" fontId="53" fillId="0" borderId="0" xfId="76" applyFont="1" applyFill="1" applyBorder="1" applyAlignment="1" applyProtection="1">
      <alignment vertical="center"/>
      <protection hidden="1"/>
    </xf>
    <xf numFmtId="0" fontId="39" fillId="0" borderId="0" xfId="79" applyFont="1" applyAlignment="1" applyProtection="1">
      <alignment horizontal="center" vertical="center"/>
      <protection hidden="1"/>
    </xf>
    <xf numFmtId="0" fontId="33" fillId="0" borderId="0" xfId="76" applyFont="1" applyFill="1" applyBorder="1" applyAlignment="1" applyProtection="1">
      <alignment vertical="center"/>
      <protection hidden="1"/>
    </xf>
    <xf numFmtId="10" fontId="32" fillId="0" borderId="0" xfId="78" applyNumberFormat="1" applyFont="1" applyFill="1" applyBorder="1" applyAlignment="1" applyProtection="1">
      <alignment vertical="center"/>
      <protection hidden="1"/>
    </xf>
    <xf numFmtId="171" fontId="54" fillId="0" borderId="0" xfId="76" applyNumberFormat="1" applyFont="1" applyFill="1" applyBorder="1" applyAlignment="1" applyProtection="1">
      <alignment vertical="center"/>
      <protection hidden="1"/>
    </xf>
    <xf numFmtId="0" fontId="47" fillId="0" borderId="0" xfId="76" applyFont="1" applyFill="1" applyBorder="1" applyAlignment="1" applyProtection="1">
      <alignment horizontal="center" vertical="center"/>
      <protection hidden="1"/>
    </xf>
    <xf numFmtId="0" fontId="52" fillId="0" borderId="0" xfId="76" applyFont="1" applyFill="1" applyBorder="1" applyAlignment="1" applyProtection="1">
      <alignment horizontal="center" vertical="center"/>
      <protection hidden="1"/>
    </xf>
    <xf numFmtId="10" fontId="56" fillId="0" borderId="0" xfId="80" applyNumberFormat="1" applyFont="1" applyFill="1" applyBorder="1" applyAlignment="1" applyProtection="1">
      <alignment horizontal="center" vertical="center"/>
      <protection hidden="1"/>
    </xf>
    <xf numFmtId="0" fontId="32" fillId="0" borderId="0" xfId="76" applyFont="1" applyFill="1" applyBorder="1" applyAlignment="1" applyProtection="1">
      <alignment vertical="center"/>
      <protection locked="0" hidden="1"/>
    </xf>
    <xf numFmtId="0" fontId="33" fillId="0" borderId="0" xfId="79" applyFont="1" applyAlignment="1" applyProtection="1">
      <alignment horizontal="center" vertical="center"/>
      <protection hidden="1"/>
    </xf>
    <xf numFmtId="0" fontId="57" fillId="0" borderId="0" xfId="76" applyFont="1" applyFill="1" applyBorder="1" applyAlignment="1" applyProtection="1">
      <alignment horizontal="left" vertical="center"/>
      <protection hidden="1"/>
    </xf>
    <xf numFmtId="0" fontId="57" fillId="0" borderId="0" xfId="76" applyFont="1" applyFill="1" applyBorder="1" applyAlignment="1" applyProtection="1">
      <alignment horizontal="justify" vertical="center"/>
      <protection hidden="1"/>
    </xf>
    <xf numFmtId="0" fontId="57" fillId="0" borderId="0" xfId="76" applyFont="1" applyFill="1" applyBorder="1" applyAlignment="1" applyProtection="1">
      <alignment vertical="center"/>
      <protection hidden="1"/>
    </xf>
    <xf numFmtId="171" fontId="58" fillId="0" borderId="0" xfId="76" applyNumberFormat="1" applyFont="1" applyFill="1" applyBorder="1" applyAlignment="1" applyProtection="1">
      <alignment vertical="center"/>
      <protection hidden="1"/>
    </xf>
    <xf numFmtId="0" fontId="37" fillId="0" borderId="0" xfId="76" applyFont="1" applyFill="1" applyBorder="1" applyAlignment="1" applyProtection="1">
      <alignment vertical="center"/>
      <protection hidden="1"/>
    </xf>
    <xf numFmtId="164" fontId="57" fillId="0" borderId="0" xfId="73" applyNumberFormat="1" applyFont="1" applyFill="1" applyBorder="1" applyAlignment="1" applyProtection="1">
      <alignment vertical="center"/>
      <protection hidden="1"/>
    </xf>
    <xf numFmtId="10" fontId="57" fillId="0" borderId="0" xfId="78" applyNumberFormat="1" applyFont="1" applyFill="1" applyBorder="1" applyAlignment="1" applyProtection="1">
      <alignment vertical="center"/>
      <protection hidden="1"/>
    </xf>
    <xf numFmtId="49" fontId="59" fillId="0" borderId="0" xfId="76" applyNumberFormat="1" applyFont="1" applyFill="1" applyBorder="1" applyAlignment="1" applyProtection="1">
      <alignment vertical="center"/>
      <protection hidden="1"/>
    </xf>
    <xf numFmtId="0" fontId="37" fillId="0" borderId="0" xfId="76" applyFont="1" applyFill="1" applyBorder="1" applyAlignment="1" applyProtection="1">
      <alignment horizontal="left" vertical="center"/>
      <protection hidden="1"/>
    </xf>
    <xf numFmtId="0" fontId="59" fillId="0" borderId="0" xfId="76" applyNumberFormat="1" applyFont="1" applyFill="1" applyBorder="1" applyAlignment="1" applyProtection="1">
      <alignment vertical="center"/>
      <protection hidden="1"/>
    </xf>
    <xf numFmtId="0" fontId="59" fillId="0" borderId="0" xfId="76" applyFont="1" applyFill="1" applyBorder="1" applyAlignment="1" applyProtection="1">
      <alignment horizontal="left" vertical="center"/>
      <protection hidden="1"/>
    </xf>
    <xf numFmtId="0" fontId="59" fillId="0" borderId="0" xfId="76" applyNumberFormat="1" applyFont="1" applyFill="1" applyBorder="1" applyAlignment="1" applyProtection="1">
      <alignment horizontal="left" vertical="center"/>
      <protection hidden="1"/>
    </xf>
    <xf numFmtId="10" fontId="57" fillId="0" borderId="0" xfId="78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6" applyFont="1" applyFill="1" applyBorder="1" applyAlignment="1" applyProtection="1">
      <alignment horizontal="left" vertical="center"/>
      <protection hidden="1"/>
    </xf>
    <xf numFmtId="10" fontId="32" fillId="0" borderId="0" xfId="76" applyNumberFormat="1" applyFont="1" applyFill="1" applyBorder="1" applyAlignment="1" applyProtection="1">
      <alignment vertical="center"/>
      <protection hidden="1"/>
    </xf>
    <xf numFmtId="164" fontId="35" fillId="0" borderId="0" xfId="73" applyNumberFormat="1" applyFont="1" applyFill="1" applyBorder="1" applyAlignment="1" applyProtection="1">
      <alignment vertical="center"/>
      <protection hidden="1"/>
    </xf>
    <xf numFmtId="37" fontId="32" fillId="0" borderId="0" xfId="78" applyNumberFormat="1" applyFont="1" applyFill="1" applyBorder="1" applyAlignment="1" applyProtection="1">
      <alignment vertical="center"/>
      <protection hidden="1"/>
    </xf>
    <xf numFmtId="172" fontId="54" fillId="0" borderId="0" xfId="76" applyNumberFormat="1" applyFont="1" applyFill="1" applyBorder="1" applyAlignment="1" applyProtection="1">
      <alignment vertical="center"/>
      <protection hidden="1"/>
    </xf>
    <xf numFmtId="0" fontId="35" fillId="0" borderId="0" xfId="76" applyFont="1" applyFill="1" applyBorder="1" applyAlignment="1" applyProtection="1">
      <alignment horizontal="center" vertical="center"/>
      <protection hidden="1"/>
    </xf>
    <xf numFmtId="0" fontId="35" fillId="0" borderId="0" xfId="76" applyFont="1" applyFill="1" applyBorder="1" applyAlignment="1" applyProtection="1">
      <alignment vertical="center"/>
      <protection hidden="1"/>
    </xf>
    <xf numFmtId="172" fontId="35" fillId="0" borderId="0" xfId="76" applyNumberFormat="1" applyFont="1" applyFill="1" applyBorder="1" applyAlignment="1" applyProtection="1">
      <alignment horizontal="center" vertical="center"/>
      <protection hidden="1"/>
    </xf>
    <xf numFmtId="172" fontId="35" fillId="0" borderId="0" xfId="76" applyNumberFormat="1" applyFont="1" applyFill="1" applyBorder="1" applyAlignment="1" applyProtection="1">
      <alignment vertical="center"/>
      <protection hidden="1"/>
    </xf>
    <xf numFmtId="0" fontId="32" fillId="0" borderId="0" xfId="76" applyFont="1" applyFill="1" applyBorder="1" applyAlignment="1" applyProtection="1">
      <alignment horizontal="center" vertical="center"/>
      <protection hidden="1"/>
    </xf>
    <xf numFmtId="0" fontId="36" fillId="0" borderId="0" xfId="76"/>
    <xf numFmtId="0" fontId="35" fillId="26" borderId="2" xfId="76" applyFont="1" applyFill="1" applyBorder="1" applyAlignment="1" applyProtection="1">
      <alignment vertical="center"/>
      <protection locked="0" hidden="1"/>
    </xf>
    <xf numFmtId="0" fontId="35" fillId="27" borderId="2" xfId="76" applyFont="1" applyFill="1" applyBorder="1" applyAlignment="1" applyProtection="1">
      <alignment vertical="center"/>
      <protection locked="0" hidden="1"/>
    </xf>
    <xf numFmtId="0" fontId="39" fillId="0" borderId="0" xfId="76" applyFont="1" applyFill="1" applyBorder="1" applyAlignment="1" applyProtection="1">
      <alignment vertical="center"/>
      <protection locked="0" hidden="1"/>
    </xf>
    <xf numFmtId="0" fontId="35" fillId="28" borderId="2" xfId="76" applyNumberFormat="1" applyFont="1" applyFill="1" applyBorder="1" applyAlignment="1" applyProtection="1">
      <alignment vertical="center"/>
      <protection locked="0" hidden="1"/>
    </xf>
    <xf numFmtId="0" fontId="33" fillId="0" borderId="0" xfId="0" applyFont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172" fontId="58" fillId="0" borderId="0" xfId="76" applyNumberFormat="1" applyFont="1" applyFill="1" applyBorder="1" applyAlignment="1" applyProtection="1">
      <alignment horizontal="center" vertical="center"/>
      <protection hidden="1"/>
    </xf>
    <xf numFmtId="1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32" fillId="0" borderId="0" xfId="76" applyNumberFormat="1" applyFont="1" applyAlignment="1">
      <alignment vertical="center"/>
    </xf>
    <xf numFmtId="164" fontId="32" fillId="0" borderId="0" xfId="76" applyNumberFormat="1" applyFont="1" applyAlignment="1">
      <alignment horizontal="left" vertical="center"/>
    </xf>
    <xf numFmtId="164" fontId="32" fillId="0" borderId="2" xfId="76" applyNumberFormat="1" applyFont="1" applyBorder="1" applyAlignment="1">
      <alignment horizontal="center" vertical="center" wrapText="1"/>
    </xf>
    <xf numFmtId="164" fontId="34" fillId="0" borderId="0" xfId="76" applyNumberFormat="1" applyFont="1" applyAlignment="1">
      <alignment vertical="center"/>
    </xf>
    <xf numFmtId="164" fontId="34" fillId="0" borderId="2" xfId="76" applyNumberFormat="1" applyFont="1" applyBorder="1" applyAlignment="1">
      <alignment horizontal="center" vertical="center" wrapText="1"/>
    </xf>
    <xf numFmtId="164" fontId="35" fillId="0" borderId="0" xfId="76" applyNumberFormat="1" applyFont="1" applyAlignment="1">
      <alignment vertical="center"/>
    </xf>
    <xf numFmtId="164" fontId="35" fillId="0" borderId="22" xfId="76" applyNumberFormat="1" applyFont="1" applyBorder="1" applyAlignment="1">
      <alignment vertical="center" wrapText="1"/>
    </xf>
    <xf numFmtId="49" fontId="35" fillId="0" borderId="22" xfId="76" applyNumberFormat="1" applyFont="1" applyBorder="1" applyAlignment="1">
      <alignment vertical="center" wrapText="1"/>
    </xf>
    <xf numFmtId="164" fontId="35" fillId="0" borderId="22" xfId="76" applyNumberFormat="1" applyFont="1" applyBorder="1" applyAlignment="1">
      <alignment horizontal="left" vertical="center" wrapText="1"/>
    </xf>
    <xf numFmtId="14" fontId="32" fillId="0" borderId="16" xfId="76" applyNumberFormat="1" applyFont="1" applyBorder="1" applyAlignment="1">
      <alignment horizontal="center" vertical="center" wrapText="1"/>
    </xf>
    <xf numFmtId="164" fontId="32" fillId="0" borderId="16" xfId="76" applyNumberFormat="1" applyFont="1" applyBorder="1" applyAlignment="1">
      <alignment horizontal="center" vertical="center" wrapText="1"/>
    </xf>
    <xf numFmtId="164" fontId="32" fillId="0" borderId="16" xfId="76" applyNumberFormat="1" applyFont="1" applyBorder="1" applyAlignment="1">
      <alignment horizontal="center" vertical="center"/>
    </xf>
    <xf numFmtId="164" fontId="32" fillId="0" borderId="16" xfId="76" applyNumberFormat="1" applyFont="1" applyBorder="1" applyAlignment="1">
      <alignment horizontal="left" vertical="center" wrapText="1"/>
    </xf>
    <xf numFmtId="164" fontId="32" fillId="0" borderId="16" xfId="76" quotePrefix="1" applyNumberFormat="1" applyFont="1" applyBorder="1" applyAlignment="1">
      <alignment horizontal="center" vertical="center" wrapText="1"/>
    </xf>
    <xf numFmtId="164" fontId="32" fillId="0" borderId="16" xfId="73" applyNumberFormat="1" applyFont="1" applyBorder="1" applyAlignment="1">
      <alignment horizontal="left" vertical="center" wrapText="1"/>
    </xf>
    <xf numFmtId="164" fontId="32" fillId="0" borderId="16" xfId="76" applyNumberFormat="1" applyFont="1" applyBorder="1" applyAlignment="1">
      <alignment vertical="center" wrapText="1"/>
    </xf>
    <xf numFmtId="164" fontId="35" fillId="0" borderId="16" xfId="76" applyNumberFormat="1" applyFont="1" applyBorder="1" applyAlignment="1">
      <alignment vertical="center" wrapText="1"/>
    </xf>
    <xf numFmtId="164" fontId="35" fillId="0" borderId="16" xfId="76" applyNumberFormat="1" applyFont="1" applyBorder="1" applyAlignment="1">
      <alignment horizontal="center" vertical="center" wrapText="1"/>
    </xf>
    <xf numFmtId="164" fontId="35" fillId="0" borderId="19" xfId="76" applyNumberFormat="1" applyFont="1" applyBorder="1" applyAlignment="1">
      <alignment vertical="center" wrapText="1"/>
    </xf>
    <xf numFmtId="164" fontId="35" fillId="0" borderId="19" xfId="76" applyNumberFormat="1" applyFont="1" applyBorder="1" applyAlignment="1">
      <alignment horizontal="center" vertical="center" wrapText="1"/>
    </xf>
    <xf numFmtId="164" fontId="32" fillId="0" borderId="19" xfId="76" applyNumberFormat="1" applyFont="1" applyBorder="1" applyAlignment="1">
      <alignment vertical="center" wrapText="1"/>
    </xf>
    <xf numFmtId="164" fontId="32" fillId="0" borderId="0" xfId="76" quotePrefix="1" applyNumberFormat="1" applyFont="1" applyAlignment="1">
      <alignment vertical="center"/>
    </xf>
    <xf numFmtId="0" fontId="54" fillId="0" borderId="0" xfId="53" applyFont="1" applyAlignment="1">
      <alignment horizontal="center" vertical="center"/>
    </xf>
    <xf numFmtId="0" fontId="35" fillId="0" borderId="0" xfId="53" applyFont="1" applyAlignment="1">
      <alignment horizontal="center" vertical="center"/>
    </xf>
    <xf numFmtId="0" fontId="32" fillId="0" borderId="0" xfId="53" applyFont="1" applyAlignment="1">
      <alignment horizontal="center" vertical="center"/>
    </xf>
    <xf numFmtId="0" fontId="35" fillId="0" borderId="0" xfId="76" applyFont="1" applyFill="1" applyBorder="1" applyAlignment="1" applyProtection="1">
      <alignment horizontal="left" vertical="center"/>
      <protection hidden="1"/>
    </xf>
    <xf numFmtId="164" fontId="35" fillId="0" borderId="0" xfId="76" applyNumberFormat="1" applyFont="1" applyAlignment="1">
      <alignment horizontal="center" vertical="center"/>
    </xf>
    <xf numFmtId="164" fontId="35" fillId="0" borderId="22" xfId="73" applyNumberFormat="1" applyFont="1" applyBorder="1" applyAlignment="1">
      <alignment horizontal="right" vertical="center" wrapText="1"/>
    </xf>
    <xf numFmtId="164" fontId="61" fillId="25" borderId="32" xfId="76" applyNumberFormat="1" applyFont="1" applyFill="1" applyBorder="1" applyAlignment="1">
      <alignment vertical="center"/>
    </xf>
    <xf numFmtId="164" fontId="61" fillId="0" borderId="35" xfId="76" applyNumberFormat="1" applyFont="1" applyBorder="1" applyAlignment="1" applyProtection="1">
      <alignment vertical="center"/>
      <protection hidden="1"/>
    </xf>
    <xf numFmtId="164" fontId="61" fillId="0" borderId="36" xfId="76" applyNumberFormat="1" applyFont="1" applyBorder="1" applyAlignment="1" applyProtection="1">
      <alignment vertical="center"/>
      <protection hidden="1"/>
    </xf>
    <xf numFmtId="0" fontId="33" fillId="0" borderId="0" xfId="86" quotePrefix="1" applyFont="1" applyAlignment="1">
      <alignment horizontal="left" vertical="center"/>
    </xf>
    <xf numFmtId="14" fontId="33" fillId="0" borderId="16" xfId="53" applyNumberFormat="1" applyFont="1" applyFill="1" applyBorder="1" applyAlignment="1">
      <alignment horizontal="center" vertical="center"/>
    </xf>
    <xf numFmtId="0" fontId="33" fillId="0" borderId="0" xfId="53" applyFont="1" applyFill="1" applyAlignment="1">
      <alignment horizontal="left" vertical="center"/>
    </xf>
    <xf numFmtId="49" fontId="33" fillId="0" borderId="0" xfId="89" applyNumberFormat="1" applyFont="1" applyFill="1" applyAlignment="1">
      <alignment horizontal="left" vertical="center"/>
    </xf>
    <xf numFmtId="0" fontId="37" fillId="0" borderId="0" xfId="53" applyFont="1" applyFill="1" applyAlignment="1">
      <alignment horizontal="center" vertical="center" wrapText="1"/>
    </xf>
    <xf numFmtId="0" fontId="37" fillId="0" borderId="0" xfId="53" applyFont="1" applyFill="1" applyAlignment="1">
      <alignment vertical="center" wrapText="1"/>
    </xf>
    <xf numFmtId="0" fontId="33" fillId="0" borderId="0" xfId="53" applyFont="1" applyFill="1" applyAlignment="1">
      <alignment horizontal="center" vertical="center"/>
    </xf>
    <xf numFmtId="0" fontId="33" fillId="0" borderId="0" xfId="53" applyNumberFormat="1" applyFont="1" applyFill="1" applyAlignment="1">
      <alignment horizontal="center" vertical="center"/>
    </xf>
    <xf numFmtId="0" fontId="33" fillId="0" borderId="0" xfId="53" applyFont="1" applyFill="1" applyAlignment="1">
      <alignment horizontal="center" vertical="center" wrapText="1"/>
    </xf>
    <xf numFmtId="0" fontId="33" fillId="0" borderId="0" xfId="53" applyFont="1" applyFill="1" applyAlignment="1">
      <alignment vertical="center" wrapText="1"/>
    </xf>
    <xf numFmtId="0" fontId="33" fillId="0" borderId="0" xfId="53" applyNumberFormat="1" applyFont="1" applyFill="1" applyAlignment="1">
      <alignment horizontal="center" vertical="center" wrapText="1"/>
    </xf>
    <xf numFmtId="0" fontId="42" fillId="0" borderId="0" xfId="53" applyFont="1" applyFill="1" applyAlignment="1">
      <alignment vertical="center"/>
    </xf>
    <xf numFmtId="0" fontId="42" fillId="0" borderId="0" xfId="53" applyFont="1" applyFill="1" applyAlignment="1">
      <alignment horizontal="center" vertical="center"/>
    </xf>
    <xf numFmtId="0" fontId="37" fillId="0" borderId="0" xfId="53" applyFont="1" applyFill="1" applyAlignment="1">
      <alignment horizontal="center" vertical="center"/>
    </xf>
    <xf numFmtId="0" fontId="32" fillId="0" borderId="0" xfId="53" applyFont="1" applyFill="1" applyAlignment="1">
      <alignment vertical="center"/>
    </xf>
    <xf numFmtId="0" fontId="32" fillId="0" borderId="0" xfId="53" applyFont="1" applyFill="1" applyAlignment="1">
      <alignment horizontal="center" vertical="center"/>
    </xf>
    <xf numFmtId="0" fontId="33" fillId="0" borderId="2" xfId="53" applyFont="1" applyFill="1" applyBorder="1" applyAlignment="1">
      <alignment horizontal="center" vertical="center" wrapText="1"/>
    </xf>
    <xf numFmtId="0" fontId="33" fillId="0" borderId="20" xfId="53" applyFont="1" applyFill="1" applyBorder="1" applyAlignment="1">
      <alignment horizontal="center" vertical="center" wrapText="1"/>
    </xf>
    <xf numFmtId="0" fontId="33" fillId="0" borderId="2" xfId="53" applyNumberFormat="1" applyFont="1" applyFill="1" applyBorder="1" applyAlignment="1">
      <alignment horizontal="center" vertical="center" wrapText="1"/>
    </xf>
    <xf numFmtId="0" fontId="43" fillId="0" borderId="2" xfId="53" applyFont="1" applyFill="1" applyBorder="1" applyAlignment="1">
      <alignment horizontal="center" vertical="center"/>
    </xf>
    <xf numFmtId="0" fontId="43" fillId="0" borderId="0" xfId="53" applyFont="1" applyFill="1" applyAlignment="1">
      <alignment horizontal="center" vertical="center"/>
    </xf>
    <xf numFmtId="14" fontId="33" fillId="0" borderId="22" xfId="53" applyNumberFormat="1" applyFont="1" applyFill="1" applyBorder="1" applyAlignment="1">
      <alignment horizontal="center" vertical="center"/>
    </xf>
    <xf numFmtId="164" fontId="33" fillId="0" borderId="37" xfId="53" applyNumberFormat="1" applyFont="1" applyFill="1" applyBorder="1" applyAlignment="1">
      <alignment horizontal="center" vertical="center"/>
    </xf>
    <xf numFmtId="164" fontId="37" fillId="0" borderId="22" xfId="53" applyNumberFormat="1" applyFont="1" applyFill="1" applyBorder="1" applyAlignment="1">
      <alignment horizontal="left" vertical="center"/>
    </xf>
    <xf numFmtId="164" fontId="32" fillId="0" borderId="16" xfId="76" applyNumberFormat="1" applyFont="1" applyFill="1" applyBorder="1" applyAlignment="1">
      <alignment vertical="center"/>
    </xf>
    <xf numFmtId="0" fontId="33" fillId="0" borderId="12" xfId="53" applyNumberFormat="1" applyFont="1" applyFill="1" applyBorder="1" applyAlignment="1">
      <alignment horizontal="center" vertical="center"/>
    </xf>
    <xf numFmtId="164" fontId="33" fillId="0" borderId="22" xfId="53" applyNumberFormat="1" applyFont="1" applyFill="1" applyBorder="1" applyAlignment="1">
      <alignment horizontal="center" vertical="center"/>
    </xf>
    <xf numFmtId="164" fontId="33" fillId="0" borderId="22" xfId="73" applyNumberFormat="1" applyFont="1" applyFill="1" applyBorder="1" applyAlignment="1">
      <alignment horizontal="center" vertical="center"/>
    </xf>
    <xf numFmtId="164" fontId="33" fillId="0" borderId="0" xfId="53" applyNumberFormat="1" applyFont="1" applyFill="1" applyAlignment="1">
      <alignment horizontal="center" vertical="center"/>
    </xf>
    <xf numFmtId="14" fontId="33" fillId="0" borderId="16" xfId="76" applyNumberFormat="1" applyFont="1" applyBorder="1" applyAlignment="1">
      <alignment horizontal="center" vertical="center" wrapText="1"/>
    </xf>
    <xf numFmtId="164" fontId="33" fillId="0" borderId="16" xfId="53" applyNumberFormat="1" applyFont="1" applyFill="1" applyBorder="1" applyAlignment="1">
      <alignment horizontal="left" vertical="center"/>
    </xf>
    <xf numFmtId="164" fontId="33" fillId="0" borderId="16" xfId="73" applyNumberFormat="1" applyFont="1" applyFill="1" applyBorder="1" applyAlignment="1">
      <alignment horizontal="center" vertical="center"/>
    </xf>
    <xf numFmtId="14" fontId="46" fillId="0" borderId="16" xfId="53" applyNumberFormat="1" applyFont="1" applyFill="1" applyBorder="1" applyAlignment="1">
      <alignment horizontal="center" vertical="center"/>
    </xf>
    <xf numFmtId="164" fontId="46" fillId="0" borderId="16" xfId="53" applyNumberFormat="1" applyFont="1" applyFill="1" applyBorder="1" applyAlignment="1">
      <alignment horizontal="left" vertical="center"/>
    </xf>
    <xf numFmtId="0" fontId="46" fillId="0" borderId="16" xfId="53" quotePrefix="1" applyNumberFormat="1" applyFont="1" applyFill="1" applyBorder="1" applyAlignment="1">
      <alignment horizontal="center" vertical="center"/>
    </xf>
    <xf numFmtId="14" fontId="34" fillId="0" borderId="38" xfId="76" applyNumberFormat="1" applyFont="1" applyFill="1" applyBorder="1" applyAlignment="1">
      <alignment horizontal="center"/>
    </xf>
    <xf numFmtId="0" fontId="33" fillId="0" borderId="16" xfId="53" applyNumberFormat="1" applyFont="1" applyFill="1" applyBorder="1" applyAlignment="1">
      <alignment horizontal="center" vertical="center"/>
    </xf>
    <xf numFmtId="164" fontId="33" fillId="0" borderId="16" xfId="53" applyNumberFormat="1" applyFont="1" applyFill="1" applyBorder="1" applyAlignment="1">
      <alignment horizontal="center" vertical="center"/>
    </xf>
    <xf numFmtId="164" fontId="33" fillId="0" borderId="19" xfId="53" applyNumberFormat="1" applyFont="1" applyFill="1" applyBorder="1" applyAlignment="1">
      <alignment horizontal="center" vertical="center"/>
    </xf>
    <xf numFmtId="164" fontId="33" fillId="0" borderId="19" xfId="53" applyNumberFormat="1" applyFont="1" applyFill="1" applyBorder="1" applyAlignment="1">
      <alignment horizontal="left" vertical="center"/>
    </xf>
    <xf numFmtId="0" fontId="33" fillId="0" borderId="19" xfId="53" applyNumberFormat="1" applyFont="1" applyFill="1" applyBorder="1" applyAlignment="1">
      <alignment horizontal="center" vertical="center"/>
    </xf>
    <xf numFmtId="164" fontId="33" fillId="0" borderId="19" xfId="73" applyNumberFormat="1" applyFont="1" applyFill="1" applyBorder="1" applyAlignment="1">
      <alignment vertical="center"/>
    </xf>
    <xf numFmtId="164" fontId="33" fillId="0" borderId="2" xfId="53" applyNumberFormat="1" applyFont="1" applyFill="1" applyBorder="1" applyAlignment="1">
      <alignment horizontal="center" vertical="center"/>
    </xf>
    <xf numFmtId="164" fontId="33" fillId="0" borderId="20" xfId="53" applyNumberFormat="1" applyFont="1" applyFill="1" applyBorder="1" applyAlignment="1">
      <alignment horizontal="center" vertical="center"/>
    </xf>
    <xf numFmtId="164" fontId="37" fillId="0" borderId="2" xfId="53" applyNumberFormat="1" applyFont="1" applyFill="1" applyBorder="1" applyAlignment="1">
      <alignment horizontal="left" vertical="center"/>
    </xf>
    <xf numFmtId="0" fontId="33" fillId="0" borderId="2" xfId="53" applyNumberFormat="1" applyFont="1" applyFill="1" applyBorder="1" applyAlignment="1">
      <alignment horizontal="center" vertical="center"/>
    </xf>
    <xf numFmtId="164" fontId="33" fillId="0" borderId="2" xfId="73" applyNumberFormat="1" applyFont="1" applyFill="1" applyBorder="1" applyAlignment="1">
      <alignment horizontal="center" vertical="center"/>
    </xf>
    <xf numFmtId="0" fontId="33" fillId="0" borderId="0" xfId="53" applyFont="1" applyFill="1" applyBorder="1" applyAlignment="1">
      <alignment horizontal="left" vertical="center"/>
    </xf>
    <xf numFmtId="0" fontId="33" fillId="0" borderId="0" xfId="53" applyFont="1" applyFill="1" applyBorder="1" applyAlignment="1">
      <alignment horizontal="center" vertical="center"/>
    </xf>
    <xf numFmtId="0" fontId="33" fillId="0" borderId="0" xfId="53" applyNumberFormat="1" applyFont="1" applyFill="1" applyBorder="1" applyAlignment="1">
      <alignment horizontal="center" vertical="center"/>
    </xf>
    <xf numFmtId="164" fontId="33" fillId="0" borderId="0" xfId="73" applyNumberFormat="1" applyFont="1" applyFill="1" applyAlignment="1">
      <alignment horizontal="center" vertical="center"/>
    </xf>
    <xf numFmtId="0" fontId="33" fillId="0" borderId="0" xfId="89" applyFont="1" applyBorder="1" applyAlignment="1">
      <alignment horizontal="left" vertical="center"/>
    </xf>
    <xf numFmtId="0" fontId="33" fillId="0" borderId="0" xfId="89" applyFont="1" applyFill="1" applyAlignment="1">
      <alignment horizontal="center" vertical="center"/>
    </xf>
    <xf numFmtId="1" fontId="33" fillId="0" borderId="0" xfId="89" applyNumberFormat="1" applyFont="1" applyFill="1" applyAlignment="1">
      <alignment horizontal="center" vertical="center"/>
    </xf>
    <xf numFmtId="164" fontId="38" fillId="0" borderId="0" xfId="54" applyNumberFormat="1" applyFont="1" applyAlignment="1">
      <alignment vertical="center"/>
    </xf>
    <xf numFmtId="0" fontId="62" fillId="0" borderId="0" xfId="89" applyFont="1" applyAlignment="1">
      <alignment horizontal="center" vertical="center"/>
    </xf>
    <xf numFmtId="0" fontId="37" fillId="0" borderId="0" xfId="89" applyFont="1" applyAlignment="1">
      <alignment horizontal="center" vertical="center"/>
    </xf>
    <xf numFmtId="0" fontId="37" fillId="0" borderId="0" xfId="89" applyNumberFormat="1" applyFont="1" applyAlignment="1">
      <alignment horizontal="center" vertical="center"/>
    </xf>
    <xf numFmtId="0" fontId="33" fillId="0" borderId="0" xfId="89" applyFont="1" applyAlignment="1">
      <alignment horizontal="center" vertical="center"/>
    </xf>
    <xf numFmtId="0" fontId="33" fillId="0" borderId="0" xfId="89" applyNumberFormat="1" applyFont="1" applyAlignment="1">
      <alignment horizontal="center" vertical="center"/>
    </xf>
    <xf numFmtId="164" fontId="33" fillId="0" borderId="16" xfId="75" applyNumberFormat="1" applyFont="1" applyFill="1" applyBorder="1" applyAlignment="1">
      <alignment horizontal="center" vertical="center" wrapText="1"/>
    </xf>
    <xf numFmtId="0" fontId="35" fillId="25" borderId="2" xfId="76" applyFont="1" applyFill="1" applyBorder="1" applyAlignment="1" applyProtection="1">
      <alignment vertical="center"/>
      <protection locked="0" hidden="1"/>
    </xf>
    <xf numFmtId="0" fontId="50" fillId="0" borderId="0" xfId="76" applyFont="1" applyFill="1" applyBorder="1" applyAlignment="1" applyProtection="1">
      <alignment horizontal="center" vertical="center"/>
      <protection hidden="1"/>
    </xf>
    <xf numFmtId="0" fontId="39" fillId="0" borderId="0" xfId="76" applyFont="1" applyFill="1" applyBorder="1" applyAlignment="1" applyProtection="1">
      <alignment horizontal="center" vertical="center"/>
      <protection hidden="1"/>
    </xf>
    <xf numFmtId="14" fontId="33" fillId="0" borderId="16" xfId="76" applyNumberFormat="1" applyFont="1" applyBorder="1" applyAlignment="1">
      <alignment horizontal="left" vertical="center" wrapText="1"/>
    </xf>
    <xf numFmtId="164" fontId="33" fillId="0" borderId="16" xfId="29" applyNumberFormat="1" applyFont="1" applyBorder="1" applyAlignment="1">
      <alignment horizontal="left" vertical="center" wrapText="1"/>
    </xf>
    <xf numFmtId="49" fontId="33" fillId="0" borderId="16" xfId="29" applyNumberFormat="1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/>
    </xf>
    <xf numFmtId="164" fontId="46" fillId="0" borderId="16" xfId="7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33" fillId="0" borderId="0" xfId="92" applyNumberFormat="1" applyFont="1" applyFill="1" applyAlignment="1">
      <alignment horizontal="left" vertical="center"/>
    </xf>
    <xf numFmtId="0" fontId="32" fillId="0" borderId="0" xfId="93" applyFont="1"/>
    <xf numFmtId="0" fontId="32" fillId="0" borderId="0" xfId="93" applyFont="1" applyAlignment="1">
      <alignment horizontal="center"/>
    </xf>
    <xf numFmtId="164" fontId="32" fillId="0" borderId="0" xfId="92" applyNumberFormat="1" applyFont="1" applyAlignment="1">
      <alignment vertical="center" wrapText="1"/>
    </xf>
    <xf numFmtId="0" fontId="35" fillId="0" borderId="0" xfId="93" applyFont="1"/>
    <xf numFmtId="0" fontId="35" fillId="0" borderId="2" xfId="93" applyFont="1" applyBorder="1" applyAlignment="1">
      <alignment vertical="center" wrapText="1" shrinkToFit="1"/>
    </xf>
    <xf numFmtId="0" fontId="35" fillId="0" borderId="2" xfId="93" applyFont="1" applyBorder="1" applyAlignment="1">
      <alignment horizontal="center" vertical="center" wrapText="1" shrinkToFit="1"/>
    </xf>
    <xf numFmtId="0" fontId="54" fillId="0" borderId="2" xfId="93" applyFont="1" applyBorder="1" applyAlignment="1">
      <alignment horizontal="center"/>
    </xf>
    <xf numFmtId="0" fontId="54" fillId="0" borderId="20" xfId="93" applyFont="1" applyBorder="1" applyAlignment="1">
      <alignment horizontal="center"/>
    </xf>
    <xf numFmtId="0" fontId="54" fillId="0" borderId="2" xfId="93" quotePrefix="1" applyFont="1" applyBorder="1" applyAlignment="1">
      <alignment horizontal="center"/>
    </xf>
    <xf numFmtId="0" fontId="54" fillId="0" borderId="0" xfId="93" applyFont="1" applyAlignment="1">
      <alignment horizontal="center"/>
    </xf>
    <xf numFmtId="14" fontId="35" fillId="0" borderId="12" xfId="93" applyNumberFormat="1" applyFont="1" applyBorder="1"/>
    <xf numFmtId="0" fontId="35" fillId="0" borderId="12" xfId="93" applyFont="1" applyBorder="1"/>
    <xf numFmtId="0" fontId="35" fillId="0" borderId="12" xfId="93" quotePrefix="1" applyFont="1" applyBorder="1"/>
    <xf numFmtId="0" fontId="35" fillId="0" borderId="12" xfId="93" applyFont="1" applyBorder="1" applyAlignment="1">
      <alignment horizontal="center"/>
    </xf>
    <xf numFmtId="164" fontId="35" fillId="0" borderId="16" xfId="92" applyNumberFormat="1" applyFont="1" applyBorder="1" applyAlignment="1">
      <alignment vertical="center"/>
    </xf>
    <xf numFmtId="14" fontId="35" fillId="0" borderId="22" xfId="93" applyNumberFormat="1" applyFont="1" applyBorder="1"/>
    <xf numFmtId="0" fontId="35" fillId="0" borderId="22" xfId="93" applyFont="1" applyBorder="1"/>
    <xf numFmtId="0" fontId="35" fillId="0" borderId="22" xfId="93" quotePrefix="1" applyFont="1" applyBorder="1"/>
    <xf numFmtId="0" fontId="35" fillId="0" borderId="22" xfId="93" applyFont="1" applyBorder="1" applyAlignment="1">
      <alignment horizontal="center"/>
    </xf>
    <xf numFmtId="14" fontId="32" fillId="0" borderId="16" xfId="93" applyNumberFormat="1" applyFont="1" applyBorder="1" applyAlignment="1">
      <alignment horizontal="center" vertical="center" wrapText="1"/>
    </xf>
    <xf numFmtId="0" fontId="32" fillId="0" borderId="16" xfId="93" applyFont="1" applyBorder="1" applyAlignment="1">
      <alignment vertical="center" wrapText="1"/>
    </xf>
    <xf numFmtId="0" fontId="32" fillId="0" borderId="16" xfId="93" quotePrefix="1" applyFont="1" applyBorder="1" applyAlignment="1">
      <alignment horizontal="center" vertical="center" wrapText="1"/>
    </xf>
    <xf numFmtId="164" fontId="32" fillId="0" borderId="16" xfId="92" applyNumberFormat="1" applyFont="1" applyBorder="1" applyAlignment="1">
      <alignment horizontal="center" vertical="center" wrapText="1"/>
    </xf>
    <xf numFmtId="164" fontId="32" fillId="0" borderId="16" xfId="73" applyNumberFormat="1" applyFont="1" applyBorder="1" applyAlignment="1">
      <alignment horizontal="center" vertical="center" wrapText="1"/>
    </xf>
    <xf numFmtId="14" fontId="32" fillId="0" borderId="16" xfId="93" applyNumberFormat="1" applyFont="1" applyBorder="1" applyAlignment="1">
      <alignment horizontal="center"/>
    </xf>
    <xf numFmtId="0" fontId="32" fillId="0" borderId="16" xfId="93" quotePrefix="1" applyFont="1" applyBorder="1"/>
    <xf numFmtId="0" fontId="32" fillId="0" borderId="16" xfId="93" applyFont="1" applyBorder="1" applyAlignment="1">
      <alignment horizontal="center"/>
    </xf>
    <xf numFmtId="164" fontId="32" fillId="0" borderId="16" xfId="92" applyNumberFormat="1" applyFont="1" applyBorder="1" applyAlignment="1">
      <alignment vertical="center"/>
    </xf>
    <xf numFmtId="14" fontId="32" fillId="0" borderId="16" xfId="93" applyNumberFormat="1" applyFont="1" applyBorder="1"/>
    <xf numFmtId="0" fontId="32" fillId="0" borderId="16" xfId="93" applyFont="1" applyBorder="1"/>
    <xf numFmtId="0" fontId="32" fillId="0" borderId="21" xfId="93" applyFont="1" applyBorder="1"/>
    <xf numFmtId="0" fontId="32" fillId="0" borderId="21" xfId="93" applyFont="1" applyBorder="1" applyAlignment="1">
      <alignment horizontal="center"/>
    </xf>
    <xf numFmtId="164" fontId="32" fillId="0" borderId="21" xfId="92" applyNumberFormat="1" applyFont="1" applyBorder="1" applyAlignment="1">
      <alignment vertical="center"/>
    </xf>
    <xf numFmtId="14" fontId="35" fillId="0" borderId="16" xfId="93" applyNumberFormat="1" applyFont="1" applyBorder="1"/>
    <xf numFmtId="0" fontId="35" fillId="0" borderId="16" xfId="93" applyFont="1" applyBorder="1"/>
    <xf numFmtId="14" fontId="35" fillId="0" borderId="16" xfId="93" applyNumberFormat="1" applyFont="1" applyBorder="1" applyAlignment="1">
      <alignment horizontal="center"/>
    </xf>
    <xf numFmtId="0" fontId="35" fillId="0" borderId="2" xfId="93" quotePrefix="1" applyFont="1" applyBorder="1"/>
    <xf numFmtId="0" fontId="35" fillId="0" borderId="2" xfId="93" applyFont="1" applyBorder="1" applyAlignment="1">
      <alignment horizontal="center"/>
    </xf>
    <xf numFmtId="164" fontId="35" fillId="0" borderId="2" xfId="92" applyNumberFormat="1" applyFont="1" applyBorder="1" applyAlignment="1">
      <alignment horizontal="center" vertical="center"/>
    </xf>
    <xf numFmtId="14" fontId="35" fillId="0" borderId="19" xfId="93" applyNumberFormat="1" applyFont="1" applyBorder="1"/>
    <xf numFmtId="0" fontId="35" fillId="0" borderId="19" xfId="93" applyFont="1" applyBorder="1"/>
    <xf numFmtId="14" fontId="35" fillId="0" borderId="19" xfId="93" applyNumberFormat="1" applyFont="1" applyBorder="1" applyAlignment="1">
      <alignment horizontal="center"/>
    </xf>
    <xf numFmtId="164" fontId="35" fillId="0" borderId="2" xfId="73" applyNumberFormat="1" applyFont="1" applyBorder="1" applyAlignment="1">
      <alignment horizontal="center" vertical="center"/>
    </xf>
    <xf numFmtId="3" fontId="32" fillId="0" borderId="0" xfId="93" applyNumberFormat="1" applyFont="1"/>
    <xf numFmtId="0" fontId="32" fillId="0" borderId="0" xfId="93" applyFont="1" applyAlignment="1">
      <alignment horizontal="center" vertical="center"/>
    </xf>
    <xf numFmtId="164" fontId="66" fillId="0" borderId="0" xfId="54" quotePrefix="1" applyNumberFormat="1" applyFont="1" applyAlignment="1">
      <alignment vertical="center"/>
    </xf>
    <xf numFmtId="0" fontId="32" fillId="0" borderId="0" xfId="93" applyFont="1" applyAlignment="1">
      <alignment vertical="center"/>
    </xf>
    <xf numFmtId="43" fontId="32" fillId="0" borderId="0" xfId="73" applyFont="1" applyAlignment="1">
      <alignment horizontal="center"/>
    </xf>
    <xf numFmtId="0" fontId="42" fillId="0" borderId="0" xfId="75" applyFont="1" applyFill="1" applyAlignment="1">
      <alignment horizontal="center" vertical="center"/>
    </xf>
    <xf numFmtId="0" fontId="35" fillId="0" borderId="0" xfId="75" applyFont="1" applyFill="1" applyAlignment="1">
      <alignment horizontal="center" vertical="center"/>
    </xf>
    <xf numFmtId="0" fontId="33" fillId="0" borderId="2" xfId="75" applyFont="1" applyFill="1" applyBorder="1" applyAlignment="1">
      <alignment horizontal="center" vertical="center" wrapText="1"/>
    </xf>
    <xf numFmtId="0" fontId="33" fillId="0" borderId="5" xfId="75" applyFont="1" applyFill="1" applyBorder="1" applyAlignment="1">
      <alignment horizontal="center" vertical="center" wrapText="1"/>
    </xf>
    <xf numFmtId="0" fontId="33" fillId="0" borderId="20" xfId="75" applyFont="1" applyFill="1" applyBorder="1" applyAlignment="1">
      <alignment horizontal="center" vertical="center" wrapText="1"/>
    </xf>
    <xf numFmtId="0" fontId="33" fillId="0" borderId="2" xfId="75" applyNumberFormat="1" applyFont="1" applyFill="1" applyBorder="1" applyAlignment="1">
      <alignment horizontal="center" vertical="center" wrapText="1"/>
    </xf>
    <xf numFmtId="0" fontId="33" fillId="0" borderId="17" xfId="75" applyFont="1" applyFill="1" applyBorder="1" applyAlignment="1">
      <alignment horizontal="center" vertical="center" wrapText="1"/>
    </xf>
    <xf numFmtId="0" fontId="33" fillId="0" borderId="18" xfId="75" applyFont="1" applyFill="1" applyBorder="1" applyAlignment="1">
      <alignment horizontal="center" vertical="center" wrapText="1"/>
    </xf>
    <xf numFmtId="14" fontId="33" fillId="0" borderId="17" xfId="0" applyNumberFormat="1" applyFont="1" applyBorder="1" applyAlignment="1">
      <alignment horizontal="center" vertical="center"/>
    </xf>
    <xf numFmtId="14" fontId="33" fillId="0" borderId="18" xfId="0" applyNumberFormat="1" applyFont="1" applyBorder="1" applyAlignment="1">
      <alignment horizontal="center" vertical="center"/>
    </xf>
    <xf numFmtId="0" fontId="33" fillId="0" borderId="17" xfId="75" applyFont="1" applyFill="1" applyBorder="1" applyAlignment="1">
      <alignment horizontal="center" vertical="center"/>
    </xf>
    <xf numFmtId="0" fontId="33" fillId="0" borderId="18" xfId="75" applyFont="1" applyFill="1" applyBorder="1" applyAlignment="1">
      <alignment horizontal="center" vertical="center"/>
    </xf>
    <xf numFmtId="49" fontId="33" fillId="0" borderId="2" xfId="75" applyNumberFormat="1" applyFont="1" applyFill="1" applyBorder="1" applyAlignment="1">
      <alignment horizontal="center" vertical="center"/>
    </xf>
    <xf numFmtId="0" fontId="33" fillId="0" borderId="29" xfId="75" quotePrefix="1" applyNumberFormat="1" applyFont="1" applyFill="1" applyBorder="1" applyAlignment="1">
      <alignment horizontal="center" vertical="center" wrapText="1"/>
    </xf>
    <xf numFmtId="0" fontId="33" fillId="0" borderId="31" xfId="75" quotePrefix="1" applyNumberFormat="1" applyFont="1" applyFill="1" applyBorder="1" applyAlignment="1">
      <alignment horizontal="center" vertical="center" wrapText="1"/>
    </xf>
    <xf numFmtId="0" fontId="33" fillId="0" borderId="30" xfId="75" quotePrefix="1" applyNumberFormat="1" applyFont="1" applyFill="1" applyBorder="1" applyAlignment="1">
      <alignment horizontal="center" vertical="center" wrapText="1"/>
    </xf>
    <xf numFmtId="0" fontId="33" fillId="0" borderId="33" xfId="75" quotePrefix="1" applyNumberFormat="1" applyFont="1" applyFill="1" applyBorder="1" applyAlignment="1">
      <alignment horizontal="center" vertical="center" wrapText="1"/>
    </xf>
    <xf numFmtId="0" fontId="33" fillId="0" borderId="23" xfId="75" quotePrefix="1" applyNumberFormat="1" applyFont="1" applyFill="1" applyBorder="1" applyAlignment="1">
      <alignment horizontal="center" vertical="center" wrapText="1"/>
    </xf>
    <xf numFmtId="0" fontId="33" fillId="0" borderId="34" xfId="75" quotePrefix="1" applyNumberFormat="1" applyFont="1" applyFill="1" applyBorder="1" applyAlignment="1">
      <alignment horizontal="center" vertical="center" wrapText="1"/>
    </xf>
    <xf numFmtId="49" fontId="33" fillId="0" borderId="2" xfId="75" applyNumberFormat="1" applyFont="1" applyFill="1" applyBorder="1" applyAlignment="1">
      <alignment horizontal="center" vertical="center" wrapText="1"/>
    </xf>
    <xf numFmtId="0" fontId="33" fillId="0" borderId="2" xfId="53" applyFont="1" applyFill="1" applyBorder="1" applyAlignment="1">
      <alignment horizontal="center" vertical="center" wrapText="1"/>
    </xf>
    <xf numFmtId="0" fontId="33" fillId="0" borderId="2" xfId="53" applyFont="1" applyFill="1" applyBorder="1" applyAlignment="1">
      <alignment horizontal="center" vertical="center"/>
    </xf>
    <xf numFmtId="0" fontId="37" fillId="0" borderId="0" xfId="53" applyFont="1" applyFill="1" applyAlignment="1">
      <alignment horizontal="center" vertical="center" wrapText="1"/>
    </xf>
    <xf numFmtId="0" fontId="33" fillId="0" borderId="0" xfId="53" applyFont="1" applyFill="1" applyAlignment="1">
      <alignment horizontal="center" vertical="center" wrapText="1"/>
    </xf>
    <xf numFmtId="0" fontId="42" fillId="0" borderId="0" xfId="53" applyFont="1" applyFill="1" applyAlignment="1">
      <alignment horizontal="center" vertical="center"/>
    </xf>
    <xf numFmtId="0" fontId="35" fillId="0" borderId="0" xfId="53" applyFont="1" applyFill="1" applyAlignment="1">
      <alignment horizontal="center" vertical="center"/>
    </xf>
    <xf numFmtId="0" fontId="33" fillId="0" borderId="17" xfId="53" applyFont="1" applyFill="1" applyBorder="1" applyAlignment="1">
      <alignment horizontal="center" vertical="center"/>
    </xf>
    <xf numFmtId="0" fontId="33" fillId="0" borderId="18" xfId="53" applyFont="1" applyFill="1" applyBorder="1" applyAlignment="1">
      <alignment horizontal="center" vertical="center"/>
    </xf>
    <xf numFmtId="0" fontId="33" fillId="0" borderId="5" xfId="53" applyFont="1" applyFill="1" applyBorder="1" applyAlignment="1">
      <alignment horizontal="center" vertical="center" wrapText="1"/>
    </xf>
    <xf numFmtId="0" fontId="33" fillId="0" borderId="20" xfId="53" applyFont="1" applyFill="1" applyBorder="1" applyAlignment="1">
      <alignment horizontal="center" vertical="center" wrapText="1"/>
    </xf>
    <xf numFmtId="0" fontId="33" fillId="0" borderId="2" xfId="53" applyNumberFormat="1" applyFont="1" applyFill="1" applyBorder="1" applyAlignment="1">
      <alignment horizontal="center" vertical="center" wrapText="1"/>
    </xf>
    <xf numFmtId="16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21" fillId="0" borderId="0" xfId="76" applyNumberFormat="1" applyFont="1" applyAlignment="1">
      <alignment horizontal="center" vertical="center"/>
    </xf>
    <xf numFmtId="164" fontId="32" fillId="0" borderId="0" xfId="76" applyNumberFormat="1" applyFont="1" applyAlignment="1">
      <alignment horizontal="center" vertical="center"/>
    </xf>
    <xf numFmtId="164" fontId="32" fillId="0" borderId="17" xfId="76" applyNumberFormat="1" applyFont="1" applyBorder="1" applyAlignment="1">
      <alignment horizontal="center" vertical="center" wrapText="1"/>
    </xf>
    <xf numFmtId="164" fontId="32" fillId="0" borderId="18" xfId="76" applyNumberFormat="1" applyFont="1" applyBorder="1" applyAlignment="1">
      <alignment horizontal="center" vertical="center" wrapText="1"/>
    </xf>
    <xf numFmtId="164" fontId="32" fillId="0" borderId="2" xfId="76" applyNumberFormat="1" applyFont="1" applyBorder="1" applyAlignment="1">
      <alignment horizontal="center" vertical="center" wrapText="1"/>
    </xf>
    <xf numFmtId="0" fontId="35" fillId="0" borderId="2" xfId="93" applyFont="1" applyBorder="1" applyAlignment="1">
      <alignment horizontal="center" vertical="center" wrapText="1"/>
    </xf>
    <xf numFmtId="0" fontId="65" fillId="0" borderId="2" xfId="93" applyFont="1" applyBorder="1" applyAlignment="1">
      <alignment horizontal="center" vertical="center" wrapText="1"/>
    </xf>
    <xf numFmtId="0" fontId="35" fillId="0" borderId="17" xfId="93" applyFont="1" applyBorder="1" applyAlignment="1">
      <alignment horizontal="center" vertical="center" wrapText="1" shrinkToFit="1"/>
    </xf>
    <xf numFmtId="0" fontId="35" fillId="0" borderId="18" xfId="93" applyFont="1" applyBorder="1" applyAlignment="1">
      <alignment horizontal="center" vertical="center" wrapText="1" shrinkToFit="1"/>
    </xf>
    <xf numFmtId="0" fontId="35" fillId="0" borderId="2" xfId="93" applyFont="1" applyBorder="1" applyAlignment="1">
      <alignment horizontal="center" vertical="center" wrapText="1" shrinkToFit="1"/>
    </xf>
    <xf numFmtId="164" fontId="35" fillId="0" borderId="0" xfId="92" applyNumberFormat="1" applyFont="1" applyAlignment="1">
      <alignment horizontal="center" vertical="center" wrapText="1"/>
    </xf>
    <xf numFmtId="164" fontId="32" fillId="0" borderId="0" xfId="92" applyNumberFormat="1" applyFont="1" applyAlignment="1">
      <alignment horizontal="center" vertical="center" wrapText="1"/>
    </xf>
    <xf numFmtId="0" fontId="63" fillId="0" borderId="0" xfId="93" applyFont="1" applyAlignment="1">
      <alignment horizontal="center" vertical="center"/>
    </xf>
    <xf numFmtId="0" fontId="35" fillId="0" borderId="0" xfId="93" applyFont="1" applyAlignment="1">
      <alignment horizontal="center"/>
    </xf>
    <xf numFmtId="0" fontId="32" fillId="0" borderId="23" xfId="93" applyFont="1" applyBorder="1" applyAlignment="1">
      <alignment horizontal="right"/>
    </xf>
    <xf numFmtId="0" fontId="35" fillId="0" borderId="29" xfId="93" applyFont="1" applyBorder="1" applyAlignment="1">
      <alignment horizontal="center" vertical="center" wrapText="1"/>
    </xf>
    <xf numFmtId="0" fontId="65" fillId="0" borderId="31" xfId="93" applyFont="1" applyBorder="1" applyAlignment="1">
      <alignment horizontal="center" vertical="center" wrapText="1"/>
    </xf>
    <xf numFmtId="0" fontId="35" fillId="0" borderId="25" xfId="93" applyFont="1" applyBorder="1" applyAlignment="1">
      <alignment horizontal="center" vertical="center" wrapText="1"/>
    </xf>
    <xf numFmtId="0" fontId="35" fillId="0" borderId="5" xfId="93" applyFont="1" applyBorder="1" applyAlignment="1">
      <alignment horizontal="center" vertical="center" wrapText="1"/>
    </xf>
    <xf numFmtId="0" fontId="35" fillId="0" borderId="20" xfId="93" applyFont="1" applyBorder="1" applyAlignment="1">
      <alignment horizontal="center" vertical="center" wrapText="1"/>
    </xf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3" xfId="81"/>
    <cellStyle name="Comma 4" xfId="82"/>
    <cellStyle name="Comma 5" xfId="83"/>
    <cellStyle name="Comma 6" xfId="87"/>
    <cellStyle name="Comma 6 2" xfId="91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0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6"/>
    <cellStyle name="Normal 3" xfId="84"/>
    <cellStyle name="Normal 4" xfId="85"/>
    <cellStyle name="Normal 5" xfId="88"/>
    <cellStyle name="Normal 5 2" xfId="90"/>
    <cellStyle name="Normal_112 - 15" xfId="86"/>
    <cellStyle name="Normal_Bao cao" xfId="72"/>
    <cellStyle name="Normal_Copy of Ke-toan-mo-phong-mauso_ke_toan_NKC_excel-2" xfId="52"/>
    <cellStyle name="Normal_Copy of Ke-toan-mo-phong-mauso_ke_toan_NKC_excel-2 3" xfId="93"/>
    <cellStyle name="Normal_ketoanthucte_NhatKySoCai" xfId="53"/>
    <cellStyle name="Normal_ketoanthucte_NhatKySoCai 2" xfId="75"/>
    <cellStyle name="Normal_ketoanthucte_NhatKySoCai 2 2" xfId="89"/>
    <cellStyle name="Normal_ketoanthucte_NhatKySoCai 3" xfId="92"/>
    <cellStyle name="Normal_NhatKy0403" xfId="78"/>
    <cellStyle name="Normal_PNKPXK" xfId="79"/>
    <cellStyle name="Normal_TM-14" xfId="54"/>
    <cellStyle name="Note" xfId="55" builtinId="10" customBuiltin="1"/>
    <cellStyle name="Output" xfId="56" builtinId="21" customBuiltin="1"/>
    <cellStyle name="TD1" xfId="57"/>
    <cellStyle name="Title" xfId="58" builtinId="15" customBuiltin="1"/>
    <cellStyle name="Total" xfId="59" builtinId="25" customBuiltin="1"/>
    <cellStyle name="Tua de so" xfId="77"/>
    <cellStyle name="Warning Text" xfId="60" builtinId="11" customBuiltin="1"/>
    <cellStyle name="똿뗦먛귟 [0.00]_PRODUCT DETAIL Q1" xfId="61"/>
    <cellStyle name="똿뗦먛귟_PRODUCT DETAIL Q1" xfId="62"/>
    <cellStyle name="믅됞 [0.00]_PRODUCT DETAIL Q1" xfId="63"/>
    <cellStyle name="믅됞_PRODUCT DETAIL Q1" xfId="64"/>
    <cellStyle name="백분율_HOBONG" xfId="65"/>
    <cellStyle name="뷭?_BOOKSHIP" xfId="66"/>
    <cellStyle name="콤마 [0]_1202" xfId="67"/>
    <cellStyle name="콤마_1202" xfId="68"/>
    <cellStyle name="통화 [0]_1202" xfId="69"/>
    <cellStyle name="통화_1202" xfId="70"/>
    <cellStyle name="표준_(정보부문)월별인원계획" xfId="71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-SC%20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KQKD "/>
      <sheetName val="NK-SC"/>
      <sheetName val="02"/>
      <sheetName val="1111"/>
      <sheetName val="4111"/>
    </sheetNames>
    <sheetDataSet>
      <sheetData sheetId="0"/>
      <sheetData sheetId="1"/>
      <sheetData sheetId="2"/>
      <sheetData sheetId="3"/>
      <sheetData sheetId="4">
        <row r="36">
          <cell r="B36" t="str">
            <v>Đặng Vũ Thụy</v>
          </cell>
          <cell r="E36">
            <v>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G10" sqref="G10:H40"/>
    </sheetView>
  </sheetViews>
  <sheetFormatPr defaultColWidth="8" defaultRowHeight="13.5"/>
  <cols>
    <col min="1" max="1" width="7.42578125" style="7" customWidth="1"/>
    <col min="2" max="2" width="35.85546875" style="7" customWidth="1"/>
    <col min="3" max="3" width="14.5703125" style="6" customWidth="1"/>
    <col min="4" max="4" width="13.5703125" style="6" customWidth="1"/>
    <col min="5" max="5" width="15.140625" style="7" customWidth="1"/>
    <col min="6" max="6" width="17.28515625" style="7" customWidth="1"/>
    <col min="7" max="7" width="13.85546875" style="7" customWidth="1"/>
    <col min="8" max="8" width="14.7109375" style="7" customWidth="1"/>
    <col min="9" max="9" width="6.140625" style="7" customWidth="1"/>
    <col min="10" max="10" width="15.42578125" style="7" customWidth="1"/>
    <col min="11" max="11" width="13.7109375" style="7" customWidth="1"/>
    <col min="12" max="16384" width="8" style="7"/>
  </cols>
  <sheetData>
    <row r="1" spans="1:12">
      <c r="A1" s="5" t="s">
        <v>34</v>
      </c>
      <c r="B1" s="5"/>
    </row>
    <row r="2" spans="1:12">
      <c r="A2" s="5" t="s">
        <v>35</v>
      </c>
      <c r="B2" s="5"/>
    </row>
    <row r="3" spans="1:12">
      <c r="A3" s="5" t="s">
        <v>36</v>
      </c>
      <c r="B3" s="5"/>
    </row>
    <row r="5" spans="1:12" ht="15.75">
      <c r="A5" s="8" t="s">
        <v>37</v>
      </c>
      <c r="B5" s="8"/>
      <c r="C5" s="9"/>
      <c r="D5" s="9"/>
      <c r="E5" s="8"/>
      <c r="F5" s="8"/>
      <c r="G5" s="8"/>
      <c r="H5" s="8"/>
    </row>
    <row r="6" spans="1:12" ht="15.75">
      <c r="A6" s="10" t="s">
        <v>38</v>
      </c>
      <c r="B6" s="8"/>
      <c r="C6" s="9"/>
      <c r="D6" s="9"/>
      <c r="E6" s="8"/>
      <c r="F6" s="8"/>
      <c r="G6" s="8"/>
      <c r="H6" s="8"/>
    </row>
    <row r="8" spans="1:12">
      <c r="A8" s="11"/>
      <c r="B8" s="11" t="s">
        <v>39</v>
      </c>
      <c r="C8" s="12" t="s">
        <v>40</v>
      </c>
      <c r="D8" s="12"/>
      <c r="E8" s="13" t="s">
        <v>41</v>
      </c>
      <c r="F8" s="13"/>
      <c r="G8" s="13" t="s">
        <v>42</v>
      </c>
      <c r="H8" s="13"/>
    </row>
    <row r="9" spans="1:12">
      <c r="A9" s="14" t="s">
        <v>43</v>
      </c>
      <c r="B9" s="14"/>
      <c r="C9" s="12" t="s">
        <v>44</v>
      </c>
      <c r="D9" s="12" t="s">
        <v>45</v>
      </c>
      <c r="E9" s="13" t="s">
        <v>44</v>
      </c>
      <c r="F9" s="13" t="s">
        <v>45</v>
      </c>
      <c r="G9" s="13" t="s">
        <v>44</v>
      </c>
      <c r="H9" s="13" t="s">
        <v>45</v>
      </c>
    </row>
    <row r="10" spans="1:12" s="6" customFormat="1">
      <c r="A10" s="15" t="s">
        <v>46</v>
      </c>
      <c r="B10" s="16" t="s">
        <v>47</v>
      </c>
      <c r="C10" s="17"/>
      <c r="D10" s="17"/>
      <c r="E10" s="17">
        <f t="array" ref="E10">SUM(IF(A10=KHN,TH))</f>
        <v>4000000000</v>
      </c>
      <c r="F10" s="17">
        <f t="array" ref="F10">SUM(IF(A10=KHC,TH))</f>
        <v>0</v>
      </c>
      <c r="G10" s="18">
        <f>MAX(C10+E10-D10-F10,0)</f>
        <v>4000000000</v>
      </c>
      <c r="H10" s="18">
        <f>MAX(D10+F10-E10-C10,0)</f>
        <v>0</v>
      </c>
      <c r="K10" s="19"/>
      <c r="L10" s="19"/>
    </row>
    <row r="11" spans="1:12" s="6" customFormat="1">
      <c r="A11" s="20" t="s">
        <v>17</v>
      </c>
      <c r="B11" s="21" t="s">
        <v>48</v>
      </c>
      <c r="C11" s="22"/>
      <c r="D11" s="22"/>
      <c r="E11" s="22">
        <f>E10</f>
        <v>4000000000</v>
      </c>
      <c r="F11" s="22">
        <f>F10</f>
        <v>0</v>
      </c>
      <c r="G11" s="22">
        <f>G10</f>
        <v>4000000000</v>
      </c>
      <c r="H11" s="22">
        <f>H10</f>
        <v>0</v>
      </c>
    </row>
    <row r="12" spans="1:12" s="6" customFormat="1">
      <c r="A12" s="23" t="s">
        <v>25</v>
      </c>
      <c r="B12" s="16" t="s">
        <v>49</v>
      </c>
      <c r="C12" s="17"/>
      <c r="D12" s="17"/>
      <c r="E12" s="17">
        <f t="array" ref="E12">SUM(IF(A12=KHN,TH))</f>
        <v>0</v>
      </c>
      <c r="F12" s="17">
        <f t="array" ref="F12">SUM(IF(A12=KHC,TH))</f>
        <v>0</v>
      </c>
      <c r="G12" s="18">
        <f>MAX(C12+E12-D12-F12,0)</f>
        <v>0</v>
      </c>
      <c r="H12" s="18">
        <f>MAX(D12+F12-E12-C12,0)</f>
        <v>0</v>
      </c>
      <c r="K12" s="19"/>
      <c r="L12" s="19"/>
    </row>
    <row r="13" spans="1:12" s="6" customFormat="1">
      <c r="A13" s="20" t="s">
        <v>50</v>
      </c>
      <c r="B13" s="21" t="s">
        <v>51</v>
      </c>
      <c r="C13" s="22"/>
      <c r="D13" s="22"/>
      <c r="E13" s="22">
        <f>E12</f>
        <v>0</v>
      </c>
      <c r="F13" s="22">
        <f>F12</f>
        <v>0</v>
      </c>
      <c r="G13" s="22">
        <f>MAX(C13+E13-D13-F13,0)</f>
        <v>0</v>
      </c>
      <c r="H13" s="22">
        <f>MAX(D13+F13-E13-C13,0)</f>
        <v>0</v>
      </c>
    </row>
    <row r="14" spans="1:12" s="6" customFormat="1">
      <c r="A14" s="23" t="s">
        <v>9</v>
      </c>
      <c r="B14" s="16" t="s">
        <v>52</v>
      </c>
      <c r="C14" s="17"/>
      <c r="D14" s="17"/>
      <c r="E14" s="17">
        <f t="array" ref="E14">SUM(IF(A14=KHN,TH))</f>
        <v>0</v>
      </c>
      <c r="F14" s="17">
        <f t="array" ref="F14">SUM(IF(A14=KHC,TH))</f>
        <v>0</v>
      </c>
      <c r="G14" s="18">
        <f>MAX(C14+E14-D14-F14,0)</f>
        <v>0</v>
      </c>
      <c r="H14" s="18">
        <f>MAX(D14+F14-E14-C14,0)</f>
        <v>0</v>
      </c>
    </row>
    <row r="15" spans="1:12" s="6" customFormat="1">
      <c r="A15" s="20" t="s">
        <v>53</v>
      </c>
      <c r="B15" s="21" t="s">
        <v>54</v>
      </c>
      <c r="C15" s="22"/>
      <c r="D15" s="22"/>
      <c r="E15" s="22">
        <f t="shared" ref="E15:H15" si="0">E14</f>
        <v>0</v>
      </c>
      <c r="F15" s="22">
        <f t="shared" si="0"/>
        <v>0</v>
      </c>
      <c r="G15" s="22">
        <f t="shared" si="0"/>
        <v>0</v>
      </c>
      <c r="H15" s="22">
        <f t="shared" si="0"/>
        <v>0</v>
      </c>
    </row>
    <row r="16" spans="1:12" s="6" customFormat="1">
      <c r="A16" s="23" t="s">
        <v>55</v>
      </c>
      <c r="B16" s="16" t="s">
        <v>56</v>
      </c>
      <c r="C16" s="17"/>
      <c r="D16" s="17"/>
      <c r="E16" s="17">
        <f t="array" ref="E16">SUM(IF(A16=KHN,TH))</f>
        <v>0</v>
      </c>
      <c r="F16" s="17">
        <f t="array" ref="F16">SUM(IF(A16=KHC,TH))</f>
        <v>0</v>
      </c>
      <c r="G16" s="18">
        <f t="shared" ref="G16:G22" si="1">MAX(C16+E16-D16-F16,0)</f>
        <v>0</v>
      </c>
      <c r="H16" s="18">
        <f t="shared" ref="H16:H22" si="2">MAX(D16+F16-E16-C16,0)</f>
        <v>0</v>
      </c>
    </row>
    <row r="17" spans="1:9" s="6" customFormat="1">
      <c r="A17" s="20" t="s">
        <v>57</v>
      </c>
      <c r="B17" s="21" t="s">
        <v>58</v>
      </c>
      <c r="C17" s="22"/>
      <c r="D17" s="22"/>
      <c r="E17" s="22">
        <f>E16</f>
        <v>0</v>
      </c>
      <c r="F17" s="22">
        <f>F16</f>
        <v>0</v>
      </c>
      <c r="G17" s="22">
        <f t="shared" si="1"/>
        <v>0</v>
      </c>
      <c r="H17" s="22">
        <f t="shared" si="2"/>
        <v>0</v>
      </c>
    </row>
    <row r="18" spans="1:9" s="6" customFormat="1">
      <c r="A18" s="15" t="s">
        <v>149</v>
      </c>
      <c r="B18" s="16" t="s">
        <v>150</v>
      </c>
      <c r="C18" s="17"/>
      <c r="D18" s="17"/>
      <c r="E18" s="17">
        <f t="array" ref="E18">SUM(IF(A18=KHN,TH))</f>
        <v>0</v>
      </c>
      <c r="F18" s="17">
        <f t="array" ref="F18">SUM(IF(A18=KHC,TH))</f>
        <v>0</v>
      </c>
      <c r="G18" s="18">
        <f t="shared" si="1"/>
        <v>0</v>
      </c>
      <c r="H18" s="18">
        <f t="shared" si="2"/>
        <v>0</v>
      </c>
    </row>
    <row r="19" spans="1:9" s="6" customFormat="1">
      <c r="A19" s="24" t="s">
        <v>188</v>
      </c>
      <c r="B19" s="21" t="s">
        <v>151</v>
      </c>
      <c r="C19" s="22"/>
      <c r="D19" s="22"/>
      <c r="E19" s="22">
        <f>E18</f>
        <v>0</v>
      </c>
      <c r="F19" s="22">
        <f>F18</f>
        <v>0</v>
      </c>
      <c r="G19" s="22">
        <f t="shared" si="1"/>
        <v>0</v>
      </c>
      <c r="H19" s="22">
        <f t="shared" si="2"/>
        <v>0</v>
      </c>
    </row>
    <row r="20" spans="1:9" s="6" customFormat="1">
      <c r="A20" s="20" t="s">
        <v>8</v>
      </c>
      <c r="B20" s="21" t="s">
        <v>59</v>
      </c>
      <c r="C20" s="22"/>
      <c r="D20" s="22"/>
      <c r="E20" s="60">
        <f t="array" ref="E20">SUM(IF(A20=KHN,TH))</f>
        <v>0</v>
      </c>
      <c r="F20" s="60">
        <f t="array" ref="F20">SUM(IF(A20=KHC,TH))</f>
        <v>0</v>
      </c>
      <c r="G20" s="22">
        <f t="shared" si="1"/>
        <v>0</v>
      </c>
      <c r="H20" s="22">
        <f t="shared" si="2"/>
        <v>0</v>
      </c>
    </row>
    <row r="21" spans="1:9" s="6" customFormat="1">
      <c r="A21" s="23" t="s">
        <v>60</v>
      </c>
      <c r="B21" s="16" t="s">
        <v>61</v>
      </c>
      <c r="C21" s="17"/>
      <c r="D21" s="17"/>
      <c r="E21" s="17">
        <f t="array" ref="E21">SUM(IF(A21=KHN,TH))</f>
        <v>0</v>
      </c>
      <c r="F21" s="17">
        <f t="array" ref="F21">SUM(IF(A21=KHC,TH))</f>
        <v>0</v>
      </c>
      <c r="G21" s="17">
        <f t="shared" si="1"/>
        <v>0</v>
      </c>
      <c r="H21" s="17">
        <f t="shared" si="2"/>
        <v>0</v>
      </c>
      <c r="I21" s="6">
        <f t="shared" ref="I21:I24" si="3">E21-F21</f>
        <v>0</v>
      </c>
    </row>
    <row r="22" spans="1:9" s="6" customFormat="1">
      <c r="A22" s="26" t="s">
        <v>62</v>
      </c>
      <c r="B22" s="27" t="s">
        <v>63</v>
      </c>
      <c r="C22" s="25"/>
      <c r="D22" s="25"/>
      <c r="E22" s="25">
        <f t="array" ref="E22">SUM(IF(A22=KHN,TH))</f>
        <v>0</v>
      </c>
      <c r="F22" s="25">
        <f t="array" ref="F22">SUM(IF(A22=KHC,TH))</f>
        <v>0</v>
      </c>
      <c r="G22" s="25">
        <f t="shared" si="1"/>
        <v>0</v>
      </c>
      <c r="H22" s="25">
        <f t="shared" si="2"/>
        <v>0</v>
      </c>
      <c r="I22" s="6">
        <f t="shared" si="3"/>
        <v>0</v>
      </c>
    </row>
    <row r="23" spans="1:9" s="6" customFormat="1">
      <c r="A23" s="23" t="s">
        <v>19</v>
      </c>
      <c r="B23" s="16" t="s">
        <v>64</v>
      </c>
      <c r="C23" s="17"/>
      <c r="D23" s="17"/>
      <c r="E23" s="17">
        <f>E22</f>
        <v>0</v>
      </c>
      <c r="F23" s="17">
        <f>F22</f>
        <v>0</v>
      </c>
      <c r="G23" s="17">
        <f>G22</f>
        <v>0</v>
      </c>
      <c r="H23" s="17">
        <f>H22</f>
        <v>0</v>
      </c>
      <c r="I23" s="6">
        <f t="shared" si="3"/>
        <v>0</v>
      </c>
    </row>
    <row r="24" spans="1:9" s="6" customFormat="1">
      <c r="A24" s="20" t="s">
        <v>65</v>
      </c>
      <c r="B24" s="21" t="s">
        <v>66</v>
      </c>
      <c r="C24" s="22"/>
      <c r="D24" s="22"/>
      <c r="E24" s="22">
        <f>E21+E23</f>
        <v>0</v>
      </c>
      <c r="F24" s="22">
        <f>F21+F23</f>
        <v>0</v>
      </c>
      <c r="G24" s="22">
        <f>G21+G23</f>
        <v>0</v>
      </c>
      <c r="H24" s="22">
        <f>H21+H23</f>
        <v>0</v>
      </c>
      <c r="I24" s="6">
        <f t="shared" si="3"/>
        <v>0</v>
      </c>
    </row>
    <row r="25" spans="1:9" s="6" customFormat="1">
      <c r="A25" s="23" t="s">
        <v>18</v>
      </c>
      <c r="B25" s="16" t="s">
        <v>67</v>
      </c>
      <c r="C25" s="17"/>
      <c r="D25" s="17"/>
      <c r="E25" s="17">
        <f t="array" ref="E25">SUM(IF(A25=KHN,TH))</f>
        <v>0</v>
      </c>
      <c r="F25" s="17">
        <f t="array" ref="F25">SUM(IF(A25=KHC,TH))</f>
        <v>0</v>
      </c>
      <c r="G25" s="17">
        <f>MAX(C25+E25-D25-F25,0)</f>
        <v>0</v>
      </c>
      <c r="H25" s="17">
        <f>MAX(D25+F25-E25-C25,0)</f>
        <v>0</v>
      </c>
    </row>
    <row r="26" spans="1:9" s="6" customFormat="1">
      <c r="A26" s="20" t="s">
        <v>68</v>
      </c>
      <c r="B26" s="21" t="s">
        <v>69</v>
      </c>
      <c r="C26" s="22"/>
      <c r="D26" s="22"/>
      <c r="E26" s="22">
        <f>E25</f>
        <v>0</v>
      </c>
      <c r="F26" s="22">
        <f>F25</f>
        <v>0</v>
      </c>
      <c r="G26" s="22">
        <f>G25</f>
        <v>0</v>
      </c>
      <c r="H26" s="22">
        <f>H25</f>
        <v>0</v>
      </c>
    </row>
    <row r="27" spans="1:9" s="6" customFormat="1">
      <c r="A27" s="15" t="s">
        <v>70</v>
      </c>
      <c r="B27" s="16" t="s">
        <v>71</v>
      </c>
      <c r="C27" s="17"/>
      <c r="D27" s="17"/>
      <c r="E27" s="17">
        <f t="array" ref="E27">SUM(IF(A27=KHN,TH))</f>
        <v>0</v>
      </c>
      <c r="F27" s="17">
        <f t="array" ref="F27">SUM(IF(A27=KHC,TH))</f>
        <v>0</v>
      </c>
      <c r="G27" s="18">
        <f>MAX(C27+E27-D27-F27,0)</f>
        <v>0</v>
      </c>
      <c r="H27" s="18">
        <f>MAX(D27+F27-E27-C27,0)</f>
        <v>0</v>
      </c>
    </row>
    <row r="28" spans="1:9" s="6" customFormat="1">
      <c r="A28" s="24" t="s">
        <v>31</v>
      </c>
      <c r="B28" s="21" t="s">
        <v>72</v>
      </c>
      <c r="C28" s="22"/>
      <c r="D28" s="22"/>
      <c r="E28" s="22">
        <f>E27</f>
        <v>0</v>
      </c>
      <c r="F28" s="22">
        <f>F27</f>
        <v>0</v>
      </c>
      <c r="G28" s="22">
        <f>G27</f>
        <v>0</v>
      </c>
      <c r="H28" s="22">
        <f>H27</f>
        <v>0</v>
      </c>
    </row>
    <row r="29" spans="1:9" s="6" customFormat="1">
      <c r="A29" s="23" t="s">
        <v>26</v>
      </c>
      <c r="B29" s="16" t="s">
        <v>73</v>
      </c>
      <c r="C29" s="17"/>
      <c r="D29" s="17"/>
      <c r="E29" s="17">
        <f t="array" ref="E29">SUM(IF(A29=KHN,TH))</f>
        <v>0</v>
      </c>
      <c r="F29" s="17">
        <f t="array" ref="F29">SUM(IF(A29=KHC,TH))</f>
        <v>4000000000</v>
      </c>
      <c r="G29" s="18">
        <f>MAX(C29+E29-D29-F29,0)</f>
        <v>0</v>
      </c>
      <c r="H29" s="18">
        <f>MAX(D29+F29-E29-C29,0)</f>
        <v>4000000000</v>
      </c>
    </row>
    <row r="30" spans="1:9" s="6" customFormat="1">
      <c r="A30" s="20" t="s">
        <v>74</v>
      </c>
      <c r="B30" s="21" t="s">
        <v>75</v>
      </c>
      <c r="C30" s="22"/>
      <c r="D30" s="22"/>
      <c r="E30" s="22">
        <f>E29</f>
        <v>0</v>
      </c>
      <c r="F30" s="22">
        <f>F29</f>
        <v>4000000000</v>
      </c>
      <c r="G30" s="22">
        <f>MAX(C30+E30-D30-F30,0)</f>
        <v>0</v>
      </c>
      <c r="H30" s="22">
        <f>MAX(D30+F30-E30-C30,0)</f>
        <v>4000000000</v>
      </c>
    </row>
    <row r="31" spans="1:9" s="6" customFormat="1">
      <c r="A31" s="15" t="s">
        <v>76</v>
      </c>
      <c r="B31" s="16" t="s">
        <v>77</v>
      </c>
      <c r="C31" s="17"/>
      <c r="D31" s="17"/>
      <c r="E31" s="17">
        <f t="array" ref="E31">SUM(IF(A31=KHN,TH))</f>
        <v>0</v>
      </c>
      <c r="F31" s="17">
        <f t="array" ref="F31">SUM(IF(A31=KHC,TH))</f>
        <v>0</v>
      </c>
      <c r="G31" s="18">
        <f>MAX(C31+E31-D31-F31,0)</f>
        <v>0</v>
      </c>
      <c r="H31" s="18">
        <f>MAX(D31+F31-E31-C31,0)</f>
        <v>0</v>
      </c>
    </row>
    <row r="32" spans="1:9" s="6" customFormat="1">
      <c r="A32" s="23" t="s">
        <v>78</v>
      </c>
      <c r="B32" s="16" t="s">
        <v>79</v>
      </c>
      <c r="C32" s="17"/>
      <c r="D32" s="17"/>
      <c r="E32" s="17">
        <f t="array" ref="E32">SUM(IF(A32=TH!$J$10:$J$69,TH!$I$10:$I$69))</f>
        <v>0</v>
      </c>
      <c r="F32" s="17">
        <f t="array" ref="F32">SUM(IF(A32=TH!$K$10:$K$69,TH!$I$10:$I$69))</f>
        <v>0</v>
      </c>
      <c r="G32" s="17">
        <f>MAX(C32+E32-D32-F32,0)</f>
        <v>0</v>
      </c>
      <c r="H32" s="17">
        <f>MAX(D32+F32-E32-C32,0)</f>
        <v>0</v>
      </c>
    </row>
    <row r="33" spans="1:9" s="6" customFormat="1">
      <c r="A33" s="20" t="s">
        <v>80</v>
      </c>
      <c r="B33" s="21" t="s">
        <v>81</v>
      </c>
      <c r="C33" s="22"/>
      <c r="D33" s="22"/>
      <c r="E33" s="22">
        <f>E32+E31</f>
        <v>0</v>
      </c>
      <c r="F33" s="22">
        <f>F32+F31</f>
        <v>0</v>
      </c>
      <c r="G33" s="22">
        <f>G32+G31</f>
        <v>0</v>
      </c>
      <c r="H33" s="22">
        <f>H32+H31</f>
        <v>0</v>
      </c>
    </row>
    <row r="34" spans="1:9" s="6" customFormat="1">
      <c r="A34" s="20" t="s">
        <v>32</v>
      </c>
      <c r="B34" s="21" t="s">
        <v>82</v>
      </c>
      <c r="C34" s="22"/>
      <c r="D34" s="22"/>
      <c r="E34" s="60">
        <f t="array" ref="E34">SUM(IF(A34=KHN,TH))</f>
        <v>0</v>
      </c>
      <c r="F34" s="60">
        <f t="array" ref="F34">SUM(IF(A34=KHC,TH))</f>
        <v>0</v>
      </c>
      <c r="G34" s="22"/>
      <c r="H34" s="22"/>
      <c r="I34" s="6">
        <f t="shared" ref="I34:I40" si="4">E34-F34</f>
        <v>0</v>
      </c>
    </row>
    <row r="35" spans="1:9" s="6" customFormat="1" ht="12.75" customHeight="1">
      <c r="A35" s="20" t="s">
        <v>83</v>
      </c>
      <c r="B35" s="21" t="s">
        <v>84</v>
      </c>
      <c r="C35" s="22"/>
      <c r="D35" s="22"/>
      <c r="E35" s="60">
        <f t="array" ref="E35">SUM(IF(A35=KHN,TH))</f>
        <v>0</v>
      </c>
      <c r="F35" s="60">
        <f t="array" ref="F35">SUM(IF(A35=KHC,TH))</f>
        <v>0</v>
      </c>
      <c r="G35" s="22"/>
      <c r="H35" s="22"/>
      <c r="I35" s="6">
        <f t="shared" si="4"/>
        <v>0</v>
      </c>
    </row>
    <row r="36" spans="1:9" s="6" customFormat="1" ht="12.75" customHeight="1">
      <c r="A36" s="20" t="s">
        <v>85</v>
      </c>
      <c r="B36" s="21" t="s">
        <v>86</v>
      </c>
      <c r="C36" s="22"/>
      <c r="D36" s="22"/>
      <c r="E36" s="60">
        <f t="array" ref="E36">SUM(IF(A36=KHN,TH))</f>
        <v>0</v>
      </c>
      <c r="F36" s="60">
        <f t="array" ref="F36">SUM(IF(A36=KHC,TH))</f>
        <v>0</v>
      </c>
      <c r="G36" s="22"/>
      <c r="H36" s="22"/>
      <c r="I36" s="6">
        <f t="shared" si="4"/>
        <v>0</v>
      </c>
    </row>
    <row r="37" spans="1:9" s="6" customFormat="1" ht="12.75" customHeight="1">
      <c r="A37" s="24" t="s">
        <v>87</v>
      </c>
      <c r="B37" s="21" t="s">
        <v>88</v>
      </c>
      <c r="C37" s="22"/>
      <c r="D37" s="22"/>
      <c r="E37" s="60">
        <f t="array" ref="E37">SUM(IF(A37=KHN,TH))</f>
        <v>0</v>
      </c>
      <c r="F37" s="60">
        <f t="array" ref="F37">SUM(IF(A37=KHC,TH))</f>
        <v>0</v>
      </c>
      <c r="G37" s="22"/>
      <c r="H37" s="22"/>
      <c r="I37" s="6">
        <f t="shared" si="4"/>
        <v>0</v>
      </c>
    </row>
    <row r="38" spans="1:9" s="6" customFormat="1" ht="12.75" customHeight="1">
      <c r="A38" s="20" t="s">
        <v>89</v>
      </c>
      <c r="B38" s="21" t="s">
        <v>90</v>
      </c>
      <c r="C38" s="22"/>
      <c r="D38" s="22"/>
      <c r="E38" s="60">
        <f t="array" ref="E38">SUM(IF(A38=KHN,TH))</f>
        <v>0</v>
      </c>
      <c r="F38" s="60">
        <f t="array" ref="F38">SUM(IF(A38=KHC,TH))</f>
        <v>0</v>
      </c>
      <c r="G38" s="22"/>
      <c r="H38" s="22"/>
      <c r="I38" s="6">
        <f t="shared" si="4"/>
        <v>0</v>
      </c>
    </row>
    <row r="39" spans="1:9" s="6" customFormat="1" ht="12.75" customHeight="1">
      <c r="A39" s="24" t="s">
        <v>91</v>
      </c>
      <c r="B39" s="21" t="s">
        <v>92</v>
      </c>
      <c r="C39" s="22"/>
      <c r="D39" s="22"/>
      <c r="E39" s="60">
        <f t="array" ref="E39">SUM(IF(A39=KHN,TH))</f>
        <v>0</v>
      </c>
      <c r="F39" s="60">
        <f t="array" ref="F39">SUM(IF(A39=KHC,TH))</f>
        <v>0</v>
      </c>
      <c r="G39" s="22"/>
      <c r="H39" s="22"/>
      <c r="I39" s="6">
        <f t="shared" si="4"/>
        <v>0</v>
      </c>
    </row>
    <row r="40" spans="1:9" s="6" customFormat="1">
      <c r="A40" s="20" t="s">
        <v>93</v>
      </c>
      <c r="B40" s="21" t="s">
        <v>94</v>
      </c>
      <c r="C40" s="22"/>
      <c r="D40" s="22"/>
      <c r="E40" s="61">
        <f t="array" ref="E40">SUM(IF(A40=KHN,TH))</f>
        <v>0</v>
      </c>
      <c r="F40" s="61">
        <f t="array" ref="F40">SUM(IF(A40=TH!$K$10:$K$69,TH!$I$10:$I$69))</f>
        <v>0</v>
      </c>
      <c r="G40" s="22"/>
      <c r="H40" s="22"/>
      <c r="I40" s="6">
        <f t="shared" si="4"/>
        <v>0</v>
      </c>
    </row>
    <row r="41" spans="1:9" s="6" customFormat="1">
      <c r="A41" s="28" t="s">
        <v>95</v>
      </c>
      <c r="B41" s="28"/>
      <c r="C41" s="28">
        <f>C11+C13+C15+C17+C20+C24+C26+C28+C30+C33+C34+C35+C36+C37+C38+C39+C40+C19</f>
        <v>0</v>
      </c>
      <c r="D41" s="28">
        <f t="shared" ref="D41:H41" si="5">D11+D13+D15+D17+D20+D24+D26+D28+D30+D33+D34+D35+D36+D37+D38+D39+D40+D19</f>
        <v>0</v>
      </c>
      <c r="E41" s="28">
        <f t="shared" si="5"/>
        <v>4000000000</v>
      </c>
      <c r="F41" s="28">
        <f t="shared" si="5"/>
        <v>4000000000</v>
      </c>
      <c r="G41" s="28">
        <f t="shared" si="5"/>
        <v>4000000000</v>
      </c>
      <c r="H41" s="28">
        <f t="shared" si="5"/>
        <v>4000000000</v>
      </c>
    </row>
    <row r="42" spans="1:9">
      <c r="E42" s="29"/>
      <c r="F42" s="30"/>
    </row>
    <row r="43" spans="1:9">
      <c r="E43" s="30">
        <f>E41-F41</f>
        <v>0</v>
      </c>
      <c r="H43" s="30">
        <f>G41-H41</f>
        <v>0</v>
      </c>
    </row>
    <row r="44" spans="1:9">
      <c r="E44" s="31"/>
      <c r="F44" s="31"/>
    </row>
    <row r="45" spans="1:9">
      <c r="E45" s="31"/>
      <c r="F45" s="31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O69"/>
  <sheetViews>
    <sheetView topLeftCell="A7" workbookViewId="0">
      <pane ySplit="3" topLeftCell="A10" activePane="bottomLeft" state="frozen"/>
      <selection activeCell="A7" sqref="A7"/>
      <selection pane="bottomLeft" activeCell="E23" sqref="E23"/>
    </sheetView>
  </sheetViews>
  <sheetFormatPr defaultRowHeight="12.75"/>
  <cols>
    <col min="1" max="1" width="4.5703125" style="119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225" customWidth="1"/>
    <col min="8" max="8" width="41.42578125" style="66" customWidth="1"/>
    <col min="9" max="9" width="13.140625" customWidth="1"/>
    <col min="10" max="11" width="7" customWidth="1"/>
    <col min="12" max="14" width="2.7109375" hidden="1" customWidth="1"/>
    <col min="15" max="15" width="4.140625" hidden="1" customWidth="1"/>
  </cols>
  <sheetData>
    <row r="1" spans="1:15">
      <c r="B1" s="32"/>
      <c r="C1" s="32" t="s">
        <v>106</v>
      </c>
      <c r="D1" s="33"/>
      <c r="E1" s="33"/>
      <c r="F1" s="34"/>
      <c r="G1" s="33"/>
      <c r="H1" s="64"/>
      <c r="I1" s="49"/>
      <c r="J1" s="35"/>
      <c r="K1" s="35"/>
      <c r="L1" s="35"/>
      <c r="M1" s="35"/>
      <c r="N1" s="35"/>
    </row>
    <row r="2" spans="1:15">
      <c r="B2" s="32"/>
      <c r="C2" s="32" t="s">
        <v>107</v>
      </c>
      <c r="D2" s="33"/>
      <c r="E2" s="33"/>
      <c r="F2" s="33"/>
      <c r="G2" s="33"/>
      <c r="H2" s="65"/>
      <c r="I2" s="49"/>
      <c r="J2" s="35"/>
      <c r="K2" s="35"/>
      <c r="L2" s="35"/>
      <c r="M2" s="35"/>
      <c r="N2" s="35"/>
    </row>
    <row r="3" spans="1:15">
      <c r="B3" s="33"/>
      <c r="C3" s="33"/>
      <c r="D3" s="33"/>
      <c r="E3" s="33"/>
      <c r="F3" s="33"/>
      <c r="G3" s="33"/>
      <c r="H3" s="65"/>
      <c r="I3" s="46"/>
      <c r="J3" s="36"/>
      <c r="K3" s="36"/>
      <c r="L3" s="36"/>
      <c r="M3" s="36"/>
      <c r="N3" s="36"/>
    </row>
    <row r="4" spans="1:15" ht="22.5">
      <c r="B4" s="49"/>
      <c r="C4" s="275" t="s">
        <v>96</v>
      </c>
      <c r="D4" s="275"/>
      <c r="E4" s="275"/>
      <c r="F4" s="275"/>
      <c r="G4" s="275"/>
      <c r="H4" s="275"/>
      <c r="I4" s="275"/>
      <c r="J4" s="275"/>
      <c r="K4" s="275"/>
    </row>
    <row r="5" spans="1:15" ht="14.25">
      <c r="B5" s="49"/>
      <c r="C5" s="276"/>
      <c r="D5" s="276"/>
      <c r="E5" s="276"/>
      <c r="F5" s="276"/>
      <c r="G5" s="276"/>
      <c r="H5" s="276"/>
      <c r="I5" s="276"/>
      <c r="J5" s="276"/>
      <c r="K5" s="276"/>
    </row>
    <row r="6" spans="1:15">
      <c r="B6" s="49"/>
      <c r="C6" s="49"/>
      <c r="D6" s="49"/>
      <c r="E6" s="49"/>
      <c r="F6" s="49"/>
      <c r="G6" s="46"/>
      <c r="H6" s="52"/>
      <c r="I6" s="49"/>
      <c r="J6" s="35"/>
      <c r="K6" s="35"/>
      <c r="L6" s="35"/>
      <c r="M6" s="35"/>
      <c r="N6" s="35"/>
    </row>
    <row r="7" spans="1:15" ht="12.75" customHeight="1">
      <c r="A7" s="283" t="s">
        <v>127</v>
      </c>
      <c r="B7" s="285" t="s">
        <v>108</v>
      </c>
      <c r="C7" s="277" t="s">
        <v>21</v>
      </c>
      <c r="D7" s="278" t="s">
        <v>1</v>
      </c>
      <c r="E7" s="279"/>
      <c r="F7" s="277" t="s">
        <v>0</v>
      </c>
      <c r="G7" s="281" t="s">
        <v>125</v>
      </c>
      <c r="H7" s="287" t="s">
        <v>33</v>
      </c>
      <c r="I7" s="277" t="s">
        <v>97</v>
      </c>
      <c r="J7" s="280" t="s">
        <v>98</v>
      </c>
      <c r="K7" s="280"/>
      <c r="L7" s="288" t="s">
        <v>46</v>
      </c>
      <c r="M7" s="289"/>
      <c r="N7" s="290"/>
      <c r="O7" s="294" t="s">
        <v>187</v>
      </c>
    </row>
    <row r="8" spans="1:15" ht="25.5">
      <c r="A8" s="284"/>
      <c r="B8" s="286"/>
      <c r="C8" s="277"/>
      <c r="D8" s="47" t="s">
        <v>16</v>
      </c>
      <c r="E8" s="45" t="s">
        <v>28</v>
      </c>
      <c r="F8" s="277"/>
      <c r="G8" s="282"/>
      <c r="H8" s="287"/>
      <c r="I8" s="277"/>
      <c r="J8" s="48" t="s">
        <v>23</v>
      </c>
      <c r="K8" s="48" t="s">
        <v>24</v>
      </c>
      <c r="L8" s="291"/>
      <c r="M8" s="292"/>
      <c r="N8" s="293"/>
      <c r="O8" s="280"/>
    </row>
    <row r="9" spans="1:15">
      <c r="A9" s="223">
        <v>1</v>
      </c>
      <c r="B9" s="223">
        <v>2</v>
      </c>
      <c r="C9" s="223">
        <v>3</v>
      </c>
      <c r="D9" s="223">
        <v>4</v>
      </c>
      <c r="E9" s="223">
        <v>5</v>
      </c>
      <c r="F9" s="223">
        <v>6</v>
      </c>
      <c r="G9" s="223">
        <v>7</v>
      </c>
      <c r="H9" s="223">
        <v>8</v>
      </c>
      <c r="I9" s="223">
        <v>9</v>
      </c>
      <c r="J9" s="223">
        <v>10</v>
      </c>
      <c r="K9" s="223">
        <v>11</v>
      </c>
      <c r="L9" s="120">
        <v>13</v>
      </c>
      <c r="M9" s="120">
        <v>14</v>
      </c>
      <c r="N9" s="120">
        <v>15</v>
      </c>
      <c r="O9" s="120">
        <v>24</v>
      </c>
    </row>
    <row r="10" spans="1:15" s="51" customFormat="1" ht="15.75" customHeight="1">
      <c r="A10" s="121" t="str">
        <f>IF(B10&lt;&gt;"",IF(AND(B10&gt;=_TM1,B10&lt;=_TM2,OR(TH!J10="1111",TH!K10="1111")),TH!D10,""),"")</f>
        <v/>
      </c>
      <c r="B10" s="37">
        <f>IF(C10&lt;&gt;"",MONTH(C10),"")</f>
        <v>12</v>
      </c>
      <c r="C10" s="55">
        <v>39813</v>
      </c>
      <c r="D10" s="55" t="s">
        <v>99</v>
      </c>
      <c r="E10" s="55">
        <f>C10</f>
        <v>39813</v>
      </c>
      <c r="F10" s="56" t="s">
        <v>102</v>
      </c>
      <c r="G10" s="224"/>
      <c r="H10" s="57"/>
      <c r="I10" s="58">
        <f>MAX(SUMIF(KHN,"911",TH)-SUMIF(KHC,"911",TH),SUMIF(KHC,"911",TH)-SUMIF(KHN,"911",TH))</f>
        <v>0</v>
      </c>
      <c r="J10" s="59" t="s">
        <v>78</v>
      </c>
      <c r="K10" s="59" t="s">
        <v>93</v>
      </c>
      <c r="L10" s="59" t="str">
        <f>IF(AND($B10&gt;='1111'!$N$10,$B10&lt;='1111'!$O$10,OR($J10=$L$7,$K10=$L$7)),"x","")</f>
        <v/>
      </c>
      <c r="M10" s="59" t="str">
        <f>IF(AND($J10=$L$7,$B10&lt;'1111'!$N$10),"x","")</f>
        <v/>
      </c>
      <c r="N10" s="59" t="str">
        <f>IF(AND($K10=$L$7,$B10&lt;'1111'!$N$10),"x","")</f>
        <v/>
      </c>
      <c r="O10" s="59"/>
    </row>
    <row r="11" spans="1:15" s="51" customFormat="1" ht="15.75" customHeight="1">
      <c r="A11" s="121" t="str">
        <f>IF(B11&lt;&gt;"",IF(AND(B11&gt;=_TM1,B11&lt;=_TM2,OR(TH!J11="1111",TH!K11="1111")),TH!D11,""),"")</f>
        <v/>
      </c>
      <c r="B11" s="37">
        <f>IF(C11&lt;&gt;"",MONTH(C11),"")</f>
        <v>12</v>
      </c>
      <c r="C11" s="55">
        <v>39813</v>
      </c>
      <c r="D11" s="55" t="s">
        <v>99</v>
      </c>
      <c r="E11" s="55">
        <f t="shared" ref="E11:E16" si="0">C11</f>
        <v>39813</v>
      </c>
      <c r="F11" s="56" t="s">
        <v>100</v>
      </c>
      <c r="G11" s="224"/>
      <c r="H11" s="57"/>
      <c r="I11" s="58">
        <f>SUMIF(KHN,"635",TH)</f>
        <v>0</v>
      </c>
      <c r="J11" s="62" t="s">
        <v>149</v>
      </c>
      <c r="K11" s="59" t="s">
        <v>83</v>
      </c>
      <c r="L11" s="59" t="str">
        <f>IF(AND($B11&gt;='1111'!$N$10,$B11&lt;='1111'!$O$10,OR($J11=$L$7,$K11=$L$7)),"x","")</f>
        <v/>
      </c>
      <c r="M11" s="59" t="str">
        <f>IF(AND($J11=$L$7,$B11&lt;'1111'!$N$10),"x","")</f>
        <v/>
      </c>
      <c r="N11" s="59" t="str">
        <f>IF(AND($K11=$L$7,$B11&lt;'1111'!$N$10),"x","")</f>
        <v/>
      </c>
      <c r="O11" s="59"/>
    </row>
    <row r="12" spans="1:15" s="51" customFormat="1" ht="15.75" customHeight="1">
      <c r="A12" s="121" t="str">
        <f>IF(B12&lt;&gt;"",IF(AND(B12&gt;=_TM1,B12&lt;=_TM2,OR(TH!J12="1111",TH!K12="1111")),TH!D12,""),"")</f>
        <v/>
      </c>
      <c r="B12" s="37">
        <f>IF(C12&lt;&gt;"",MONTH(C12),"")</f>
        <v>12</v>
      </c>
      <c r="C12" s="55">
        <v>39813</v>
      </c>
      <c r="D12" s="55" t="s">
        <v>99</v>
      </c>
      <c r="E12" s="55">
        <f t="shared" si="0"/>
        <v>39813</v>
      </c>
      <c r="F12" s="56" t="s">
        <v>101</v>
      </c>
      <c r="G12" s="224"/>
      <c r="H12" s="57"/>
      <c r="I12" s="58">
        <f>SUMIF(KHN,"642",TH)</f>
        <v>0</v>
      </c>
      <c r="J12" s="62" t="s">
        <v>93</v>
      </c>
      <c r="K12" s="59" t="s">
        <v>85</v>
      </c>
      <c r="L12" s="59" t="str">
        <f>IF(AND($B12&gt;='1111'!$N$10,$B12&lt;='1111'!$O$10,OR($J12=$L$7,$K12=$L$7)),"x","")</f>
        <v/>
      </c>
      <c r="M12" s="59" t="str">
        <f>IF(AND($J12=$L$7,$B12&lt;'1111'!$N$10),"x","")</f>
        <v/>
      </c>
      <c r="N12" s="59" t="str">
        <f>IF(AND($K12=$L$7,$B12&lt;'1111'!$N$10),"x","")</f>
        <v/>
      </c>
      <c r="O12" s="59"/>
    </row>
    <row r="13" spans="1:15" s="51" customFormat="1" ht="15.75" customHeight="1">
      <c r="A13" s="121" t="str">
        <f>IF(B13&lt;&gt;"",IF(AND(B13&gt;=_TM1,B13&lt;=_TM2,OR(TH!J13="1111",TH!K13="1111")),TH!D13,""),"")</f>
        <v/>
      </c>
      <c r="B13" s="37">
        <f t="shared" ref="B13:B14" si="1">IF(C13&lt;&gt;"",MONTH(C13),"")</f>
        <v>12</v>
      </c>
      <c r="C13" s="55">
        <v>39813</v>
      </c>
      <c r="D13" s="55" t="s">
        <v>99</v>
      </c>
      <c r="E13" s="55">
        <f t="shared" si="0"/>
        <v>39813</v>
      </c>
      <c r="F13" s="56" t="s">
        <v>103</v>
      </c>
      <c r="G13" s="224"/>
      <c r="H13" s="63"/>
      <c r="I13" s="58">
        <f>SUMIF(KHC,"515",TH)</f>
        <v>0</v>
      </c>
      <c r="J13" s="59" t="s">
        <v>32</v>
      </c>
      <c r="K13" s="59" t="s">
        <v>93</v>
      </c>
      <c r="L13" s="59" t="str">
        <f>IF(AND($B13&gt;='1111'!$N$10,$B13&lt;='1111'!$O$10,OR($J13=$L$7,$K13=$L$7)),"x","")</f>
        <v/>
      </c>
      <c r="M13" s="59" t="str">
        <f>IF(AND($J13=$L$7,$B13&lt;'1111'!$N$10),"x","")</f>
        <v/>
      </c>
      <c r="N13" s="59" t="str">
        <f>IF(AND($K13=$L$7,$B13&lt;'1111'!$N$10),"x","")</f>
        <v/>
      </c>
      <c r="O13" s="59"/>
    </row>
    <row r="14" spans="1:15" s="51" customFormat="1" ht="15.75" customHeight="1">
      <c r="A14" s="121" t="str">
        <f>IF(B14&lt;&gt;"",IF(AND(B14&gt;=_TM1,B14&lt;=_TM2,OR(TH!J14="1111",TH!K14="1111")),TH!D14,""),"")</f>
        <v/>
      </c>
      <c r="B14" s="37">
        <f t="shared" si="1"/>
        <v>12</v>
      </c>
      <c r="C14" s="55">
        <v>39813</v>
      </c>
      <c r="D14" s="55" t="s">
        <v>99</v>
      </c>
      <c r="E14" s="55">
        <f t="shared" si="0"/>
        <v>39813</v>
      </c>
      <c r="F14" s="56" t="s">
        <v>104</v>
      </c>
      <c r="G14" s="224"/>
      <c r="H14" s="57"/>
      <c r="I14" s="58">
        <f>SUMIF(KHC,"711",TH)</f>
        <v>0</v>
      </c>
      <c r="J14" s="59" t="s">
        <v>87</v>
      </c>
      <c r="K14" s="59" t="s">
        <v>93</v>
      </c>
      <c r="L14" s="59" t="str">
        <f>IF(AND($B14&gt;='1111'!$N$10,$B14&lt;='1111'!$O$10,OR($J14=$L$7,$K14=$L$7)),"x","")</f>
        <v/>
      </c>
      <c r="M14" s="59" t="str">
        <f>IF(AND($J14=$L$7,$B14&lt;'1111'!$N$10),"x","")</f>
        <v/>
      </c>
      <c r="N14" s="59" t="str">
        <f>IF(AND($K14=$L$7,$B14&lt;'1111'!$N$10),"x","")</f>
        <v/>
      </c>
      <c r="O14" s="59"/>
    </row>
    <row r="15" spans="1:15" s="51" customFormat="1" ht="15.75" customHeight="1">
      <c r="A15" s="121" t="str">
        <f>IF(B15&lt;&gt;"",IF(AND(B15&gt;=_TM1,B15&lt;=_TM2,OR(TH!J15="1111",TH!K15="1111")),TH!D15,""),"")</f>
        <v/>
      </c>
      <c r="B15" s="37">
        <f t="shared" ref="B15" si="2">IF(C15&lt;&gt;"",MONTH(C15),"")</f>
        <v>12</v>
      </c>
      <c r="C15" s="55">
        <v>39813</v>
      </c>
      <c r="D15" s="55" t="s">
        <v>99</v>
      </c>
      <c r="E15" s="55">
        <f t="shared" si="0"/>
        <v>39813</v>
      </c>
      <c r="F15" s="56" t="s">
        <v>105</v>
      </c>
      <c r="G15" s="224"/>
      <c r="H15" s="57"/>
      <c r="I15" s="58">
        <f>SUMIF(KHN,"811",TH)</f>
        <v>0</v>
      </c>
      <c r="J15" s="59" t="s">
        <v>93</v>
      </c>
      <c r="K15" s="59" t="s">
        <v>89</v>
      </c>
      <c r="L15" s="59" t="str">
        <f>IF(AND($B15&gt;='1111'!$N$10,$B15&lt;='1111'!$O$10,OR($J15=$L$7,$K15=$L$7)),"x","")</f>
        <v/>
      </c>
      <c r="M15" s="59" t="str">
        <f>IF(AND($J15=$L$7,$B15&lt;'1111'!$N$10),"x","")</f>
        <v/>
      </c>
      <c r="N15" s="59" t="str">
        <f>IF(AND($K15=$L$7,$B15&lt;'1111'!$N$10),"x","")</f>
        <v/>
      </c>
      <c r="O15" s="59"/>
    </row>
    <row r="16" spans="1:15" s="51" customFormat="1" ht="15.75" customHeight="1">
      <c r="A16" s="121" t="str">
        <f>IF(B16&lt;&gt;"",IF(AND(B16&gt;=_TM1,B16&lt;=_TM2,OR(TH!J16="1111",TH!K16="1111")),TH!D16,""),"")</f>
        <v/>
      </c>
      <c r="B16" s="37">
        <f t="shared" ref="B16:B69" si="3">IF(C16&lt;&gt;"",MONTH(C16),"")</f>
        <v>12</v>
      </c>
      <c r="C16" s="55">
        <v>39813</v>
      </c>
      <c r="D16" s="55" t="s">
        <v>99</v>
      </c>
      <c r="E16" s="55">
        <f t="shared" si="0"/>
        <v>39813</v>
      </c>
      <c r="F16" s="56" t="s">
        <v>181</v>
      </c>
      <c r="G16" s="224"/>
      <c r="H16" s="57"/>
      <c r="I16" s="58">
        <f>CDPS!$C$32</f>
        <v>0</v>
      </c>
      <c r="J16" s="62" t="s">
        <v>76</v>
      </c>
      <c r="K16" s="59" t="s">
        <v>78</v>
      </c>
      <c r="L16" s="59" t="str">
        <f>IF(AND($B16&gt;='1111'!$N$10,$B16&lt;='1111'!$O$10,OR($J16=$L$7,$K16=$L$7)),"x","")</f>
        <v/>
      </c>
      <c r="M16" s="59" t="str">
        <f>IF(AND($J16=$L$7,$B16&lt;'1111'!$N$10),"x","")</f>
        <v/>
      </c>
      <c r="N16" s="59" t="str">
        <f>IF(AND($K16=$L$7,$B16&lt;'1111'!$N$10),"x","")</f>
        <v/>
      </c>
      <c r="O16" s="59"/>
    </row>
    <row r="17" spans="1:15" s="51" customFormat="1" ht="15.75" customHeight="1">
      <c r="A17" s="121" t="str">
        <f>IF(B17&lt;&gt;"",IF(AND(B17&gt;=_TM1,B17&lt;=_TM2,OR(TH!J17="1111",TH!K17="1111")),TH!D17,""),"")</f>
        <v>T01</v>
      </c>
      <c r="B17" s="37">
        <f t="shared" si="3"/>
        <v>2</v>
      </c>
      <c r="C17" s="50">
        <v>39479</v>
      </c>
      <c r="D17" s="38" t="s">
        <v>10</v>
      </c>
      <c r="E17" s="38">
        <v>39479</v>
      </c>
      <c r="F17" s="41" t="s">
        <v>192</v>
      </c>
      <c r="G17" s="216"/>
      <c r="H17" s="54" t="s">
        <v>109</v>
      </c>
      <c r="I17" s="39">
        <v>2400000000</v>
      </c>
      <c r="J17" s="43" t="s">
        <v>46</v>
      </c>
      <c r="K17" s="40" t="s">
        <v>26</v>
      </c>
      <c r="L17" s="59" t="str">
        <f>IF(AND($B17&gt;='1111'!$N$10,$B17&lt;='1111'!$O$10,OR($J17=$L$7,$K17=$L$7)),"x","")</f>
        <v>x</v>
      </c>
      <c r="M17" s="59" t="str">
        <f>IF(AND($J17=$L$7,$B17&lt;'1111'!$N$10),"x","")</f>
        <v/>
      </c>
      <c r="N17" s="59" t="str">
        <f>IF(AND($K17=$L$7,$B17&lt;'1111'!$N$10),"x","")</f>
        <v/>
      </c>
      <c r="O17" s="59" t="str">
        <f>IF(AND(1&lt;=$B17,$B17&lt;=3),"1",IF(AND(4&lt;=$B17,$B17&lt;=6),"2",IF(AND(7&lt;=$B17,$B17&lt;=9),"3",IF(AND(10&lt;=$B17,$B17&lt;=12),"4",""))))</f>
        <v>1</v>
      </c>
    </row>
    <row r="18" spans="1:15" s="51" customFormat="1" ht="15.75" customHeight="1">
      <c r="A18" s="121" t="str">
        <f>IF(B18&lt;&gt;"",IF(AND(B18&gt;=_TM1,B18&lt;=_TM2,OR(TH!J18="1111",TH!K18="1111")),TH!D18,""),"")</f>
        <v>T02</v>
      </c>
      <c r="B18" s="37">
        <f t="shared" si="3"/>
        <v>2</v>
      </c>
      <c r="C18" s="38">
        <v>39479</v>
      </c>
      <c r="D18" s="38" t="s">
        <v>190</v>
      </c>
      <c r="E18" s="38">
        <v>39479</v>
      </c>
      <c r="F18" s="41" t="s">
        <v>193</v>
      </c>
      <c r="G18" s="216"/>
      <c r="H18" s="54" t="s">
        <v>191</v>
      </c>
      <c r="I18" s="39">
        <v>1600000000</v>
      </c>
      <c r="J18" s="40" t="s">
        <v>46</v>
      </c>
      <c r="K18" s="40" t="s">
        <v>26</v>
      </c>
      <c r="L18" s="59" t="str">
        <f>IF(AND($B18&gt;='1111'!$N$10,$B18&lt;='1111'!$O$10,OR($J18=$L$7,$K18=$L$7)),"x","")</f>
        <v>x</v>
      </c>
      <c r="M18" s="59" t="str">
        <f>IF(AND($J18=$L$7,$B18&lt;'1111'!$N$10),"x","")</f>
        <v/>
      </c>
      <c r="N18" s="59" t="str">
        <f>IF(AND($K18=$L$7,$B18&lt;'1111'!$N$10),"x","")</f>
        <v/>
      </c>
      <c r="O18" s="59" t="str">
        <f t="shared" ref="O18:O69" si="4">IF(AND(1&lt;=$B18,$B18&lt;=3),"1",IF(AND(4&lt;=$B18,$B18&lt;=6),"2",IF(AND(7&lt;=$B18,$B18&lt;=9),"3",IF(AND(10&lt;=$B18,$B18&lt;=12),"4",""))))</f>
        <v>1</v>
      </c>
    </row>
    <row r="19" spans="1:15" s="51" customFormat="1" ht="15.75" customHeight="1">
      <c r="A19" s="121" t="str">
        <f>IF(B19&lt;&gt;"",IF(AND(B19&gt;=_TM1,B19&lt;=_TM2,OR(TH!J19="1111",TH!K19="1111")),TH!D19,""),"")</f>
        <v/>
      </c>
      <c r="B19" s="37" t="str">
        <f t="shared" si="3"/>
        <v/>
      </c>
      <c r="C19" s="38"/>
      <c r="D19" s="38"/>
      <c r="E19" s="38"/>
      <c r="F19" s="41"/>
      <c r="G19" s="216"/>
      <c r="H19" s="54"/>
      <c r="I19" s="39"/>
      <c r="J19" s="40"/>
      <c r="K19" s="40"/>
      <c r="L19" s="59" t="str">
        <f>IF(AND($B19&gt;='1111'!$N$10,$B19&lt;='1111'!$O$10,OR($J19=$L$7,$K19=$L$7)),"x","")</f>
        <v/>
      </c>
      <c r="M19" s="59" t="str">
        <f>IF(AND($J19=$L$7,$B19&lt;'1111'!$N$10),"x","")</f>
        <v/>
      </c>
      <c r="N19" s="59" t="str">
        <f>IF(AND($K19=$L$7,$B19&lt;'1111'!$N$10),"x","")</f>
        <v/>
      </c>
      <c r="O19" s="59" t="str">
        <f t="shared" si="4"/>
        <v/>
      </c>
    </row>
    <row r="20" spans="1:15" s="51" customFormat="1" ht="15.75" customHeight="1">
      <c r="A20" s="121" t="str">
        <f>IF(B20&lt;&gt;"",IF(AND(B20&gt;=_TM1,B20&lt;=_TM2,OR(TH!J20="1111",TH!K20="1111")),TH!D20,""),"")</f>
        <v/>
      </c>
      <c r="B20" s="37" t="str">
        <f t="shared" si="3"/>
        <v/>
      </c>
      <c r="C20" s="38"/>
      <c r="D20" s="38"/>
      <c r="E20" s="38"/>
      <c r="F20" s="44"/>
      <c r="G20" s="216"/>
      <c r="H20" s="53"/>
      <c r="I20" s="39"/>
      <c r="J20" s="40"/>
      <c r="K20" s="40"/>
      <c r="L20" s="59" t="str">
        <f>IF(AND($B20&gt;='1111'!$N$10,$B20&lt;='1111'!$O$10,OR($J20=$L$7,$K20=$L$7)),"x","")</f>
        <v/>
      </c>
      <c r="M20" s="59" t="str">
        <f>IF(AND($J20=$L$7,$B20&lt;'1111'!$N$10),"x","")</f>
        <v/>
      </c>
      <c r="N20" s="59" t="str">
        <f>IF(AND($K20=$L$7,$B20&lt;'1111'!$N$10),"x","")</f>
        <v/>
      </c>
      <c r="O20" s="59" t="str">
        <f t="shared" si="4"/>
        <v/>
      </c>
    </row>
    <row r="21" spans="1:15" s="51" customFormat="1" ht="15.75" customHeight="1">
      <c r="A21" s="121" t="str">
        <f>IF(B21&lt;&gt;"",IF(AND(B21&gt;=_TM1,B21&lt;=_TM2,OR(TH!J21="1111",TH!K21="1111")),TH!D21,""),"")</f>
        <v/>
      </c>
      <c r="B21" s="37" t="str">
        <f t="shared" si="3"/>
        <v/>
      </c>
      <c r="C21" s="50"/>
      <c r="D21" s="38"/>
      <c r="E21" s="38"/>
      <c r="F21" s="41"/>
      <c r="G21" s="216"/>
      <c r="H21" s="53"/>
      <c r="I21" s="39"/>
      <c r="J21" s="40"/>
      <c r="K21" s="40"/>
      <c r="L21" s="59" t="str">
        <f>IF(AND($B21&gt;='1111'!$N$10,$B21&lt;='1111'!$O$10,OR($J21=$L$7,$K21=$L$7)),"x","")</f>
        <v/>
      </c>
      <c r="M21" s="59" t="str">
        <f>IF(AND($J21=$L$7,$B21&lt;'1111'!$N$10),"x","")</f>
        <v/>
      </c>
      <c r="N21" s="59" t="str">
        <f>IF(AND($K21=$L$7,$B21&lt;'1111'!$N$10),"x","")</f>
        <v/>
      </c>
      <c r="O21" s="59" t="str">
        <f t="shared" si="4"/>
        <v/>
      </c>
    </row>
    <row r="22" spans="1:15" s="51" customFormat="1" ht="15.75" customHeight="1">
      <c r="A22" s="121" t="str">
        <f>IF(B22&lt;&gt;"",IF(AND(B22&gt;=_TM1,B22&lt;=_TM2,OR(TH!J22="1111",TH!K22="1111")),TH!D22,""),"")</f>
        <v/>
      </c>
      <c r="B22" s="37" t="str">
        <f t="shared" si="3"/>
        <v/>
      </c>
      <c r="C22" s="38"/>
      <c r="D22" s="38"/>
      <c r="E22" s="38"/>
      <c r="F22" s="41"/>
      <c r="G22" s="216"/>
      <c r="H22" s="54"/>
      <c r="I22" s="39"/>
      <c r="J22" s="40"/>
      <c r="K22" s="40"/>
      <c r="L22" s="59" t="str">
        <f>IF(AND($B22&gt;='1111'!$N$10,$B22&lt;='1111'!$O$10,OR($J22=$L$7,$K22=$L$7)),"x","")</f>
        <v/>
      </c>
      <c r="M22" s="59" t="str">
        <f>IF(AND($J22=$L$7,$B22&lt;'1111'!$N$10),"x","")</f>
        <v/>
      </c>
      <c r="N22" s="59" t="str">
        <f>IF(AND($K22=$L$7,$B22&lt;'1111'!$N$10),"x","")</f>
        <v/>
      </c>
      <c r="O22" s="59" t="str">
        <f t="shared" si="4"/>
        <v/>
      </c>
    </row>
    <row r="23" spans="1:15" s="51" customFormat="1" ht="15.75" customHeight="1">
      <c r="A23" s="121" t="str">
        <f>IF(B23&lt;&gt;"",IF(AND(B23&gt;=_TM1,B23&lt;=_TM2,OR(TH!J23="1111",TH!K23="1111")),TH!D23,""),"")</f>
        <v/>
      </c>
      <c r="B23" s="37" t="str">
        <f t="shared" si="3"/>
        <v/>
      </c>
      <c r="C23" s="38"/>
      <c r="D23" s="38"/>
      <c r="E23" s="38"/>
      <c r="F23" s="41"/>
      <c r="G23" s="216"/>
      <c r="H23" s="54"/>
      <c r="I23" s="39"/>
      <c r="J23" s="40"/>
      <c r="K23" s="40"/>
      <c r="L23" s="59" t="str">
        <f>IF(AND($B23&gt;='1111'!$N$10,$B23&lt;='1111'!$O$10,OR($J23=$L$7,$K23=$L$7)),"x","")</f>
        <v/>
      </c>
      <c r="M23" s="59" t="str">
        <f>IF(AND($J23=$L$7,$B23&lt;'1111'!$N$10),"x","")</f>
        <v/>
      </c>
      <c r="N23" s="59" t="str">
        <f>IF(AND($K23=$L$7,$B23&lt;'1111'!$N$10),"x","")</f>
        <v/>
      </c>
      <c r="O23" s="59" t="str">
        <f t="shared" si="4"/>
        <v/>
      </c>
    </row>
    <row r="24" spans="1:15" s="51" customFormat="1" ht="15.75" customHeight="1">
      <c r="A24" s="121" t="str">
        <f>IF(B24&lt;&gt;"",IF(AND(B24&gt;=_TM1,B24&lt;=_TM2,OR(TH!J24="1111",TH!K24="1111")),TH!D24,""),"")</f>
        <v/>
      </c>
      <c r="B24" s="37" t="str">
        <f t="shared" si="3"/>
        <v/>
      </c>
      <c r="C24" s="38"/>
      <c r="D24" s="38"/>
      <c r="E24" s="38"/>
      <c r="F24" s="41"/>
      <c r="G24" s="216"/>
      <c r="H24" s="54"/>
      <c r="I24" s="39"/>
      <c r="J24" s="40"/>
      <c r="K24" s="40"/>
      <c r="L24" s="59" t="str">
        <f>IF(AND($B24&gt;='1111'!$N$10,$B24&lt;='1111'!$O$10,OR($J24=$L$7,$K24=$L$7)),"x","")</f>
        <v/>
      </c>
      <c r="M24" s="59" t="str">
        <f>IF(AND($J24=$L$7,$B24&lt;'1111'!$N$10),"x","")</f>
        <v/>
      </c>
      <c r="N24" s="59" t="str">
        <f>IF(AND($K24=$L$7,$B24&lt;'1111'!$N$10),"x","")</f>
        <v/>
      </c>
      <c r="O24" s="59" t="str">
        <f t="shared" si="4"/>
        <v/>
      </c>
    </row>
    <row r="25" spans="1:15" s="51" customFormat="1" ht="15.75" customHeight="1">
      <c r="A25" s="121" t="str">
        <f>IF(B25&lt;&gt;"",IF(AND(B25&gt;=_TM1,B25&lt;=_TM2,OR(TH!J25="1111",TH!K25="1111")),TH!D25,""),"")</f>
        <v/>
      </c>
      <c r="B25" s="37" t="str">
        <f t="shared" si="3"/>
        <v/>
      </c>
      <c r="C25" s="38"/>
      <c r="D25" s="38"/>
      <c r="E25" s="38"/>
      <c r="F25" s="41"/>
      <c r="G25" s="216"/>
      <c r="H25" s="54"/>
      <c r="I25" s="39"/>
      <c r="J25" s="40"/>
      <c r="K25" s="40"/>
      <c r="L25" s="59" t="str">
        <f>IF(AND($B25&gt;='1111'!$N$10,$B25&lt;='1111'!$O$10,OR($J25=$L$7,$K25=$L$7)),"x","")</f>
        <v/>
      </c>
      <c r="M25" s="59" t="str">
        <f>IF(AND($J25=$L$7,$B25&lt;'1111'!$N$10),"x","")</f>
        <v/>
      </c>
      <c r="N25" s="59" t="str">
        <f>IF(AND($K25=$L$7,$B25&lt;'1111'!$N$10),"x","")</f>
        <v/>
      </c>
      <c r="O25" s="59" t="str">
        <f t="shared" si="4"/>
        <v/>
      </c>
    </row>
    <row r="26" spans="1:15" s="51" customFormat="1" ht="15.75" customHeight="1">
      <c r="A26" s="121" t="str">
        <f>IF(B26&lt;&gt;"",IF(AND(B26&gt;=_TM1,B26&lt;=_TM2,OR(TH!J26="1111",TH!K26="1111")),TH!D26,""),"")</f>
        <v/>
      </c>
      <c r="B26" s="37" t="str">
        <f t="shared" si="3"/>
        <v/>
      </c>
      <c r="C26" s="38"/>
      <c r="D26" s="38"/>
      <c r="E26" s="38"/>
      <c r="F26" s="44"/>
      <c r="G26" s="216"/>
      <c r="H26" s="54"/>
      <c r="I26" s="39"/>
      <c r="J26" s="40"/>
      <c r="K26" s="40"/>
      <c r="L26" s="59" t="str">
        <f>IF(AND($B26&gt;='1111'!$N$10,$B26&lt;='1111'!$O$10,OR($J26=$L$7,$K26=$L$7)),"x","")</f>
        <v/>
      </c>
      <c r="M26" s="59" t="str">
        <f>IF(AND($J26=$L$7,$B26&lt;'1111'!$N$10),"x","")</f>
        <v/>
      </c>
      <c r="N26" s="59" t="str">
        <f>IF(AND($K26=$L$7,$B26&lt;'1111'!$N$10),"x","")</f>
        <v/>
      </c>
      <c r="O26" s="59" t="str">
        <f t="shared" si="4"/>
        <v/>
      </c>
    </row>
    <row r="27" spans="1:15" s="51" customFormat="1" ht="15.75" customHeight="1">
      <c r="A27" s="121" t="str">
        <f>IF(B27&lt;&gt;"",IF(AND(B27&gt;=_TM1,B27&lt;=_TM2,OR(TH!J27="1111",TH!K27="1111")),TH!D27,""),"")</f>
        <v/>
      </c>
      <c r="B27" s="37" t="str">
        <f t="shared" si="3"/>
        <v/>
      </c>
      <c r="C27" s="38"/>
      <c r="D27" s="38"/>
      <c r="E27" s="38"/>
      <c r="F27" s="41"/>
      <c r="G27" s="216"/>
      <c r="H27" s="54"/>
      <c r="I27" s="39"/>
      <c r="J27" s="40"/>
      <c r="K27" s="40"/>
      <c r="L27" s="59" t="str">
        <f>IF(AND($B27&gt;='1111'!$N$10,$B27&lt;='1111'!$O$10,OR($J27=$L$7,$K27=$L$7)),"x","")</f>
        <v/>
      </c>
      <c r="M27" s="59" t="str">
        <f>IF(AND($J27=$L$7,$B27&lt;'1111'!$N$10),"x","")</f>
        <v/>
      </c>
      <c r="N27" s="59" t="str">
        <f>IF(AND($K27=$L$7,$B27&lt;'1111'!$N$10),"x","")</f>
        <v/>
      </c>
      <c r="O27" s="59" t="str">
        <f t="shared" si="4"/>
        <v/>
      </c>
    </row>
    <row r="28" spans="1:15" s="51" customFormat="1" ht="15.75" customHeight="1">
      <c r="A28" s="121" t="str">
        <f>IF(B28&lt;&gt;"",IF(AND(B28&gt;=_TM1,B28&lt;=_TM2,OR(TH!J28="1111",TH!K28="1111")),TH!D28,""),"")</f>
        <v/>
      </c>
      <c r="B28" s="37" t="str">
        <f t="shared" si="3"/>
        <v/>
      </c>
      <c r="C28" s="38"/>
      <c r="D28" s="38"/>
      <c r="E28" s="38"/>
      <c r="F28" s="41"/>
      <c r="G28" s="216"/>
      <c r="H28" s="54"/>
      <c r="I28" s="39"/>
      <c r="J28" s="40"/>
      <c r="K28" s="40"/>
      <c r="L28" s="59" t="str">
        <f>IF(AND($B28&gt;='1111'!$N$10,$B28&lt;='1111'!$O$10,OR($J28=$L$7,$K28=$L$7)),"x","")</f>
        <v/>
      </c>
      <c r="M28" s="59" t="str">
        <f>IF(AND($J28=$L$7,$B28&lt;'1111'!$N$10),"x","")</f>
        <v/>
      </c>
      <c r="N28" s="59" t="str">
        <f>IF(AND($K28=$L$7,$B28&lt;'1111'!$N$10),"x","")</f>
        <v/>
      </c>
      <c r="O28" s="59" t="str">
        <f t="shared" si="4"/>
        <v/>
      </c>
    </row>
    <row r="29" spans="1:15" s="51" customFormat="1" ht="15.75" customHeight="1">
      <c r="A29" s="121" t="str">
        <f>IF(B29&lt;&gt;"",IF(AND(B29&gt;=_TM1,B29&lt;=_TM2,OR(TH!J29="1111",TH!K29="1111")),TH!D29,""),"")</f>
        <v/>
      </c>
      <c r="B29" s="37" t="str">
        <f t="shared" si="3"/>
        <v/>
      </c>
      <c r="C29" s="38"/>
      <c r="D29" s="38"/>
      <c r="E29" s="38"/>
      <c r="F29" s="41"/>
      <c r="G29" s="216"/>
      <c r="H29" s="54"/>
      <c r="I29" s="39"/>
      <c r="J29" s="40"/>
      <c r="K29" s="40"/>
      <c r="L29" s="59" t="str">
        <f>IF(AND($B29&gt;='1111'!$N$10,$B29&lt;='1111'!$O$10,OR($J29=$L$7,$K29=$L$7)),"x","")</f>
        <v/>
      </c>
      <c r="M29" s="59" t="str">
        <f>IF(AND($J29=$L$7,$B29&lt;'1111'!$N$10),"x","")</f>
        <v/>
      </c>
      <c r="N29" s="59" t="str">
        <f>IF(AND($K29=$L$7,$B29&lt;'1111'!$N$10),"x","")</f>
        <v/>
      </c>
      <c r="O29" s="59" t="str">
        <f t="shared" si="4"/>
        <v/>
      </c>
    </row>
    <row r="30" spans="1:15" s="51" customFormat="1" ht="15.75" customHeight="1">
      <c r="A30" s="121" t="str">
        <f>IF(B30&lt;&gt;"",IF(AND(B30&gt;=_TM1,B30&lt;=_TM2,OR(TH!J30="1111",TH!K30="1111")),TH!D30,""),"")</f>
        <v/>
      </c>
      <c r="B30" s="37" t="str">
        <f t="shared" si="3"/>
        <v/>
      </c>
      <c r="C30" s="38"/>
      <c r="D30" s="38"/>
      <c r="E30" s="38"/>
      <c r="F30" s="41"/>
      <c r="G30" s="216"/>
      <c r="H30" s="54"/>
      <c r="I30" s="39"/>
      <c r="J30" s="40"/>
      <c r="K30" s="40"/>
      <c r="L30" s="59" t="str">
        <f>IF(AND($B30&gt;='1111'!$N$10,$B30&lt;='1111'!$O$10,OR($J30=$L$7,$K30=$L$7)),"x","")</f>
        <v/>
      </c>
      <c r="M30" s="59" t="str">
        <f>IF(AND($J30=$L$7,$B30&lt;'1111'!$N$10),"x","")</f>
        <v/>
      </c>
      <c r="N30" s="59" t="str">
        <f>IF(AND($K30=$L$7,$B30&lt;'1111'!$N$10),"x","")</f>
        <v/>
      </c>
      <c r="O30" s="59" t="str">
        <f t="shared" si="4"/>
        <v/>
      </c>
    </row>
    <row r="31" spans="1:15" s="51" customFormat="1" ht="15.75" customHeight="1">
      <c r="A31" s="121" t="str">
        <f>IF(B31&lt;&gt;"",IF(AND(B31&gt;=_TM1,B31&lt;=_TM2,OR(TH!J31="1111",TH!K31="1111")),TH!D31,""),"")</f>
        <v/>
      </c>
      <c r="B31" s="37" t="str">
        <f t="shared" si="3"/>
        <v/>
      </c>
      <c r="C31" s="38"/>
      <c r="D31" s="38"/>
      <c r="E31" s="38"/>
      <c r="F31" s="41"/>
      <c r="G31" s="216"/>
      <c r="H31" s="54"/>
      <c r="I31" s="39"/>
      <c r="J31" s="40"/>
      <c r="K31" s="40"/>
      <c r="L31" s="59" t="str">
        <f>IF(AND($B31&gt;='1111'!$N$10,$B31&lt;='1111'!$O$10,OR($J31=$L$7,$K31=$L$7)),"x","")</f>
        <v/>
      </c>
      <c r="M31" s="59" t="str">
        <f>IF(AND($J31=$L$7,$B31&lt;'1111'!$N$10),"x","")</f>
        <v/>
      </c>
      <c r="N31" s="59" t="str">
        <f>IF(AND($K31=$L$7,$B31&lt;'1111'!$N$10),"x","")</f>
        <v/>
      </c>
      <c r="O31" s="59" t="str">
        <f t="shared" si="4"/>
        <v/>
      </c>
    </row>
    <row r="32" spans="1:15" s="51" customFormat="1" ht="15.75" customHeight="1">
      <c r="A32" s="121" t="str">
        <f>IF(B32&lt;&gt;"",IF(AND(B32&gt;=_TM1,B32&lt;=_TM2,OR(TH!J32="1111",TH!K32="1111")),TH!D32,""),"")</f>
        <v/>
      </c>
      <c r="B32" s="37" t="str">
        <f t="shared" si="3"/>
        <v/>
      </c>
      <c r="C32" s="50"/>
      <c r="D32" s="38"/>
      <c r="E32" s="38"/>
      <c r="F32" s="41"/>
      <c r="G32" s="216"/>
      <c r="H32" s="54"/>
      <c r="I32" s="39"/>
      <c r="J32" s="40"/>
      <c r="K32" s="40"/>
      <c r="L32" s="59" t="str">
        <f>IF(AND($B32&gt;='1111'!$N$10,$B32&lt;='1111'!$O$10,OR($J32=$L$7,$K32=$L$7)),"x","")</f>
        <v/>
      </c>
      <c r="M32" s="59" t="str">
        <f>IF(AND($J32=$L$7,$B32&lt;'1111'!$N$10),"x","")</f>
        <v/>
      </c>
      <c r="N32" s="59" t="str">
        <f>IF(AND($K32=$L$7,$B32&lt;'1111'!$N$10),"x","")</f>
        <v/>
      </c>
      <c r="O32" s="59" t="str">
        <f t="shared" si="4"/>
        <v/>
      </c>
    </row>
    <row r="33" spans="1:15" s="51" customFormat="1" ht="15.75" customHeight="1">
      <c r="A33" s="121" t="str">
        <f>IF(B33&lt;&gt;"",IF(AND(B33&gt;=_TM1,B33&lt;=_TM2,OR(TH!J33="1111",TH!K33="1111")),TH!D33,""),"")</f>
        <v/>
      </c>
      <c r="B33" s="37" t="str">
        <f t="shared" si="3"/>
        <v/>
      </c>
      <c r="C33" s="50"/>
      <c r="D33" s="38"/>
      <c r="E33" s="38"/>
      <c r="F33" s="41"/>
      <c r="G33" s="216"/>
      <c r="H33" s="54"/>
      <c r="I33" s="39"/>
      <c r="J33" s="40"/>
      <c r="K33" s="40"/>
      <c r="L33" s="59" t="str">
        <f>IF(AND($B33&gt;='1111'!$N$10,$B33&lt;='1111'!$O$10,OR($J33=$L$7,$K33=$L$7)),"x","")</f>
        <v/>
      </c>
      <c r="M33" s="59" t="str">
        <f>IF(AND($J33=$L$7,$B33&lt;'1111'!$N$10),"x","")</f>
        <v/>
      </c>
      <c r="N33" s="59" t="str">
        <f>IF(AND($K33=$L$7,$B33&lt;'1111'!$N$10),"x","")</f>
        <v/>
      </c>
      <c r="O33" s="59" t="str">
        <f t="shared" si="4"/>
        <v/>
      </c>
    </row>
    <row r="34" spans="1:15" s="51" customFormat="1" ht="15.75" customHeight="1">
      <c r="A34" s="121" t="str">
        <f>IF(B34&lt;&gt;"",IF(AND(B34&gt;=_TM1,B34&lt;=_TM2,OR(TH!J34="1111",TH!K34="1111")),TH!D34,""),"")</f>
        <v/>
      </c>
      <c r="B34" s="37" t="str">
        <f t="shared" si="3"/>
        <v/>
      </c>
      <c r="C34" s="50"/>
      <c r="D34" s="38"/>
      <c r="E34" s="38"/>
      <c r="F34" s="41"/>
      <c r="G34" s="216"/>
      <c r="H34" s="54"/>
      <c r="I34" s="39"/>
      <c r="J34" s="40"/>
      <c r="K34" s="40"/>
      <c r="L34" s="59" t="str">
        <f>IF(AND($B34&gt;='1111'!$N$10,$B34&lt;='1111'!$O$10,OR($J34=$L$7,$K34=$L$7)),"x","")</f>
        <v/>
      </c>
      <c r="M34" s="59" t="str">
        <f>IF(AND($J34=$L$7,$B34&lt;'1111'!$N$10),"x","")</f>
        <v/>
      </c>
      <c r="N34" s="59" t="str">
        <f>IF(AND($K34=$L$7,$B34&lt;'1111'!$N$10),"x","")</f>
        <v/>
      </c>
      <c r="O34" s="59" t="str">
        <f t="shared" si="4"/>
        <v/>
      </c>
    </row>
    <row r="35" spans="1:15" s="51" customFormat="1" ht="15.75" customHeight="1">
      <c r="A35" s="121" t="str">
        <f>IF(B35&lt;&gt;"",IF(AND(B35&gt;=_TM1,B35&lt;=_TM2,OR(TH!J35="1111",TH!K35="1111")),TH!D35,""),"")</f>
        <v/>
      </c>
      <c r="B35" s="37" t="str">
        <f t="shared" si="3"/>
        <v/>
      </c>
      <c r="C35" s="38"/>
      <c r="D35" s="38"/>
      <c r="E35" s="38"/>
      <c r="F35" s="41"/>
      <c r="G35" s="216"/>
      <c r="H35" s="54"/>
      <c r="I35" s="39"/>
      <c r="J35" s="40"/>
      <c r="K35" s="40"/>
      <c r="L35" s="59" t="str">
        <f>IF(AND($B35&gt;='1111'!$N$10,$B35&lt;='1111'!$O$10,OR($J35=$L$7,$K35=$L$7)),"x","")</f>
        <v/>
      </c>
      <c r="M35" s="59" t="str">
        <f>IF(AND($J35=$L$7,$B35&lt;'1111'!$N$10),"x","")</f>
        <v/>
      </c>
      <c r="N35" s="59" t="str">
        <f>IF(AND($K35=$L$7,$B35&lt;'1111'!$N$10),"x","")</f>
        <v/>
      </c>
      <c r="O35" s="59" t="str">
        <f t="shared" si="4"/>
        <v/>
      </c>
    </row>
    <row r="36" spans="1:15" s="51" customFormat="1" ht="15.75" customHeight="1">
      <c r="A36" s="121" t="str">
        <f>IF(B36&lt;&gt;"",IF(AND(B36&gt;=_TM1,B36&lt;=_TM2,OR(TH!J36="1111",TH!K36="1111")),TH!D36,""),"")</f>
        <v/>
      </c>
      <c r="B36" s="37" t="str">
        <f t="shared" si="3"/>
        <v/>
      </c>
      <c r="C36" s="38"/>
      <c r="D36" s="38"/>
      <c r="E36" s="38"/>
      <c r="F36" s="41"/>
      <c r="G36" s="216"/>
      <c r="H36" s="54"/>
      <c r="I36" s="39"/>
      <c r="J36" s="40"/>
      <c r="K36" s="40"/>
      <c r="L36" s="59" t="str">
        <f>IF(AND($B36&gt;='1111'!$N$10,$B36&lt;='1111'!$O$10,OR($J36=$L$7,$K36=$L$7)),"x","")</f>
        <v/>
      </c>
      <c r="M36" s="59" t="str">
        <f>IF(AND($J36=$L$7,$B36&lt;'1111'!$N$10),"x","")</f>
        <v/>
      </c>
      <c r="N36" s="59" t="str">
        <f>IF(AND($K36=$L$7,$B36&lt;'1111'!$N$10),"x","")</f>
        <v/>
      </c>
      <c r="O36" s="59" t="str">
        <f t="shared" si="4"/>
        <v/>
      </c>
    </row>
    <row r="37" spans="1:15" s="51" customFormat="1" ht="15.75" customHeight="1">
      <c r="A37" s="121" t="str">
        <f>IF(B37&lt;&gt;"",IF(AND(B37&gt;=_TM1,B37&lt;=_TM2,OR(TH!J37="1111",TH!K37="1111")),TH!D37,""),"")</f>
        <v/>
      </c>
      <c r="B37" s="37" t="str">
        <f t="shared" si="3"/>
        <v/>
      </c>
      <c r="C37" s="50"/>
      <c r="D37" s="38"/>
      <c r="E37" s="38"/>
      <c r="F37" s="41"/>
      <c r="G37" s="216"/>
      <c r="H37" s="54"/>
      <c r="I37" s="39"/>
      <c r="J37" s="43"/>
      <c r="K37" s="40"/>
      <c r="L37" s="59" t="str">
        <f>IF(AND($B37&gt;='1111'!$N$10,$B37&lt;='1111'!$O$10,OR($J37=$L$7,$K37=$L$7)),"x","")</f>
        <v/>
      </c>
      <c r="M37" s="59" t="str">
        <f>IF(AND($J37=$L$7,$B37&lt;'1111'!$N$10),"x","")</f>
        <v/>
      </c>
      <c r="N37" s="59" t="str">
        <f>IF(AND($K37=$L$7,$B37&lt;'1111'!$N$10),"x","")</f>
        <v/>
      </c>
      <c r="O37" s="59" t="str">
        <f t="shared" si="4"/>
        <v/>
      </c>
    </row>
    <row r="38" spans="1:15" s="51" customFormat="1" ht="15.75" customHeight="1">
      <c r="A38" s="121" t="str">
        <f>IF(B38&lt;&gt;"",IF(AND(B38&gt;=_TM1,B38&lt;=_TM2,OR(TH!J38="1111",TH!K38="1111")),TH!D38,""),"")</f>
        <v/>
      </c>
      <c r="B38" s="37" t="str">
        <f t="shared" si="3"/>
        <v/>
      </c>
      <c r="C38" s="38"/>
      <c r="D38" s="38"/>
      <c r="E38" s="38"/>
      <c r="F38" s="41"/>
      <c r="G38" s="216"/>
      <c r="H38" s="54"/>
      <c r="I38" s="39"/>
      <c r="J38" s="40"/>
      <c r="K38" s="40"/>
      <c r="L38" s="59" t="str">
        <f>IF(AND($B38&gt;='1111'!$N$10,$B38&lt;='1111'!$O$10,OR($J38=$L$7,$K38=$L$7)),"x","")</f>
        <v/>
      </c>
      <c r="M38" s="59" t="str">
        <f>IF(AND($J38=$L$7,$B38&lt;'1111'!$N$10),"x","")</f>
        <v/>
      </c>
      <c r="N38" s="59" t="str">
        <f>IF(AND($K38=$L$7,$B38&lt;'1111'!$N$10),"x","")</f>
        <v/>
      </c>
      <c r="O38" s="59" t="str">
        <f t="shared" si="4"/>
        <v/>
      </c>
    </row>
    <row r="39" spans="1:15" s="51" customFormat="1" ht="15.75" customHeight="1">
      <c r="A39" s="121" t="str">
        <f>IF(B39&lt;&gt;"",IF(AND(B39&gt;=_TM1,B39&lt;=_TM2,OR(TH!J39="1111",TH!K39="1111")),TH!D39,""),"")</f>
        <v/>
      </c>
      <c r="B39" s="37" t="str">
        <f t="shared" si="3"/>
        <v/>
      </c>
      <c r="C39" s="38"/>
      <c r="D39" s="38"/>
      <c r="E39" s="38"/>
      <c r="F39" s="41"/>
      <c r="G39" s="216"/>
      <c r="H39" s="54"/>
      <c r="I39" s="39"/>
      <c r="J39" s="40"/>
      <c r="K39" s="40"/>
      <c r="L39" s="59" t="str">
        <f>IF(AND($B39&gt;='1111'!$N$10,$B39&lt;='1111'!$O$10,OR($J39=$L$7,$K39=$L$7)),"x","")</f>
        <v/>
      </c>
      <c r="M39" s="59" t="str">
        <f>IF(AND($J39=$L$7,$B39&lt;'1111'!$N$10),"x","")</f>
        <v/>
      </c>
      <c r="N39" s="59" t="str">
        <f>IF(AND($K39=$L$7,$B39&lt;'1111'!$N$10),"x","")</f>
        <v/>
      </c>
      <c r="O39" s="59" t="str">
        <f t="shared" si="4"/>
        <v/>
      </c>
    </row>
    <row r="40" spans="1:15" s="51" customFormat="1" ht="15.75" customHeight="1">
      <c r="A40" s="121" t="str">
        <f>IF(B40&lt;&gt;"",IF(AND(B40&gt;=_TM1,B40&lt;=_TM2,OR(TH!J40="1111",TH!K40="1111")),TH!D40,""),"")</f>
        <v/>
      </c>
      <c r="B40" s="37" t="str">
        <f t="shared" si="3"/>
        <v/>
      </c>
      <c r="C40" s="50"/>
      <c r="D40" s="38"/>
      <c r="E40" s="38"/>
      <c r="F40" s="41"/>
      <c r="G40" s="216"/>
      <c r="H40" s="54"/>
      <c r="I40" s="39"/>
      <c r="J40" s="43"/>
      <c r="K40" s="40"/>
      <c r="L40" s="59" t="str">
        <f>IF(AND($B40&gt;='1111'!$N$10,$B40&lt;='1111'!$O$10,OR($J40=$L$7,$K40=$L$7)),"x","")</f>
        <v/>
      </c>
      <c r="M40" s="59" t="str">
        <f>IF(AND($J40=$L$7,$B40&lt;'1111'!$N$10),"x","")</f>
        <v/>
      </c>
      <c r="N40" s="59" t="str">
        <f>IF(AND($K40=$L$7,$B40&lt;'1111'!$N$10),"x","")</f>
        <v/>
      </c>
      <c r="O40" s="59" t="str">
        <f t="shared" si="4"/>
        <v/>
      </c>
    </row>
    <row r="41" spans="1:15" s="51" customFormat="1" ht="15.75" customHeight="1">
      <c r="A41" s="121" t="str">
        <f>IF(B41&lt;&gt;"",IF(AND(B41&gt;=_TM1,B41&lt;=_TM2,OR(TH!J41="1111",TH!K41="1111")),TH!D41,""),"")</f>
        <v/>
      </c>
      <c r="B41" s="37" t="str">
        <f t="shared" si="3"/>
        <v/>
      </c>
      <c r="C41" s="38"/>
      <c r="D41" s="38"/>
      <c r="E41" s="38"/>
      <c r="F41" s="41"/>
      <c r="G41" s="216"/>
      <c r="H41" s="54"/>
      <c r="I41" s="39"/>
      <c r="J41" s="40"/>
      <c r="K41" s="40"/>
      <c r="L41" s="59" t="str">
        <f>IF(AND($B41&gt;='1111'!$N$10,$B41&lt;='1111'!$O$10,OR($J41=$L$7,$K41=$L$7)),"x","")</f>
        <v/>
      </c>
      <c r="M41" s="59" t="str">
        <f>IF(AND($J41=$L$7,$B41&lt;'1111'!$N$10),"x","")</f>
        <v/>
      </c>
      <c r="N41" s="59" t="str">
        <f>IF(AND($K41=$L$7,$B41&lt;'1111'!$N$10),"x","")</f>
        <v/>
      </c>
      <c r="O41" s="59" t="str">
        <f t="shared" si="4"/>
        <v/>
      </c>
    </row>
    <row r="42" spans="1:15" s="51" customFormat="1" ht="15.75" customHeight="1">
      <c r="A42" s="121" t="str">
        <f>IF(B42&lt;&gt;"",IF(AND(B42&gt;=_TM1,B42&lt;=_TM2,OR(TH!J42="1111",TH!K42="1111")),TH!D42,""),"")</f>
        <v/>
      </c>
      <c r="B42" s="37" t="str">
        <f t="shared" si="3"/>
        <v/>
      </c>
      <c r="C42" s="38"/>
      <c r="D42" s="38"/>
      <c r="E42" s="38"/>
      <c r="F42" s="41"/>
      <c r="G42" s="216"/>
      <c r="H42" s="54"/>
      <c r="I42" s="39"/>
      <c r="J42" s="40"/>
      <c r="K42" s="40"/>
      <c r="L42" s="59" t="str">
        <f>IF(AND($B42&gt;='1111'!$N$10,$B42&lt;='1111'!$O$10,OR($J42=$L$7,$K42=$L$7)),"x","")</f>
        <v/>
      </c>
      <c r="M42" s="59" t="str">
        <f>IF(AND($J42=$L$7,$B42&lt;'1111'!$N$10),"x","")</f>
        <v/>
      </c>
      <c r="N42" s="59" t="str">
        <f>IF(AND($K42=$L$7,$B42&lt;'1111'!$N$10),"x","")</f>
        <v/>
      </c>
      <c r="O42" s="59" t="str">
        <f t="shared" si="4"/>
        <v/>
      </c>
    </row>
    <row r="43" spans="1:15" s="51" customFormat="1" ht="15.75" customHeight="1">
      <c r="A43" s="121" t="str">
        <f>IF(B43&lt;&gt;"",IF(AND(B43&gt;=_TM1,B43&lt;=_TM2,OR(TH!J43="1111",TH!K43="1111")),TH!D43,""),"")</f>
        <v/>
      </c>
      <c r="B43" s="37" t="str">
        <f t="shared" si="3"/>
        <v/>
      </c>
      <c r="C43" s="50"/>
      <c r="D43" s="38"/>
      <c r="E43" s="38"/>
      <c r="F43" s="41"/>
      <c r="G43" s="216"/>
      <c r="H43" s="54"/>
      <c r="I43" s="39"/>
      <c r="J43" s="40"/>
      <c r="K43" s="40"/>
      <c r="L43" s="59" t="str">
        <f>IF(AND($B43&gt;='1111'!$N$10,$B43&lt;='1111'!$O$10,OR($J43=$L$7,$K43=$L$7)),"x","")</f>
        <v/>
      </c>
      <c r="M43" s="59" t="str">
        <f>IF(AND($J43=$L$7,$B43&lt;'1111'!$N$10),"x","")</f>
        <v/>
      </c>
      <c r="N43" s="59" t="str">
        <f>IF(AND($K43=$L$7,$B43&lt;'1111'!$N$10),"x","")</f>
        <v/>
      </c>
      <c r="O43" s="59" t="str">
        <f t="shared" si="4"/>
        <v/>
      </c>
    </row>
    <row r="44" spans="1:15" s="51" customFormat="1" ht="15.75" customHeight="1">
      <c r="A44" s="121" t="str">
        <f>IF(B44&lt;&gt;"",IF(AND(B44&gt;=_TM1,B44&lt;=_TM2,OR(TH!J44="1111",TH!K44="1111")),TH!D44,""),"")</f>
        <v/>
      </c>
      <c r="B44" s="37" t="str">
        <f t="shared" si="3"/>
        <v/>
      </c>
      <c r="C44" s="38"/>
      <c r="D44" s="38"/>
      <c r="E44" s="38"/>
      <c r="F44" s="44"/>
      <c r="G44" s="216"/>
      <c r="H44" s="53"/>
      <c r="I44" s="39"/>
      <c r="J44" s="40"/>
      <c r="K44" s="40"/>
      <c r="L44" s="59" t="str">
        <f>IF(AND($B44&gt;='1111'!$N$10,$B44&lt;='1111'!$O$10,OR($J44=$L$7,$K44=$L$7)),"x","")</f>
        <v/>
      </c>
      <c r="M44" s="59" t="str">
        <f>IF(AND($J44=$L$7,$B44&lt;'1111'!$N$10),"x","")</f>
        <v/>
      </c>
      <c r="N44" s="59" t="str">
        <f>IF(AND($K44=$L$7,$B44&lt;'1111'!$N$10),"x","")</f>
        <v/>
      </c>
      <c r="O44" s="59" t="str">
        <f t="shared" si="4"/>
        <v/>
      </c>
    </row>
    <row r="45" spans="1:15" s="51" customFormat="1" ht="15.75" customHeight="1">
      <c r="A45" s="121" t="str">
        <f>IF(B45&lt;&gt;"",IF(AND(B45&gt;=_TM1,B45&lt;=_TM2,OR(TH!J45="1111",TH!K45="1111")),TH!D45,""),"")</f>
        <v/>
      </c>
      <c r="B45" s="37" t="str">
        <f t="shared" si="3"/>
        <v/>
      </c>
      <c r="C45" s="50"/>
      <c r="D45" s="38"/>
      <c r="E45" s="38"/>
      <c r="F45" s="41"/>
      <c r="G45" s="216"/>
      <c r="H45" s="53"/>
      <c r="I45" s="39"/>
      <c r="J45" s="40"/>
      <c r="K45" s="40"/>
      <c r="L45" s="59" t="str">
        <f>IF(AND($B45&gt;='1111'!$N$10,$B45&lt;='1111'!$O$10,OR($J45=$L$7,$K45=$L$7)),"x","")</f>
        <v/>
      </c>
      <c r="M45" s="59" t="str">
        <f>IF(AND($J45=$L$7,$B45&lt;'1111'!$N$10),"x","")</f>
        <v/>
      </c>
      <c r="N45" s="59" t="str">
        <f>IF(AND($K45=$L$7,$B45&lt;'1111'!$N$10),"x","")</f>
        <v/>
      </c>
      <c r="O45" s="59" t="str">
        <f t="shared" si="4"/>
        <v/>
      </c>
    </row>
    <row r="46" spans="1:15" s="51" customFormat="1" ht="15.75" customHeight="1">
      <c r="A46" s="121" t="str">
        <f>IF(B46&lt;&gt;"",IF(AND(B46&gt;=_TM1,B46&lt;=_TM2,OR(TH!J46="1111",TH!K46="1111")),TH!D46,""),"")</f>
        <v/>
      </c>
      <c r="B46" s="37" t="str">
        <f t="shared" si="3"/>
        <v/>
      </c>
      <c r="C46" s="38"/>
      <c r="D46" s="38"/>
      <c r="E46" s="38"/>
      <c r="F46" s="41"/>
      <c r="G46" s="216"/>
      <c r="H46" s="54"/>
      <c r="I46" s="39"/>
      <c r="J46" s="40"/>
      <c r="K46" s="40"/>
      <c r="L46" s="59" t="str">
        <f>IF(AND($B46&gt;='1111'!$N$10,$B46&lt;='1111'!$O$10,OR($J46=$L$7,$K46=$L$7)),"x","")</f>
        <v/>
      </c>
      <c r="M46" s="59" t="str">
        <f>IF(AND($J46=$L$7,$B46&lt;'1111'!$N$10),"x","")</f>
        <v/>
      </c>
      <c r="N46" s="59" t="str">
        <f>IF(AND($K46=$L$7,$B46&lt;'1111'!$N$10),"x","")</f>
        <v/>
      </c>
      <c r="O46" s="59" t="str">
        <f t="shared" si="4"/>
        <v/>
      </c>
    </row>
    <row r="47" spans="1:15" s="51" customFormat="1" ht="15.75" customHeight="1">
      <c r="A47" s="121" t="str">
        <f>IF(B47&lt;&gt;"",IF(AND(B47&gt;=_TM1,B47&lt;=_TM2,OR(TH!J47="1111",TH!K47="1111")),TH!D47,""),"")</f>
        <v/>
      </c>
      <c r="B47" s="37" t="str">
        <f t="shared" si="3"/>
        <v/>
      </c>
      <c r="C47" s="38"/>
      <c r="D47" s="38"/>
      <c r="E47" s="38"/>
      <c r="F47" s="41"/>
      <c r="G47" s="216"/>
      <c r="H47" s="54"/>
      <c r="I47" s="39"/>
      <c r="J47" s="40"/>
      <c r="K47" s="40"/>
      <c r="L47" s="59" t="str">
        <f>IF(AND($B47&gt;='1111'!$N$10,$B47&lt;='1111'!$O$10,OR($J47=$L$7,$K47=$L$7)),"x","")</f>
        <v/>
      </c>
      <c r="M47" s="59" t="str">
        <f>IF(AND($J47=$L$7,$B47&lt;'1111'!$N$10),"x","")</f>
        <v/>
      </c>
      <c r="N47" s="59" t="str">
        <f>IF(AND($K47=$L$7,$B47&lt;'1111'!$N$10),"x","")</f>
        <v/>
      </c>
      <c r="O47" s="59" t="str">
        <f t="shared" si="4"/>
        <v/>
      </c>
    </row>
    <row r="48" spans="1:15" s="51" customFormat="1" ht="15.75" customHeight="1">
      <c r="A48" s="121" t="str">
        <f>IF(B48&lt;&gt;"",IF(AND(B48&gt;=_TM1,B48&lt;=_TM2,OR(TH!J48="1111",TH!K48="1111")),TH!D48,""),"")</f>
        <v/>
      </c>
      <c r="B48" s="37" t="str">
        <f t="shared" si="3"/>
        <v/>
      </c>
      <c r="C48" s="38"/>
      <c r="D48" s="38"/>
      <c r="E48" s="38"/>
      <c r="F48" s="41"/>
      <c r="G48" s="216"/>
      <c r="H48" s="54"/>
      <c r="I48" s="39"/>
      <c r="J48" s="40"/>
      <c r="K48" s="40"/>
      <c r="L48" s="59" t="str">
        <f>IF(AND($B48&gt;='1111'!$N$10,$B48&lt;='1111'!$O$10,OR($J48=$L$7,$K48=$L$7)),"x","")</f>
        <v/>
      </c>
      <c r="M48" s="59" t="str">
        <f>IF(AND($J48=$L$7,$B48&lt;'1111'!$N$10),"x","")</f>
        <v/>
      </c>
      <c r="N48" s="59" t="str">
        <f>IF(AND($K48=$L$7,$B48&lt;'1111'!$N$10),"x","")</f>
        <v/>
      </c>
      <c r="O48" s="59" t="str">
        <f t="shared" si="4"/>
        <v/>
      </c>
    </row>
    <row r="49" spans="1:15" s="51" customFormat="1" ht="15.75" customHeight="1">
      <c r="A49" s="121" t="str">
        <f>IF(B49&lt;&gt;"",IF(AND(B49&gt;=_TM1,B49&lt;=_TM2,OR(TH!J49="1111",TH!K49="1111")),TH!D49,""),"")</f>
        <v/>
      </c>
      <c r="B49" s="37" t="str">
        <f t="shared" si="3"/>
        <v/>
      </c>
      <c r="C49" s="38"/>
      <c r="D49" s="38"/>
      <c r="E49" s="38"/>
      <c r="F49" s="41"/>
      <c r="G49" s="216"/>
      <c r="H49" s="54"/>
      <c r="I49" s="39"/>
      <c r="J49" s="40"/>
      <c r="K49" s="40"/>
      <c r="L49" s="59" t="str">
        <f>IF(AND($B49&gt;='1111'!$N$10,$B49&lt;='1111'!$O$10,OR($J49=$L$7,$K49=$L$7)),"x","")</f>
        <v/>
      </c>
      <c r="M49" s="59" t="str">
        <f>IF(AND($J49=$L$7,$B49&lt;'1111'!$N$10),"x","")</f>
        <v/>
      </c>
      <c r="N49" s="59" t="str">
        <f>IF(AND($K49=$L$7,$B49&lt;'1111'!$N$10),"x","")</f>
        <v/>
      </c>
      <c r="O49" s="59" t="str">
        <f t="shared" si="4"/>
        <v/>
      </c>
    </row>
    <row r="50" spans="1:15" s="51" customFormat="1" ht="15.75" customHeight="1">
      <c r="A50" s="121" t="str">
        <f>IF(B50&lt;&gt;"",IF(AND(B50&gt;=_TM1,B50&lt;=_TM2,OR(TH!J50="1111",TH!K50="1111")),TH!D50,""),"")</f>
        <v/>
      </c>
      <c r="B50" s="37" t="str">
        <f t="shared" si="3"/>
        <v/>
      </c>
      <c r="C50" s="38"/>
      <c r="D50" s="38"/>
      <c r="E50" s="38"/>
      <c r="F50" s="41"/>
      <c r="G50" s="216"/>
      <c r="H50" s="54"/>
      <c r="I50" s="39"/>
      <c r="J50" s="40"/>
      <c r="K50" s="40"/>
      <c r="L50" s="59" t="str">
        <f>IF(AND($B50&gt;='1111'!$N$10,$B50&lt;='1111'!$O$10,OR($J50=$L$7,$K50=$L$7)),"x","")</f>
        <v/>
      </c>
      <c r="M50" s="59" t="str">
        <f>IF(AND($J50=$L$7,$B50&lt;'1111'!$N$10),"x","")</f>
        <v/>
      </c>
      <c r="N50" s="59" t="str">
        <f>IF(AND($K50=$L$7,$B50&lt;'1111'!$N$10),"x","")</f>
        <v/>
      </c>
      <c r="O50" s="59" t="str">
        <f t="shared" si="4"/>
        <v/>
      </c>
    </row>
    <row r="51" spans="1:15" s="51" customFormat="1" ht="15.75" customHeight="1">
      <c r="A51" s="121" t="str">
        <f>IF(B51&lt;&gt;"",IF(AND(B51&gt;=_TM1,B51&lt;=_TM2,OR(TH!J51="1111",TH!K51="1111")),TH!D51,""),"")</f>
        <v/>
      </c>
      <c r="B51" s="37" t="str">
        <f t="shared" si="3"/>
        <v/>
      </c>
      <c r="C51" s="38"/>
      <c r="D51" s="38"/>
      <c r="E51" s="38"/>
      <c r="F51" s="44"/>
      <c r="G51" s="216"/>
      <c r="H51" s="53"/>
      <c r="I51" s="39"/>
      <c r="J51" s="40"/>
      <c r="K51" s="40"/>
      <c r="L51" s="59" t="str">
        <f>IF(AND($B51&gt;='1111'!$N$10,$B51&lt;='1111'!$O$10,OR($J51=$L$7,$K51=$L$7)),"x","")</f>
        <v/>
      </c>
      <c r="M51" s="59" t="str">
        <f>IF(AND($J51=$L$7,$B51&lt;'1111'!$N$10),"x","")</f>
        <v/>
      </c>
      <c r="N51" s="59" t="str">
        <f>IF(AND($K51=$L$7,$B51&lt;'1111'!$N$10),"x","")</f>
        <v/>
      </c>
      <c r="O51" s="59" t="str">
        <f t="shared" si="4"/>
        <v/>
      </c>
    </row>
    <row r="52" spans="1:15" s="51" customFormat="1" ht="15.75" customHeight="1">
      <c r="A52" s="121" t="str">
        <f>IF(B52&lt;&gt;"",IF(AND(B52&gt;=_TM1,B52&lt;=_TM2,OR(TH!J52="1111",TH!K52="1111")),TH!D52,""),"")</f>
        <v/>
      </c>
      <c r="B52" s="37" t="str">
        <f t="shared" si="3"/>
        <v/>
      </c>
      <c r="C52" s="50"/>
      <c r="D52" s="38"/>
      <c r="E52" s="38"/>
      <c r="F52" s="41"/>
      <c r="G52" s="216"/>
      <c r="H52" s="53"/>
      <c r="I52" s="39"/>
      <c r="J52" s="40"/>
      <c r="K52" s="40"/>
      <c r="L52" s="59" t="str">
        <f>IF(AND($B52&gt;='1111'!$N$10,$B52&lt;='1111'!$O$10,OR($J52=$L$7,$K52=$L$7)),"x","")</f>
        <v/>
      </c>
      <c r="M52" s="59" t="str">
        <f>IF(AND($J52=$L$7,$B52&lt;'1111'!$N$10),"x","")</f>
        <v/>
      </c>
      <c r="N52" s="59" t="str">
        <f>IF(AND($K52=$L$7,$B52&lt;'1111'!$N$10),"x","")</f>
        <v/>
      </c>
      <c r="O52" s="59" t="str">
        <f t="shared" si="4"/>
        <v/>
      </c>
    </row>
    <row r="53" spans="1:15" s="51" customFormat="1" ht="15.75" customHeight="1">
      <c r="A53" s="121" t="str">
        <f>IF(B53&lt;&gt;"",IF(AND(B53&gt;=_TM1,B53&lt;=_TM2,OR(TH!J53="1111",TH!K53="1111")),TH!D53,""),"")</f>
        <v/>
      </c>
      <c r="B53" s="37" t="str">
        <f t="shared" si="3"/>
        <v/>
      </c>
      <c r="C53" s="38"/>
      <c r="D53" s="38"/>
      <c r="E53" s="38"/>
      <c r="F53" s="41"/>
      <c r="G53" s="216"/>
      <c r="H53" s="54"/>
      <c r="I53" s="39"/>
      <c r="J53" s="40"/>
      <c r="K53" s="40"/>
      <c r="L53" s="59" t="str">
        <f>IF(AND($B53&gt;='1111'!$N$10,$B53&lt;='1111'!$O$10,OR($J53=$L$7,$K53=$L$7)),"x","")</f>
        <v/>
      </c>
      <c r="M53" s="59" t="str">
        <f>IF(AND($J53=$L$7,$B53&lt;'1111'!$N$10),"x","")</f>
        <v/>
      </c>
      <c r="N53" s="59" t="str">
        <f>IF(AND($K53=$L$7,$B53&lt;'1111'!$N$10),"x","")</f>
        <v/>
      </c>
      <c r="O53" s="59" t="str">
        <f t="shared" si="4"/>
        <v/>
      </c>
    </row>
    <row r="54" spans="1:15" s="51" customFormat="1" ht="15.75" customHeight="1">
      <c r="A54" s="121" t="str">
        <f>IF(B54&lt;&gt;"",IF(AND(B54&gt;=_TM1,B54&lt;=_TM2,OR(TH!J54="1111",TH!K54="1111")),TH!D54,""),"")</f>
        <v/>
      </c>
      <c r="B54" s="37" t="str">
        <f t="shared" si="3"/>
        <v/>
      </c>
      <c r="C54" s="38"/>
      <c r="D54" s="38"/>
      <c r="E54" s="38"/>
      <c r="F54" s="41"/>
      <c r="G54" s="216"/>
      <c r="H54" s="54"/>
      <c r="I54" s="39"/>
      <c r="J54" s="40"/>
      <c r="K54" s="40"/>
      <c r="L54" s="59" t="str">
        <f>IF(AND($B54&gt;='1111'!$N$10,$B54&lt;='1111'!$O$10,OR($J54=$L$7,$K54=$L$7)),"x","")</f>
        <v/>
      </c>
      <c r="M54" s="59" t="str">
        <f>IF(AND($J54=$L$7,$B54&lt;'1111'!$N$10),"x","")</f>
        <v/>
      </c>
      <c r="N54" s="59" t="str">
        <f>IF(AND($K54=$L$7,$B54&lt;'1111'!$N$10),"x","")</f>
        <v/>
      </c>
      <c r="O54" s="59" t="str">
        <f t="shared" si="4"/>
        <v/>
      </c>
    </row>
    <row r="55" spans="1:15" s="51" customFormat="1" ht="15.75" customHeight="1">
      <c r="A55" s="121" t="str">
        <f>IF(B55&lt;&gt;"",IF(AND(B55&gt;=_TM1,B55&lt;=_TM2,OR(TH!J55="1111",TH!K55="1111")),TH!D55,""),"")</f>
        <v/>
      </c>
      <c r="B55" s="37" t="str">
        <f t="shared" si="3"/>
        <v/>
      </c>
      <c r="C55" s="38"/>
      <c r="D55" s="38"/>
      <c r="E55" s="38"/>
      <c r="F55" s="41"/>
      <c r="G55" s="216"/>
      <c r="H55" s="54"/>
      <c r="I55" s="39"/>
      <c r="J55" s="40"/>
      <c r="K55" s="40"/>
      <c r="L55" s="59" t="str">
        <f>IF(AND($B55&gt;='1111'!$N$10,$B55&lt;='1111'!$O$10,OR($J55=$L$7,$K55=$L$7)),"x","")</f>
        <v/>
      </c>
      <c r="M55" s="59" t="str">
        <f>IF(AND($J55=$L$7,$B55&lt;'1111'!$N$10),"x","")</f>
        <v/>
      </c>
      <c r="N55" s="59" t="str">
        <f>IF(AND($K55=$L$7,$B55&lt;'1111'!$N$10),"x","")</f>
        <v/>
      </c>
      <c r="O55" s="59" t="str">
        <f t="shared" si="4"/>
        <v/>
      </c>
    </row>
    <row r="56" spans="1:15" s="51" customFormat="1" ht="15.75" customHeight="1">
      <c r="A56" s="121" t="str">
        <f>IF(B56&lt;&gt;"",IF(AND(B56&gt;=_TM1,B56&lt;=_TM2,OR(TH!J56="1111",TH!K56="1111")),TH!D56,""),"")</f>
        <v/>
      </c>
      <c r="B56" s="37" t="str">
        <f t="shared" si="3"/>
        <v/>
      </c>
      <c r="C56" s="38"/>
      <c r="D56" s="38"/>
      <c r="E56" s="38"/>
      <c r="F56" s="41"/>
      <c r="G56" s="216"/>
      <c r="H56" s="54"/>
      <c r="I56" s="39"/>
      <c r="J56" s="40"/>
      <c r="K56" s="40"/>
      <c r="L56" s="59" t="str">
        <f>IF(AND($B56&gt;='1111'!$N$10,$B56&lt;='1111'!$O$10,OR($J56=$L$7,$K56=$L$7)),"x","")</f>
        <v/>
      </c>
      <c r="M56" s="59" t="str">
        <f>IF(AND($J56=$L$7,$B56&lt;'1111'!$N$10),"x","")</f>
        <v/>
      </c>
      <c r="N56" s="59" t="str">
        <f>IF(AND($K56=$L$7,$B56&lt;'1111'!$N$10),"x","")</f>
        <v/>
      </c>
      <c r="O56" s="59" t="str">
        <f t="shared" si="4"/>
        <v/>
      </c>
    </row>
    <row r="57" spans="1:15" s="51" customFormat="1" ht="15.75" customHeight="1">
      <c r="A57" s="121" t="str">
        <f>IF(B57&lt;&gt;"",IF(AND(B57&gt;=_TM1,B57&lt;=_TM2,OR(TH!J57="1111",TH!K57="1111")),TH!D57,""),"")</f>
        <v/>
      </c>
      <c r="B57" s="37" t="str">
        <f t="shared" si="3"/>
        <v/>
      </c>
      <c r="C57" s="38"/>
      <c r="D57" s="38"/>
      <c r="E57" s="38"/>
      <c r="F57" s="41"/>
      <c r="G57" s="216"/>
      <c r="H57" s="54"/>
      <c r="I57" s="39"/>
      <c r="J57" s="40"/>
      <c r="K57" s="40"/>
      <c r="L57" s="59" t="str">
        <f>IF(AND($B57&gt;='1111'!$N$10,$B57&lt;='1111'!$O$10,OR($J57=$L$7,$K57=$L$7)),"x","")</f>
        <v/>
      </c>
      <c r="M57" s="59" t="str">
        <f>IF(AND($J57=$L$7,$B57&lt;'1111'!$N$10),"x","")</f>
        <v/>
      </c>
      <c r="N57" s="59" t="str">
        <f>IF(AND($K57=$L$7,$B57&lt;'1111'!$N$10),"x","")</f>
        <v/>
      </c>
      <c r="O57" s="59" t="str">
        <f t="shared" si="4"/>
        <v/>
      </c>
    </row>
    <row r="58" spans="1:15" s="51" customFormat="1" ht="15.75" customHeight="1">
      <c r="A58" s="121" t="str">
        <f>IF(B58&lt;&gt;"",IF(AND(B58&gt;=_TM1,B58&lt;=_TM2,OR(TH!J58="1111",TH!K58="1111")),TH!D58,""),"")</f>
        <v/>
      </c>
      <c r="B58" s="37" t="str">
        <f t="shared" si="3"/>
        <v/>
      </c>
      <c r="C58" s="38"/>
      <c r="D58" s="38"/>
      <c r="E58" s="38"/>
      <c r="F58" s="41"/>
      <c r="G58" s="216"/>
      <c r="H58" s="54"/>
      <c r="I58" s="39"/>
      <c r="J58" s="40"/>
      <c r="K58" s="40"/>
      <c r="L58" s="59" t="str">
        <f>IF(AND($B58&gt;='1111'!$N$10,$B58&lt;='1111'!$O$10,OR($J58=$L$7,$K58=$L$7)),"x","")</f>
        <v/>
      </c>
      <c r="M58" s="59" t="str">
        <f>IF(AND($J58=$L$7,$B58&lt;'1111'!$N$10),"x","")</f>
        <v/>
      </c>
      <c r="N58" s="59" t="str">
        <f>IF(AND($K58=$L$7,$B58&lt;'1111'!$N$10),"x","")</f>
        <v/>
      </c>
      <c r="O58" s="59" t="str">
        <f t="shared" si="4"/>
        <v/>
      </c>
    </row>
    <row r="59" spans="1:15" s="51" customFormat="1" ht="15.75" customHeight="1">
      <c r="A59" s="121" t="str">
        <f>IF(B59&lt;&gt;"",IF(AND(B59&gt;=_TM1,B59&lt;=_TM2,OR(TH!J59="1111",TH!K59="1111")),TH!D59,""),"")</f>
        <v/>
      </c>
      <c r="B59" s="37" t="str">
        <f t="shared" si="3"/>
        <v/>
      </c>
      <c r="C59" s="38"/>
      <c r="D59" s="38"/>
      <c r="E59" s="38"/>
      <c r="F59" s="41"/>
      <c r="G59" s="216"/>
      <c r="H59" s="54"/>
      <c r="I59" s="39"/>
      <c r="J59" s="40"/>
      <c r="K59" s="40"/>
      <c r="L59" s="59" t="str">
        <f>IF(AND($B59&gt;='1111'!$N$10,$B59&lt;='1111'!$O$10,OR($J59=$L$7,$K59=$L$7)),"x","")</f>
        <v/>
      </c>
      <c r="M59" s="59" t="str">
        <f>IF(AND($J59=$L$7,$B59&lt;'1111'!$N$10),"x","")</f>
        <v/>
      </c>
      <c r="N59" s="59" t="str">
        <f>IF(AND($K59=$L$7,$B59&lt;'1111'!$N$10),"x","")</f>
        <v/>
      </c>
      <c r="O59" s="59" t="str">
        <f t="shared" si="4"/>
        <v/>
      </c>
    </row>
    <row r="60" spans="1:15" s="51" customFormat="1" ht="15.75" customHeight="1">
      <c r="A60" s="121" t="str">
        <f>IF(B60&lt;&gt;"",IF(AND(B60&gt;=_TM1,B60&lt;=_TM2,OR(TH!J60="1111",TH!K60="1111")),TH!D60,""),"")</f>
        <v/>
      </c>
      <c r="B60" s="37" t="str">
        <f t="shared" si="3"/>
        <v/>
      </c>
      <c r="C60" s="38"/>
      <c r="D60" s="38"/>
      <c r="E60" s="38"/>
      <c r="F60" s="41"/>
      <c r="G60" s="216"/>
      <c r="H60" s="54"/>
      <c r="I60" s="39"/>
      <c r="J60" s="40"/>
      <c r="K60" s="40"/>
      <c r="L60" s="59" t="str">
        <f>IF(AND($B60&gt;='1111'!$N$10,$B60&lt;='1111'!$O$10,OR($J60=$L$7,$K60=$L$7)),"x","")</f>
        <v/>
      </c>
      <c r="M60" s="59" t="str">
        <f>IF(AND($J60=$L$7,$B60&lt;'1111'!$N$10),"x","")</f>
        <v/>
      </c>
      <c r="N60" s="59" t="str">
        <f>IF(AND($K60=$L$7,$B60&lt;'1111'!$N$10),"x","")</f>
        <v/>
      </c>
      <c r="O60" s="59" t="str">
        <f t="shared" si="4"/>
        <v/>
      </c>
    </row>
    <row r="61" spans="1:15" s="51" customFormat="1" ht="15.75" customHeight="1">
      <c r="A61" s="121" t="str">
        <f>IF(B61&lt;&gt;"",IF(AND(B61&gt;=_TM1,B61&lt;=_TM2,OR(TH!J61="1111",TH!K61="1111")),TH!D61,""),"")</f>
        <v/>
      </c>
      <c r="B61" s="37" t="str">
        <f t="shared" si="3"/>
        <v/>
      </c>
      <c r="C61" s="38"/>
      <c r="D61" s="38"/>
      <c r="E61" s="38"/>
      <c r="F61" s="41"/>
      <c r="G61" s="216"/>
      <c r="H61" s="54"/>
      <c r="I61" s="39"/>
      <c r="J61" s="40"/>
      <c r="K61" s="40"/>
      <c r="L61" s="59" t="str">
        <f>IF(AND($B61&gt;='1111'!$N$10,$B61&lt;='1111'!$O$10,OR($J61=$L$7,$K61=$L$7)),"x","")</f>
        <v/>
      </c>
      <c r="M61" s="59" t="str">
        <f>IF(AND($J61=$L$7,$B61&lt;'1111'!$N$10),"x","")</f>
        <v/>
      </c>
      <c r="N61" s="59" t="str">
        <f>IF(AND($K61=$L$7,$B61&lt;'1111'!$N$10),"x","")</f>
        <v/>
      </c>
      <c r="O61" s="59" t="str">
        <f t="shared" si="4"/>
        <v/>
      </c>
    </row>
    <row r="62" spans="1:15" s="51" customFormat="1" ht="15.75" customHeight="1">
      <c r="A62" s="121" t="str">
        <f>IF(B62&lt;&gt;"",IF(AND(B62&gt;=_TM1,B62&lt;=_TM2,OR(TH!J62="1111",TH!K62="1111")),TH!D62,""),"")</f>
        <v/>
      </c>
      <c r="B62" s="37" t="str">
        <f t="shared" si="3"/>
        <v/>
      </c>
      <c r="C62" s="38"/>
      <c r="D62" s="38"/>
      <c r="E62" s="38"/>
      <c r="F62" s="41"/>
      <c r="G62" s="216"/>
      <c r="H62" s="54"/>
      <c r="I62" s="39"/>
      <c r="J62" s="40"/>
      <c r="K62" s="40"/>
      <c r="L62" s="59" t="str">
        <f>IF(AND($B62&gt;='1111'!$N$10,$B62&lt;='1111'!$O$10,OR($J62=$L$7,$K62=$L$7)),"x","")</f>
        <v/>
      </c>
      <c r="M62" s="59" t="str">
        <f>IF(AND($J62=$L$7,$B62&lt;'1111'!$N$10),"x","")</f>
        <v/>
      </c>
      <c r="N62" s="59" t="str">
        <f>IF(AND($K62=$L$7,$B62&lt;'1111'!$N$10),"x","")</f>
        <v/>
      </c>
      <c r="O62" s="59" t="str">
        <f t="shared" si="4"/>
        <v/>
      </c>
    </row>
    <row r="63" spans="1:15" s="51" customFormat="1" ht="15.75" customHeight="1">
      <c r="A63" s="121" t="str">
        <f>IF(B63&lt;&gt;"",IF(AND(B63&gt;=_TM1,B63&lt;=_TM2,OR(TH!J63="1111",TH!K63="1111")),TH!D63,""),"")</f>
        <v/>
      </c>
      <c r="B63" s="37" t="str">
        <f t="shared" si="3"/>
        <v/>
      </c>
      <c r="C63" s="50"/>
      <c r="D63" s="38"/>
      <c r="E63" s="38"/>
      <c r="F63" s="41"/>
      <c r="G63" s="216"/>
      <c r="H63" s="54"/>
      <c r="I63" s="39"/>
      <c r="J63" s="40"/>
      <c r="K63" s="40"/>
      <c r="L63" s="59" t="str">
        <f>IF(AND($B63&gt;='1111'!$N$10,$B63&lt;='1111'!$O$10,OR($J63=$L$7,$K63=$L$7)),"x","")</f>
        <v/>
      </c>
      <c r="M63" s="59" t="str">
        <f>IF(AND($J63=$L$7,$B63&lt;'1111'!$N$10),"x","")</f>
        <v/>
      </c>
      <c r="N63" s="59" t="str">
        <f>IF(AND($K63=$L$7,$B63&lt;'1111'!$N$10),"x","")</f>
        <v/>
      </c>
      <c r="O63" s="59" t="str">
        <f t="shared" si="4"/>
        <v/>
      </c>
    </row>
    <row r="64" spans="1:15" s="51" customFormat="1" ht="15.75" customHeight="1">
      <c r="A64" s="121" t="str">
        <f>IF(B64&lt;&gt;"",IF(AND(B64&gt;=_TM1,B64&lt;=_TM2,OR(TH!J64="1111",TH!K64="1111")),TH!D64,""),"")</f>
        <v/>
      </c>
      <c r="B64" s="37" t="str">
        <f t="shared" si="3"/>
        <v/>
      </c>
      <c r="C64" s="50"/>
      <c r="D64" s="38"/>
      <c r="E64" s="38"/>
      <c r="F64" s="41"/>
      <c r="G64" s="216"/>
      <c r="H64" s="54"/>
      <c r="I64" s="39"/>
      <c r="J64" s="40"/>
      <c r="K64" s="40"/>
      <c r="L64" s="59" t="str">
        <f>IF(AND($B64&gt;='1111'!$N$10,$B64&lt;='1111'!$O$10,OR($J64=$L$7,$K64=$L$7)),"x","")</f>
        <v/>
      </c>
      <c r="M64" s="59" t="str">
        <f>IF(AND($J64=$L$7,$B64&lt;'1111'!$N$10),"x","")</f>
        <v/>
      </c>
      <c r="N64" s="59" t="str">
        <f>IF(AND($K64=$L$7,$B64&lt;'1111'!$N$10),"x","")</f>
        <v/>
      </c>
      <c r="O64" s="59" t="str">
        <f t="shared" si="4"/>
        <v/>
      </c>
    </row>
    <row r="65" spans="1:15" s="51" customFormat="1" ht="15.75" customHeight="1">
      <c r="A65" s="121" t="str">
        <f>IF(B65&lt;&gt;"",IF(AND(B65&gt;=_TM1,B65&lt;=_TM2,OR(TH!J65="1111",TH!K65="1111")),TH!D65,""),"")</f>
        <v/>
      </c>
      <c r="B65" s="37" t="str">
        <f t="shared" si="3"/>
        <v/>
      </c>
      <c r="C65" s="50"/>
      <c r="D65" s="38"/>
      <c r="E65" s="38"/>
      <c r="F65" s="41"/>
      <c r="G65" s="216"/>
      <c r="H65" s="54"/>
      <c r="I65" s="39"/>
      <c r="J65" s="42"/>
      <c r="K65" s="40"/>
      <c r="L65" s="59" t="str">
        <f>IF(AND($B65&gt;='1111'!$N$10,$B65&lt;='1111'!$O$10,OR($J65=$L$7,$K65=$L$7)),"x","")</f>
        <v/>
      </c>
      <c r="M65" s="59" t="str">
        <f>IF(AND($J65=$L$7,$B65&lt;'1111'!$N$10),"x","")</f>
        <v/>
      </c>
      <c r="N65" s="59" t="str">
        <f>IF(AND($K65=$L$7,$B65&lt;'1111'!$N$10),"x","")</f>
        <v/>
      </c>
      <c r="O65" s="59" t="str">
        <f t="shared" si="4"/>
        <v/>
      </c>
    </row>
    <row r="66" spans="1:15" s="51" customFormat="1" ht="15.75" customHeight="1">
      <c r="A66" s="121" t="str">
        <f>IF(B66&lt;&gt;"",IF(AND(B66&gt;=_TM1,B66&lt;=_TM2,OR(TH!J66="1111",TH!K66="1111")),TH!D66,""),"")</f>
        <v/>
      </c>
      <c r="B66" s="37" t="str">
        <f t="shared" si="3"/>
        <v/>
      </c>
      <c r="C66" s="38"/>
      <c r="D66" s="38"/>
      <c r="E66" s="38"/>
      <c r="F66" s="41"/>
      <c r="G66" s="216"/>
      <c r="H66" s="54"/>
      <c r="I66" s="39"/>
      <c r="J66" s="40"/>
      <c r="K66" s="40"/>
      <c r="L66" s="59" t="str">
        <f>IF(AND($B66&gt;='1111'!$N$10,$B66&lt;='1111'!$O$10,OR($J66=$L$7,$K66=$L$7)),"x","")</f>
        <v/>
      </c>
      <c r="M66" s="59" t="str">
        <f>IF(AND($J66=$L$7,$B66&lt;'1111'!$N$10),"x","")</f>
        <v/>
      </c>
      <c r="N66" s="59" t="str">
        <f>IF(AND($K66=$L$7,$B66&lt;'1111'!$N$10),"x","")</f>
        <v/>
      </c>
      <c r="O66" s="59" t="str">
        <f t="shared" si="4"/>
        <v/>
      </c>
    </row>
    <row r="67" spans="1:15" s="51" customFormat="1" ht="15.75" customHeight="1">
      <c r="A67" s="121" t="str">
        <f>IF(B67&lt;&gt;"",IF(AND(B67&gt;=_TM1,B67&lt;=_TM2,OR(TH!J67="1111",TH!K67="1111")),TH!D67,""),"")</f>
        <v/>
      </c>
      <c r="B67" s="37" t="str">
        <f t="shared" si="3"/>
        <v/>
      </c>
      <c r="C67" s="38"/>
      <c r="D67" s="38"/>
      <c r="E67" s="38"/>
      <c r="F67" s="41"/>
      <c r="G67" s="216"/>
      <c r="H67" s="54"/>
      <c r="I67" s="39"/>
      <c r="J67" s="40"/>
      <c r="K67" s="40"/>
      <c r="L67" s="59" t="str">
        <f>IF(AND($B67&gt;='1111'!$N$10,$B67&lt;='1111'!$O$10,OR($J67=$L$7,$K67=$L$7)),"x","")</f>
        <v/>
      </c>
      <c r="M67" s="59" t="str">
        <f>IF(AND($J67=$L$7,$B67&lt;'1111'!$N$10),"x","")</f>
        <v/>
      </c>
      <c r="N67" s="59" t="str">
        <f>IF(AND($K67=$L$7,$B67&lt;'1111'!$N$10),"x","")</f>
        <v/>
      </c>
      <c r="O67" s="59" t="str">
        <f t="shared" si="4"/>
        <v/>
      </c>
    </row>
    <row r="68" spans="1:15" s="51" customFormat="1" ht="15.75" customHeight="1">
      <c r="A68" s="121" t="str">
        <f>IF(B68&lt;&gt;"",IF(AND(B68&gt;=_TM1,B68&lt;=_TM2,OR(TH!J68="1111",TH!K68="1111")),TH!D68,""),"")</f>
        <v/>
      </c>
      <c r="B68" s="37" t="str">
        <f t="shared" si="3"/>
        <v/>
      </c>
      <c r="C68" s="50"/>
      <c r="D68" s="38"/>
      <c r="E68" s="38"/>
      <c r="F68" s="41"/>
      <c r="G68" s="216"/>
      <c r="H68" s="54"/>
      <c r="I68" s="39"/>
      <c r="J68" s="42"/>
      <c r="K68" s="40"/>
      <c r="L68" s="59" t="str">
        <f>IF(AND($B68&gt;='1111'!$N$10,$B68&lt;='1111'!$O$10,OR($J68=$L$7,$K68=$L$7)),"x","")</f>
        <v/>
      </c>
      <c r="M68" s="59" t="str">
        <f>IF(AND($J68=$L$7,$B68&lt;'1111'!$N$10),"x","")</f>
        <v/>
      </c>
      <c r="N68" s="59" t="str">
        <f>IF(AND($K68=$L$7,$B68&lt;'1111'!$N$10),"x","")</f>
        <v/>
      </c>
      <c r="O68" s="59" t="str">
        <f t="shared" si="4"/>
        <v/>
      </c>
    </row>
    <row r="69" spans="1:15" s="51" customFormat="1" ht="15.75" customHeight="1">
      <c r="A69" s="121" t="str">
        <f>IF(B69&lt;&gt;"",IF(AND(B69&gt;=_TM1,B69&lt;=_TM2,OR(TH!J69="1111",TH!K69="1111")),TH!D69,""),"")</f>
        <v/>
      </c>
      <c r="B69" s="37" t="str">
        <f t="shared" si="3"/>
        <v/>
      </c>
      <c r="C69" s="50"/>
      <c r="D69" s="38"/>
      <c r="E69" s="38"/>
      <c r="F69" s="41"/>
      <c r="G69" s="216"/>
      <c r="H69" s="54"/>
      <c r="I69" s="39"/>
      <c r="J69" s="42"/>
      <c r="K69" s="40"/>
      <c r="L69" s="59" t="str">
        <f>IF(AND($B69&gt;='1111'!$N$10,$B69&lt;='1111'!$O$10,OR($J69=$L$7,$K69=$L$7)),"x","")</f>
        <v/>
      </c>
      <c r="M69" s="59" t="str">
        <f>IF(AND($J69=$L$7,$B69&lt;'1111'!$N$10),"x","")</f>
        <v/>
      </c>
      <c r="N69" s="59" t="str">
        <f>IF(AND($K69=$L$7,$B69&lt;'1111'!$N$10),"x","")</f>
        <v/>
      </c>
      <c r="O69" s="59" t="str">
        <f t="shared" si="4"/>
        <v/>
      </c>
    </row>
  </sheetData>
  <autoFilter ref="A9:N69">
    <filterColumn colId="1"/>
    <filterColumn colId="9"/>
    <filterColumn colId="10"/>
    <filterColumn colId="11"/>
    <filterColumn colId="12"/>
    <filterColumn colId="13"/>
  </autoFilter>
  <sortState ref="A572:X602">
    <sortCondition ref="C572:C602"/>
  </sortState>
  <mergeCells count="13">
    <mergeCell ref="A7:A8"/>
    <mergeCell ref="B7:B8"/>
    <mergeCell ref="H7:H8"/>
    <mergeCell ref="L7:N8"/>
    <mergeCell ref="O7:O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81"/>
  <sheetViews>
    <sheetView topLeftCell="A7" workbookViewId="0">
      <pane xSplit="8" ySplit="5" topLeftCell="AD12" activePane="bottomRight" state="frozen"/>
      <selection activeCell="E170" sqref="E170"/>
      <selection pane="topRight" activeCell="E170" sqref="E170"/>
      <selection pane="bottomLeft" activeCell="E170" sqref="E170"/>
      <selection pane="bottomRight" activeCell="E29" sqref="E29"/>
    </sheetView>
  </sheetViews>
  <sheetFormatPr defaultRowHeight="12.75"/>
  <cols>
    <col min="1" max="1" width="4.85546875" style="162" customWidth="1"/>
    <col min="2" max="2" width="10.42578125" style="162" customWidth="1"/>
    <col min="3" max="3" width="7.42578125" style="162" customWidth="1"/>
    <col min="4" max="4" width="10.85546875" style="162" customWidth="1"/>
    <col min="5" max="5" width="40" style="162" customWidth="1"/>
    <col min="6" max="6" width="14.140625" style="162" customWidth="1"/>
    <col min="7" max="8" width="5.85546875" style="163" customWidth="1"/>
    <col min="9" max="9" width="4.85546875" style="162" customWidth="1"/>
    <col min="10" max="11" width="15.42578125" style="162" customWidth="1"/>
    <col min="12" max="13" width="16.140625" style="162" customWidth="1"/>
    <col min="14" max="14" width="14.7109375" style="162" customWidth="1"/>
    <col min="15" max="15" width="14.5703125" style="162" customWidth="1"/>
    <col min="16" max="16" width="8.140625" style="162" customWidth="1"/>
    <col min="17" max="17" width="7.28515625" style="162" customWidth="1"/>
    <col min="18" max="18" width="14.5703125" style="162" customWidth="1"/>
    <col min="19" max="19" width="7.140625" style="162" customWidth="1"/>
    <col min="20" max="20" width="15.28515625" style="162" customWidth="1"/>
    <col min="21" max="21" width="7.85546875" style="162" customWidth="1"/>
    <col min="22" max="22" width="9.5703125" style="162" customWidth="1"/>
    <col min="23" max="23" width="6" style="162" customWidth="1"/>
    <col min="24" max="24" width="11.28515625" style="162" customWidth="1"/>
    <col min="25" max="25" width="11.5703125" style="162" customWidth="1"/>
    <col min="26" max="26" width="14.140625" style="162" customWidth="1"/>
    <col min="27" max="27" width="13" style="162" customWidth="1"/>
    <col min="28" max="28" width="6.5703125" style="162" customWidth="1"/>
    <col min="29" max="29" width="15.7109375" style="162" customWidth="1"/>
    <col min="30" max="30" width="6.28515625" style="162" customWidth="1"/>
    <col min="31" max="31" width="15" style="162" customWidth="1"/>
    <col min="32" max="41" width="12.5703125" style="162" customWidth="1"/>
    <col min="42" max="42" width="10.140625" style="162" customWidth="1"/>
    <col min="43" max="43" width="11.85546875" style="162" customWidth="1"/>
    <col min="44" max="44" width="9.140625" style="162" customWidth="1"/>
    <col min="45" max="47" width="10.7109375" style="162" customWidth="1"/>
    <col min="48" max="48" width="14.28515625" style="162" customWidth="1"/>
    <col min="49" max="49" width="14.5703125" style="162" customWidth="1"/>
    <col min="50" max="16384" width="9.140625" style="162"/>
  </cols>
  <sheetData>
    <row r="1" spans="1:49" ht="12.75" customHeight="1">
      <c r="A1" s="158"/>
      <c r="B1" s="159" t="s">
        <v>106</v>
      </c>
      <c r="C1" s="160"/>
      <c r="D1" s="160"/>
      <c r="E1" s="161"/>
      <c r="I1" s="160"/>
      <c r="M1" s="297" t="s">
        <v>157</v>
      </c>
      <c r="N1" s="297"/>
      <c r="O1" s="297"/>
      <c r="P1" s="161"/>
      <c r="V1" s="160"/>
      <c r="W1" s="160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0"/>
      <c r="AQ1" s="160"/>
      <c r="AR1" s="160"/>
      <c r="AS1" s="160"/>
      <c r="AT1" s="160"/>
      <c r="AU1" s="160"/>
      <c r="AV1" s="160"/>
      <c r="AW1" s="160"/>
    </row>
    <row r="2" spans="1:49" ht="12.75" customHeight="1">
      <c r="A2" s="158"/>
      <c r="B2" s="159" t="s">
        <v>155</v>
      </c>
      <c r="C2" s="160"/>
      <c r="D2" s="160"/>
      <c r="E2" s="160"/>
      <c r="I2" s="164"/>
      <c r="M2" s="298" t="s">
        <v>158</v>
      </c>
      <c r="N2" s="298"/>
      <c r="O2" s="298"/>
      <c r="P2" s="165"/>
      <c r="V2" s="164"/>
      <c r="W2" s="164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4"/>
      <c r="AQ2" s="164"/>
      <c r="AR2" s="164"/>
      <c r="AS2" s="164"/>
      <c r="AT2" s="164"/>
      <c r="AU2" s="164"/>
      <c r="AV2" s="164"/>
      <c r="AW2" s="164"/>
    </row>
    <row r="3" spans="1:49" ht="10.5" customHeight="1">
      <c r="A3" s="160"/>
      <c r="B3" s="160"/>
      <c r="C3" s="160"/>
      <c r="D3" s="160"/>
      <c r="E3" s="160"/>
      <c r="F3" s="164"/>
      <c r="G3" s="166"/>
      <c r="H3" s="166"/>
      <c r="I3" s="164"/>
      <c r="M3" s="298"/>
      <c r="N3" s="298"/>
      <c r="O3" s="298"/>
      <c r="P3" s="165"/>
      <c r="V3" s="164"/>
      <c r="W3" s="164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  <c r="AP3" s="164"/>
      <c r="AQ3" s="164"/>
      <c r="AR3" s="164"/>
      <c r="AS3" s="164"/>
      <c r="AT3" s="164"/>
      <c r="AU3" s="164"/>
      <c r="AV3" s="164"/>
      <c r="AW3" s="164"/>
    </row>
    <row r="4" spans="1:49" ht="19.5" customHeight="1">
      <c r="B4" s="299" t="s">
        <v>96</v>
      </c>
      <c r="C4" s="299"/>
      <c r="D4" s="299"/>
      <c r="E4" s="299"/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167"/>
      <c r="R4" s="167"/>
      <c r="S4" s="167"/>
      <c r="T4" s="167"/>
      <c r="U4" s="167"/>
      <c r="V4" s="168"/>
      <c r="W4" s="168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9"/>
      <c r="AQ4" s="169"/>
      <c r="AR4" s="169"/>
      <c r="AS4" s="169"/>
      <c r="AT4" s="169"/>
      <c r="AU4" s="169"/>
      <c r="AV4" s="169"/>
      <c r="AW4" s="169"/>
    </row>
    <row r="5" spans="1:49" ht="15">
      <c r="B5" s="300" t="s">
        <v>159</v>
      </c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170"/>
      <c r="R5" s="170"/>
      <c r="S5" s="170"/>
      <c r="T5" s="170"/>
      <c r="U5" s="170"/>
      <c r="V5" s="171"/>
      <c r="W5" s="171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</row>
    <row r="6" spans="1:49">
      <c r="N6" s="162" t="s">
        <v>134</v>
      </c>
    </row>
    <row r="7" spans="1:49" ht="13.5" customHeight="1">
      <c r="A7" s="301" t="s">
        <v>30</v>
      </c>
      <c r="B7" s="295" t="s">
        <v>21</v>
      </c>
      <c r="C7" s="303" t="s">
        <v>1</v>
      </c>
      <c r="D7" s="304"/>
      <c r="E7" s="295" t="s">
        <v>0</v>
      </c>
      <c r="F7" s="295" t="s">
        <v>97</v>
      </c>
      <c r="G7" s="305" t="s">
        <v>98</v>
      </c>
      <c r="H7" s="305"/>
      <c r="I7" s="296" t="s">
        <v>30</v>
      </c>
      <c r="J7" s="295" t="s">
        <v>160</v>
      </c>
      <c r="K7" s="295"/>
      <c r="L7" s="295" t="s">
        <v>161</v>
      </c>
      <c r="M7" s="295"/>
      <c r="N7" s="295" t="s">
        <v>162</v>
      </c>
      <c r="O7" s="295"/>
      <c r="P7" s="295" t="s">
        <v>163</v>
      </c>
      <c r="Q7" s="295"/>
      <c r="R7" s="295" t="s">
        <v>164</v>
      </c>
      <c r="S7" s="295"/>
      <c r="T7" s="295" t="s">
        <v>165</v>
      </c>
      <c r="U7" s="295"/>
      <c r="V7" s="295" t="s">
        <v>166</v>
      </c>
      <c r="W7" s="295"/>
      <c r="X7" s="295" t="s">
        <v>167</v>
      </c>
      <c r="Y7" s="295"/>
      <c r="Z7" s="295" t="s">
        <v>168</v>
      </c>
      <c r="AA7" s="295"/>
      <c r="AB7" s="295" t="s">
        <v>169</v>
      </c>
      <c r="AC7" s="295"/>
      <c r="AD7" s="295" t="s">
        <v>170</v>
      </c>
      <c r="AE7" s="295"/>
      <c r="AF7" s="295" t="s">
        <v>171</v>
      </c>
      <c r="AG7" s="295"/>
      <c r="AH7" s="295" t="s">
        <v>172</v>
      </c>
      <c r="AI7" s="295"/>
      <c r="AJ7" s="295" t="s">
        <v>173</v>
      </c>
      <c r="AK7" s="295"/>
      <c r="AL7" s="295" t="s">
        <v>174</v>
      </c>
      <c r="AM7" s="295"/>
      <c r="AN7" s="295" t="s">
        <v>175</v>
      </c>
      <c r="AO7" s="295"/>
      <c r="AP7" s="295" t="s">
        <v>176</v>
      </c>
      <c r="AQ7" s="295"/>
      <c r="AR7" s="295" t="s">
        <v>177</v>
      </c>
      <c r="AS7" s="295"/>
      <c r="AT7" s="295" t="s">
        <v>178</v>
      </c>
      <c r="AU7" s="295"/>
      <c r="AV7" s="295" t="s">
        <v>179</v>
      </c>
      <c r="AW7" s="295"/>
    </row>
    <row r="8" spans="1:49" ht="22.5" customHeight="1">
      <c r="A8" s="302"/>
      <c r="B8" s="295"/>
      <c r="C8" s="173" t="s">
        <v>16</v>
      </c>
      <c r="D8" s="172" t="s">
        <v>28</v>
      </c>
      <c r="E8" s="295"/>
      <c r="F8" s="295"/>
      <c r="G8" s="174" t="s">
        <v>23</v>
      </c>
      <c r="H8" s="174" t="s">
        <v>24</v>
      </c>
      <c r="I8" s="296"/>
      <c r="J8" s="172" t="s">
        <v>23</v>
      </c>
      <c r="K8" s="172" t="s">
        <v>24</v>
      </c>
      <c r="L8" s="172" t="s">
        <v>23</v>
      </c>
      <c r="M8" s="172" t="s">
        <v>24</v>
      </c>
      <c r="N8" s="172" t="s">
        <v>23</v>
      </c>
      <c r="O8" s="172" t="s">
        <v>24</v>
      </c>
      <c r="P8" s="172" t="s">
        <v>23</v>
      </c>
      <c r="Q8" s="172" t="s">
        <v>24</v>
      </c>
      <c r="R8" s="172" t="s">
        <v>23</v>
      </c>
      <c r="S8" s="172" t="s">
        <v>24</v>
      </c>
      <c r="T8" s="172" t="s">
        <v>23</v>
      </c>
      <c r="U8" s="172" t="s">
        <v>24</v>
      </c>
      <c r="V8" s="172" t="s">
        <v>23</v>
      </c>
      <c r="W8" s="172" t="s">
        <v>24</v>
      </c>
      <c r="X8" s="172" t="s">
        <v>23</v>
      </c>
      <c r="Y8" s="172" t="s">
        <v>24</v>
      </c>
      <c r="Z8" s="172" t="s">
        <v>23</v>
      </c>
      <c r="AA8" s="172" t="s">
        <v>24</v>
      </c>
      <c r="AB8" s="172" t="s">
        <v>23</v>
      </c>
      <c r="AC8" s="172" t="s">
        <v>24</v>
      </c>
      <c r="AD8" s="172" t="s">
        <v>23</v>
      </c>
      <c r="AE8" s="172" t="s">
        <v>24</v>
      </c>
      <c r="AF8" s="172" t="s">
        <v>23</v>
      </c>
      <c r="AG8" s="172" t="s">
        <v>24</v>
      </c>
      <c r="AH8" s="172" t="s">
        <v>23</v>
      </c>
      <c r="AI8" s="172" t="s">
        <v>24</v>
      </c>
      <c r="AJ8" s="172" t="s">
        <v>23</v>
      </c>
      <c r="AK8" s="172" t="s">
        <v>24</v>
      </c>
      <c r="AL8" s="172" t="s">
        <v>23</v>
      </c>
      <c r="AM8" s="172" t="s">
        <v>24</v>
      </c>
      <c r="AN8" s="172" t="s">
        <v>23</v>
      </c>
      <c r="AO8" s="172" t="s">
        <v>24</v>
      </c>
      <c r="AP8" s="172" t="s">
        <v>23</v>
      </c>
      <c r="AQ8" s="172" t="s">
        <v>24</v>
      </c>
      <c r="AR8" s="172" t="s">
        <v>23</v>
      </c>
      <c r="AS8" s="172" t="s">
        <v>24</v>
      </c>
      <c r="AT8" s="172" t="s">
        <v>23</v>
      </c>
      <c r="AU8" s="172" t="s">
        <v>24</v>
      </c>
      <c r="AV8" s="172" t="s">
        <v>23</v>
      </c>
      <c r="AW8" s="172" t="s">
        <v>24</v>
      </c>
    </row>
    <row r="9" spans="1:49" s="176" customFormat="1" ht="8.25" customHeight="1">
      <c r="A9" s="175">
        <v>1</v>
      </c>
      <c r="B9" s="175">
        <v>2</v>
      </c>
      <c r="C9" s="175">
        <v>3</v>
      </c>
      <c r="D9" s="175">
        <v>4</v>
      </c>
      <c r="E9" s="175">
        <v>5</v>
      </c>
      <c r="F9" s="175">
        <v>6</v>
      </c>
      <c r="G9" s="175">
        <v>7</v>
      </c>
      <c r="H9" s="175">
        <v>8</v>
      </c>
      <c r="I9" s="175">
        <v>9</v>
      </c>
      <c r="J9" s="175">
        <v>10</v>
      </c>
      <c r="K9" s="175">
        <v>11</v>
      </c>
      <c r="L9" s="175">
        <v>12</v>
      </c>
      <c r="M9" s="175">
        <v>13</v>
      </c>
      <c r="N9" s="175">
        <v>14</v>
      </c>
      <c r="O9" s="175">
        <v>15</v>
      </c>
      <c r="P9" s="175">
        <v>16</v>
      </c>
      <c r="Q9" s="175">
        <v>17</v>
      </c>
      <c r="R9" s="175">
        <v>18</v>
      </c>
      <c r="S9" s="175">
        <v>19</v>
      </c>
      <c r="T9" s="175">
        <v>20</v>
      </c>
      <c r="U9" s="175">
        <v>21</v>
      </c>
      <c r="V9" s="175">
        <v>22</v>
      </c>
      <c r="W9" s="175">
        <v>23</v>
      </c>
      <c r="X9" s="175">
        <v>24</v>
      </c>
      <c r="Y9" s="175">
        <v>25</v>
      </c>
      <c r="Z9" s="175">
        <v>26</v>
      </c>
      <c r="AA9" s="175">
        <v>27</v>
      </c>
      <c r="AB9" s="175">
        <v>28</v>
      </c>
      <c r="AC9" s="175">
        <v>29</v>
      </c>
      <c r="AD9" s="175">
        <v>30</v>
      </c>
      <c r="AE9" s="175">
        <v>31</v>
      </c>
      <c r="AF9" s="175">
        <v>32</v>
      </c>
      <c r="AG9" s="175">
        <v>33</v>
      </c>
      <c r="AH9" s="175">
        <v>34</v>
      </c>
      <c r="AI9" s="175">
        <v>35</v>
      </c>
      <c r="AJ9" s="175">
        <v>36</v>
      </c>
      <c r="AK9" s="175">
        <v>37</v>
      </c>
      <c r="AL9" s="175">
        <v>38</v>
      </c>
      <c r="AM9" s="175">
        <v>39</v>
      </c>
      <c r="AN9" s="175">
        <v>40</v>
      </c>
      <c r="AO9" s="175">
        <v>41</v>
      </c>
      <c r="AP9" s="175">
        <v>42</v>
      </c>
      <c r="AQ9" s="175">
        <v>43</v>
      </c>
      <c r="AR9" s="175">
        <v>44</v>
      </c>
      <c r="AS9" s="175">
        <v>45</v>
      </c>
      <c r="AT9" s="175">
        <v>46</v>
      </c>
      <c r="AU9" s="175">
        <v>47</v>
      </c>
      <c r="AV9" s="175">
        <v>48</v>
      </c>
      <c r="AW9" s="175">
        <v>49</v>
      </c>
    </row>
    <row r="10" spans="1:49" s="184" customFormat="1" ht="12.75" customHeight="1">
      <c r="A10" s="37" t="str">
        <f t="array" ref="A10">IF(C10&lt;&gt;0,SUM(($C10:C$12&lt;&gt;0)*1),"")</f>
        <v/>
      </c>
      <c r="B10" s="177"/>
      <c r="C10" s="178"/>
      <c r="D10" s="177"/>
      <c r="E10" s="179" t="s">
        <v>180</v>
      </c>
      <c r="F10" s="180"/>
      <c r="G10" s="181"/>
      <c r="H10" s="181"/>
      <c r="I10" s="182"/>
      <c r="J10" s="183">
        <f>CDPS!C10</f>
        <v>0</v>
      </c>
      <c r="K10" s="183">
        <f>CDPS!D10</f>
        <v>0</v>
      </c>
      <c r="L10" s="183">
        <f>CDPS!C12</f>
        <v>0</v>
      </c>
      <c r="M10" s="183">
        <f>CDPS!D12</f>
        <v>0</v>
      </c>
      <c r="N10" s="183">
        <f>CDPS!C14</f>
        <v>0</v>
      </c>
      <c r="O10" s="183">
        <f>CDPS!D14</f>
        <v>0</v>
      </c>
      <c r="P10" s="183">
        <f>CDPS!C16</f>
        <v>0</v>
      </c>
      <c r="Q10" s="183">
        <f>CDPS!D16</f>
        <v>0</v>
      </c>
      <c r="R10" s="183">
        <f>CDPS!C18</f>
        <v>0</v>
      </c>
      <c r="S10" s="183">
        <f>CDPS!D18</f>
        <v>0</v>
      </c>
      <c r="T10" s="183">
        <f>CDPS!C20</f>
        <v>0</v>
      </c>
      <c r="U10" s="183">
        <f>CDPS!D20</f>
        <v>0</v>
      </c>
      <c r="V10" s="183">
        <f>CDPS!C21</f>
        <v>0</v>
      </c>
      <c r="W10" s="183">
        <f>CDPS!D21</f>
        <v>0</v>
      </c>
      <c r="X10" s="183">
        <f>CDPS!C22</f>
        <v>0</v>
      </c>
      <c r="Y10" s="183">
        <f>CDPS!D22</f>
        <v>0</v>
      </c>
      <c r="Z10" s="183">
        <f>CDPS!C25</f>
        <v>0</v>
      </c>
      <c r="AA10" s="183">
        <f>CDPS!D25</f>
        <v>0</v>
      </c>
      <c r="AB10" s="183">
        <f>CDPS!C27</f>
        <v>0</v>
      </c>
      <c r="AC10" s="183">
        <f>CDPS!D27</f>
        <v>0</v>
      </c>
      <c r="AD10" s="183">
        <f>CDPS!C29</f>
        <v>0</v>
      </c>
      <c r="AE10" s="183">
        <f>CDPS!D29</f>
        <v>0</v>
      </c>
      <c r="AF10" s="183">
        <f>CDPS!C31</f>
        <v>0</v>
      </c>
      <c r="AG10" s="183">
        <f>CDPS!D31</f>
        <v>0</v>
      </c>
      <c r="AH10" s="183">
        <f>CDPS!C32</f>
        <v>0</v>
      </c>
      <c r="AI10" s="183">
        <f>CDPS!D32</f>
        <v>0</v>
      </c>
      <c r="AJ10" s="183">
        <f>CDPS!C34</f>
        <v>0</v>
      </c>
      <c r="AK10" s="183">
        <f>CDPS!D34</f>
        <v>0</v>
      </c>
      <c r="AL10" s="183">
        <v>0</v>
      </c>
      <c r="AM10" s="183">
        <v>0</v>
      </c>
      <c r="AN10" s="183">
        <v>0</v>
      </c>
      <c r="AO10" s="183">
        <v>0</v>
      </c>
      <c r="AP10" s="183">
        <v>0</v>
      </c>
      <c r="AQ10" s="183">
        <v>0</v>
      </c>
      <c r="AR10" s="183">
        <v>0</v>
      </c>
      <c r="AS10" s="183">
        <v>0</v>
      </c>
      <c r="AT10" s="183">
        <v>0</v>
      </c>
      <c r="AU10" s="183">
        <v>0</v>
      </c>
      <c r="AV10" s="183">
        <v>0</v>
      </c>
      <c r="AW10" s="183">
        <v>0</v>
      </c>
    </row>
    <row r="11" spans="1:49" s="184" customFormat="1" ht="12.75" customHeight="1">
      <c r="A11" s="37">
        <f t="array" aca="1" ref="A11" ca="1">IF(C11&lt;&gt;0,SUM(($C$11:C11&lt;&gt;0)*1),"")</f>
        <v>1</v>
      </c>
      <c r="B11" s="185">
        <f ca="1">IF(ROWS($1:1)&gt;COUNT(Dong6),"",OFFSET(TH!C$1,SMALL(Dong6,ROWS($1:1)),))</f>
        <v>39479</v>
      </c>
      <c r="C11" s="185" t="str">
        <f ca="1">IF(ROWS($1:1)&gt;COUNT(Dong6),"",OFFSET(TH!D$1,SMALL(Dong6,ROWS($1:1)),))</f>
        <v>T01</v>
      </c>
      <c r="D11" s="185">
        <f ca="1">IF(ROWS($1:1)&gt;COUNT(Dong6),"",OFFSET(TH!E$1,SMALL(Dong6,ROWS($1:1)),))</f>
        <v>39479</v>
      </c>
      <c r="E11" s="220" t="str">
        <f ca="1">IF(ROWS($1:1)&gt;COUNT(Dong6),"",OFFSET(TH!F$1,SMALL(Dong6,ROWS($1:1)),))</f>
        <v>Thu vốn đầu tư ban đầu - Nguyễn Thiện Duy</v>
      </c>
      <c r="F11" s="221">
        <f ca="1">IF(ROWS($1:1)&gt;COUNT(Dong6),"",OFFSET(TH!I$1,SMALL(Dong6,ROWS($1:1)),))</f>
        <v>2400000000</v>
      </c>
      <c r="G11" s="222" t="str">
        <f ca="1">IF(ROWS($1:1)&gt;COUNT(Dong6),"",OFFSET(TH!J$1,SMALL(Dong6,ROWS($1:1)),))</f>
        <v>1111</v>
      </c>
      <c r="H11" s="222" t="str">
        <f ca="1">IF(ROWS($1:1)&gt;COUNT(Dong6),"",OFFSET(TH!K$1,SMALL(Dong6,ROWS($1:1)),))</f>
        <v>4111</v>
      </c>
      <c r="I11" s="37">
        <f t="shared" ref="I11:I12" ca="1" si="0">A11</f>
        <v>1</v>
      </c>
      <c r="J11" s="187">
        <f t="shared" ref="J11:J20" ca="1" si="1">IF($G11="1111",$F11,0)</f>
        <v>2400000000</v>
      </c>
      <c r="K11" s="187">
        <f t="shared" ref="K11:K20" ca="1" si="2">IF($H11="1111",$F11,0)</f>
        <v>0</v>
      </c>
      <c r="L11" s="187">
        <f t="shared" ref="L11:L20" ca="1" si="3">IF($G11="1121",$F11,0)</f>
        <v>0</v>
      </c>
      <c r="M11" s="187">
        <f t="shared" ref="M11:M20" ca="1" si="4">IF($H11="1121",$F11,0)</f>
        <v>0</v>
      </c>
      <c r="N11" s="187">
        <f t="shared" ref="N11:N20" ca="1" si="5">IF($G11="1331",$F11,0)</f>
        <v>0</v>
      </c>
      <c r="O11" s="187">
        <f t="shared" ref="O11:O20" ca="1" si="6">IF($H11="1331",$F11,0)</f>
        <v>0</v>
      </c>
      <c r="P11" s="187">
        <f t="shared" ref="P11:P20" ca="1" si="7">IF($G11="1388",$F11,0)</f>
        <v>0</v>
      </c>
      <c r="Q11" s="187">
        <f t="shared" ref="Q11:Q20" ca="1" si="8">IF($H11="1388",$F11,0)</f>
        <v>0</v>
      </c>
      <c r="R11" s="187">
        <f ca="1">IF($G11="2412",$F11,0)</f>
        <v>0</v>
      </c>
      <c r="S11" s="187">
        <f ca="1">IF($H11="2412",$F11,0)</f>
        <v>0</v>
      </c>
      <c r="T11" s="187">
        <f t="shared" ref="T11:T20" ca="1" si="9">IF($G11="331",$F11,0)</f>
        <v>0</v>
      </c>
      <c r="U11" s="187">
        <f t="shared" ref="U11:U20" ca="1" si="10">IF($H11="331",$F11,0)</f>
        <v>0</v>
      </c>
      <c r="V11" s="187">
        <f t="shared" ref="V11:V20" ca="1" si="11">IF($G11="3334",$F11,0)</f>
        <v>0</v>
      </c>
      <c r="W11" s="187">
        <f t="shared" ref="W11:W20" ca="1" si="12">IF($H11="3334",$F11,0)</f>
        <v>0</v>
      </c>
      <c r="X11" s="187">
        <f t="shared" ref="X11:X20" ca="1" si="13">IF($G11="33382",$F11,0)</f>
        <v>0</v>
      </c>
      <c r="Y11" s="187">
        <f t="shared" ref="Y11:Y20" ca="1" si="14">IF($H11="33382",$F11,0)</f>
        <v>0</v>
      </c>
      <c r="Z11" s="187">
        <f t="shared" ref="Z11:Z20" ca="1" si="15">IF($G11="3388",$F11,0)</f>
        <v>0</v>
      </c>
      <c r="AA11" s="187">
        <f t="shared" ref="AA11:AA20" ca="1" si="16">IF($H11="3388",$F11,0)</f>
        <v>0</v>
      </c>
      <c r="AB11" s="187">
        <f t="shared" ref="AB11:AB20" ca="1" si="17">IF($G11="3411",$F11,0)</f>
        <v>0</v>
      </c>
      <c r="AC11" s="187">
        <f t="shared" ref="AC11:AC20" ca="1" si="18">IF($H11="3411",$F11,0)</f>
        <v>0</v>
      </c>
      <c r="AD11" s="187">
        <f t="shared" ref="AD11:AD20" ca="1" si="19">IF($G11="4111",$F11,0)</f>
        <v>0</v>
      </c>
      <c r="AE11" s="187">
        <f t="shared" ref="AE11:AE20" ca="1" si="20">IF($H11="4111",$F11,0)</f>
        <v>2400000000</v>
      </c>
      <c r="AF11" s="187">
        <f t="shared" ref="AF11:AF20" ca="1" si="21">IF($G11="4211",$F11,0)</f>
        <v>0</v>
      </c>
      <c r="AG11" s="187">
        <f t="shared" ref="AG11:AG20" ca="1" si="22">IF($H11="4211",$F11,0)</f>
        <v>0</v>
      </c>
      <c r="AH11" s="187">
        <f t="shared" ref="AH11:AH20" ca="1" si="23">IF($G11="4212",$F11,0)</f>
        <v>0</v>
      </c>
      <c r="AI11" s="187">
        <f t="shared" ref="AI11:AI20" ca="1" si="24">IF($H11="4212",$F11,0)</f>
        <v>0</v>
      </c>
      <c r="AJ11" s="187">
        <f t="shared" ref="AJ11:AJ20" ca="1" si="25">IF($G11="515",$F11,0)</f>
        <v>0</v>
      </c>
      <c r="AK11" s="187">
        <f t="shared" ref="AK11:AK20" ca="1" si="26">IF($H11="515",$F11,0)</f>
        <v>0</v>
      </c>
      <c r="AL11" s="187">
        <f t="shared" ref="AL11:AL20" ca="1" si="27">IF($G11="635",$F11,0)</f>
        <v>0</v>
      </c>
      <c r="AM11" s="187">
        <f t="shared" ref="AM11:AM20" ca="1" si="28">IF($H11="635",$F11,0)</f>
        <v>0</v>
      </c>
      <c r="AN11" s="187">
        <f t="shared" ref="AN11:AN20" ca="1" si="29">IF($G11="642",$F11,0)</f>
        <v>0</v>
      </c>
      <c r="AO11" s="187">
        <f t="shared" ref="AO11:AO20" ca="1" si="30">IF($H11="642",$F11,0)</f>
        <v>0</v>
      </c>
      <c r="AP11" s="187">
        <f t="shared" ref="AP11:AP20" ca="1" si="31">IF($G11="711",$F11,0)</f>
        <v>0</v>
      </c>
      <c r="AQ11" s="187">
        <f t="shared" ref="AQ11:AQ20" ca="1" si="32">IF($H11="711",$F11,0)</f>
        <v>0</v>
      </c>
      <c r="AR11" s="187">
        <f t="shared" ref="AR11:AR20" ca="1" si="33">IF($G11="811",$F11,0)</f>
        <v>0</v>
      </c>
      <c r="AS11" s="187">
        <f t="shared" ref="AS11:AS20" ca="1" si="34">IF($H11="811",$F11,0)</f>
        <v>0</v>
      </c>
      <c r="AT11" s="187">
        <f t="shared" ref="AT11:AT20" ca="1" si="35">IF($G11="821",$F11,0)</f>
        <v>0</v>
      </c>
      <c r="AU11" s="187">
        <f t="shared" ref="AU11:AU20" ca="1" si="36">IF($H11="821",$F11,0)</f>
        <v>0</v>
      </c>
      <c r="AV11" s="187">
        <f t="shared" ref="AV11:AV20" ca="1" si="37">IF($G11="911",$F11,0)</f>
        <v>0</v>
      </c>
      <c r="AW11" s="187">
        <f t="shared" ref="AW11:AW20" ca="1" si="38">IF($H11="911",$F11,0)</f>
        <v>0</v>
      </c>
    </row>
    <row r="12" spans="1:49" s="184" customFormat="1" ht="12.75" customHeight="1">
      <c r="A12" s="37">
        <f t="array" aca="1" ref="A12" ca="1">IF(C12&lt;&gt;0,SUM(($C$11:C12&lt;&gt;0)*1),"")</f>
        <v>2</v>
      </c>
      <c r="B12" s="185">
        <f ca="1">IF(ROWS($1:2)&gt;COUNT(Dong6),"",OFFSET(TH!C$1,SMALL(Dong6,ROWS($1:2)),))</f>
        <v>39479</v>
      </c>
      <c r="C12" s="185" t="str">
        <f ca="1">IF(ROWS($1:2)&gt;COUNT(Dong6),"",OFFSET(TH!D$1,SMALL(Dong6,ROWS($1:2)),))</f>
        <v>T02</v>
      </c>
      <c r="D12" s="185">
        <f ca="1">IF(ROWS($1:2)&gt;COUNT(Dong6),"",OFFSET(TH!E$1,SMALL(Dong6,ROWS($1:2)),))</f>
        <v>39479</v>
      </c>
      <c r="E12" s="220" t="str">
        <f ca="1">IF(ROWS($1:2)&gt;COUNT(Dong6),"",OFFSET(TH!F$1,SMALL(Dong6,ROWS($1:2)),))</f>
        <v>Thu vốn đầu tư ban đầu  - Lê Thị Hoa</v>
      </c>
      <c r="F12" s="221">
        <f ca="1">IF(ROWS($1:2)&gt;COUNT(Dong6),"",OFFSET(TH!I$1,SMALL(Dong6,ROWS($1:2)),))</f>
        <v>1600000000</v>
      </c>
      <c r="G12" s="222" t="str">
        <f ca="1">IF(ROWS($1:2)&gt;COUNT(Dong6),"",OFFSET(TH!J$1,SMALL(Dong6,ROWS($1:2)),))</f>
        <v>1111</v>
      </c>
      <c r="H12" s="222" t="str">
        <f ca="1">IF(ROWS($1:2)&gt;COUNT(Dong6),"",OFFSET(TH!K$1,SMALL(Dong6,ROWS($1:2)),))</f>
        <v>4111</v>
      </c>
      <c r="I12" s="37">
        <f t="shared" ca="1" si="0"/>
        <v>2</v>
      </c>
      <c r="J12" s="187">
        <f t="shared" ca="1" si="1"/>
        <v>1600000000</v>
      </c>
      <c r="K12" s="187">
        <f t="shared" ca="1" si="2"/>
        <v>0</v>
      </c>
      <c r="L12" s="187">
        <f t="shared" ca="1" si="3"/>
        <v>0</v>
      </c>
      <c r="M12" s="187">
        <f t="shared" ca="1" si="4"/>
        <v>0</v>
      </c>
      <c r="N12" s="187">
        <f t="shared" ca="1" si="5"/>
        <v>0</v>
      </c>
      <c r="O12" s="187">
        <f t="shared" ca="1" si="6"/>
        <v>0</v>
      </c>
      <c r="P12" s="187">
        <f t="shared" ca="1" si="7"/>
        <v>0</v>
      </c>
      <c r="Q12" s="187">
        <f t="shared" ca="1" si="8"/>
        <v>0</v>
      </c>
      <c r="R12" s="187">
        <f t="shared" ref="R12:R20" ca="1" si="39">IF($G12="2412",$F12,0)</f>
        <v>0</v>
      </c>
      <c r="S12" s="187">
        <f t="shared" ref="S12:S20" ca="1" si="40">IF($H12="2412",$F12,0)</f>
        <v>0</v>
      </c>
      <c r="T12" s="187">
        <f t="shared" ca="1" si="9"/>
        <v>0</v>
      </c>
      <c r="U12" s="187">
        <f t="shared" ca="1" si="10"/>
        <v>0</v>
      </c>
      <c r="V12" s="187">
        <f t="shared" ca="1" si="11"/>
        <v>0</v>
      </c>
      <c r="W12" s="187">
        <f t="shared" ca="1" si="12"/>
        <v>0</v>
      </c>
      <c r="X12" s="187">
        <f t="shared" ca="1" si="13"/>
        <v>0</v>
      </c>
      <c r="Y12" s="187">
        <f t="shared" ca="1" si="14"/>
        <v>0</v>
      </c>
      <c r="Z12" s="187">
        <f t="shared" ca="1" si="15"/>
        <v>0</v>
      </c>
      <c r="AA12" s="187">
        <f t="shared" ca="1" si="16"/>
        <v>0</v>
      </c>
      <c r="AB12" s="187">
        <f t="shared" ca="1" si="17"/>
        <v>0</v>
      </c>
      <c r="AC12" s="187">
        <f t="shared" ca="1" si="18"/>
        <v>0</v>
      </c>
      <c r="AD12" s="187">
        <f t="shared" ca="1" si="19"/>
        <v>0</v>
      </c>
      <c r="AE12" s="187">
        <f t="shared" ca="1" si="20"/>
        <v>1600000000</v>
      </c>
      <c r="AF12" s="187">
        <f t="shared" ca="1" si="21"/>
        <v>0</v>
      </c>
      <c r="AG12" s="187">
        <f t="shared" ca="1" si="22"/>
        <v>0</v>
      </c>
      <c r="AH12" s="187">
        <f t="shared" ca="1" si="23"/>
        <v>0</v>
      </c>
      <c r="AI12" s="187">
        <f t="shared" ca="1" si="24"/>
        <v>0</v>
      </c>
      <c r="AJ12" s="187">
        <f t="shared" ca="1" si="25"/>
        <v>0</v>
      </c>
      <c r="AK12" s="187">
        <f t="shared" ca="1" si="26"/>
        <v>0</v>
      </c>
      <c r="AL12" s="187">
        <f t="shared" ca="1" si="27"/>
        <v>0</v>
      </c>
      <c r="AM12" s="187">
        <f t="shared" ca="1" si="28"/>
        <v>0</v>
      </c>
      <c r="AN12" s="187">
        <f t="shared" ca="1" si="29"/>
        <v>0</v>
      </c>
      <c r="AO12" s="187">
        <f t="shared" ca="1" si="30"/>
        <v>0</v>
      </c>
      <c r="AP12" s="187">
        <f t="shared" ca="1" si="31"/>
        <v>0</v>
      </c>
      <c r="AQ12" s="187">
        <f t="shared" ca="1" si="32"/>
        <v>0</v>
      </c>
      <c r="AR12" s="187">
        <f t="shared" ca="1" si="33"/>
        <v>0</v>
      </c>
      <c r="AS12" s="187">
        <f t="shared" ca="1" si="34"/>
        <v>0</v>
      </c>
      <c r="AT12" s="187">
        <f t="shared" ca="1" si="35"/>
        <v>0</v>
      </c>
      <c r="AU12" s="187">
        <f t="shared" ca="1" si="36"/>
        <v>0</v>
      </c>
      <c r="AV12" s="187">
        <f t="shared" ca="1" si="37"/>
        <v>0</v>
      </c>
      <c r="AW12" s="187">
        <f t="shared" ca="1" si="38"/>
        <v>0</v>
      </c>
    </row>
    <row r="13" spans="1:49" s="184" customFormat="1" ht="12.75" customHeight="1">
      <c r="A13" s="37">
        <f t="array" aca="1" ref="A13" ca="1">IF(C13&lt;&gt;0,SUM(($C$11:C13&lt;&gt;0)*1),"")</f>
        <v>3</v>
      </c>
      <c r="B13" s="185">
        <v>42094</v>
      </c>
      <c r="C13" s="188" t="s">
        <v>99</v>
      </c>
      <c r="D13" s="188">
        <f>B13</f>
        <v>42094</v>
      </c>
      <c r="E13" s="189" t="s">
        <v>181</v>
      </c>
      <c r="F13" s="58">
        <f>AH10</f>
        <v>0</v>
      </c>
      <c r="G13" s="190" t="s">
        <v>76</v>
      </c>
      <c r="H13" s="190" t="s">
        <v>78</v>
      </c>
      <c r="I13" s="37">
        <f ca="1">A13</f>
        <v>3</v>
      </c>
      <c r="J13" s="187">
        <f t="shared" si="1"/>
        <v>0</v>
      </c>
      <c r="K13" s="187">
        <f t="shared" si="2"/>
        <v>0</v>
      </c>
      <c r="L13" s="187">
        <f t="shared" si="3"/>
        <v>0</v>
      </c>
      <c r="M13" s="187">
        <f t="shared" si="4"/>
        <v>0</v>
      </c>
      <c r="N13" s="187">
        <f t="shared" si="5"/>
        <v>0</v>
      </c>
      <c r="O13" s="187">
        <f t="shared" si="6"/>
        <v>0</v>
      </c>
      <c r="P13" s="187">
        <f t="shared" si="7"/>
        <v>0</v>
      </c>
      <c r="Q13" s="187">
        <f t="shared" si="8"/>
        <v>0</v>
      </c>
      <c r="R13" s="187">
        <f t="shared" si="39"/>
        <v>0</v>
      </c>
      <c r="S13" s="187">
        <f t="shared" si="40"/>
        <v>0</v>
      </c>
      <c r="T13" s="187">
        <f t="shared" si="9"/>
        <v>0</v>
      </c>
      <c r="U13" s="187">
        <f t="shared" si="10"/>
        <v>0</v>
      </c>
      <c r="V13" s="187">
        <f t="shared" si="11"/>
        <v>0</v>
      </c>
      <c r="W13" s="187">
        <f t="shared" si="12"/>
        <v>0</v>
      </c>
      <c r="X13" s="187">
        <f t="shared" si="13"/>
        <v>0</v>
      </c>
      <c r="Y13" s="187">
        <f t="shared" si="14"/>
        <v>0</v>
      </c>
      <c r="Z13" s="187">
        <f t="shared" si="15"/>
        <v>0</v>
      </c>
      <c r="AA13" s="187">
        <f t="shared" si="16"/>
        <v>0</v>
      </c>
      <c r="AB13" s="187">
        <f t="shared" si="17"/>
        <v>0</v>
      </c>
      <c r="AC13" s="187">
        <f t="shared" si="18"/>
        <v>0</v>
      </c>
      <c r="AD13" s="187">
        <f t="shared" si="19"/>
        <v>0</v>
      </c>
      <c r="AE13" s="187">
        <f t="shared" si="20"/>
        <v>0</v>
      </c>
      <c r="AF13" s="187">
        <f t="shared" si="21"/>
        <v>0</v>
      </c>
      <c r="AG13" s="187">
        <f t="shared" si="22"/>
        <v>0</v>
      </c>
      <c r="AH13" s="187">
        <f t="shared" si="23"/>
        <v>0</v>
      </c>
      <c r="AI13" s="187">
        <f t="shared" si="24"/>
        <v>0</v>
      </c>
      <c r="AJ13" s="187">
        <f t="shared" si="25"/>
        <v>0</v>
      </c>
      <c r="AK13" s="187">
        <f t="shared" si="26"/>
        <v>0</v>
      </c>
      <c r="AL13" s="187">
        <f t="shared" si="27"/>
        <v>0</v>
      </c>
      <c r="AM13" s="187">
        <f t="shared" si="28"/>
        <v>0</v>
      </c>
      <c r="AN13" s="187">
        <f t="shared" si="29"/>
        <v>0</v>
      </c>
      <c r="AO13" s="187">
        <f t="shared" si="30"/>
        <v>0</v>
      </c>
      <c r="AP13" s="187">
        <f t="shared" si="31"/>
        <v>0</v>
      </c>
      <c r="AQ13" s="187">
        <f t="shared" si="32"/>
        <v>0</v>
      </c>
      <c r="AR13" s="187">
        <f t="shared" si="33"/>
        <v>0</v>
      </c>
      <c r="AS13" s="187">
        <f t="shared" si="34"/>
        <v>0</v>
      </c>
      <c r="AT13" s="187">
        <f t="shared" si="35"/>
        <v>0</v>
      </c>
      <c r="AU13" s="187">
        <f t="shared" si="36"/>
        <v>0</v>
      </c>
      <c r="AV13" s="187">
        <f t="shared" si="37"/>
        <v>0</v>
      </c>
      <c r="AW13" s="187">
        <f t="shared" si="38"/>
        <v>0</v>
      </c>
    </row>
    <row r="14" spans="1:49" s="184" customFormat="1" ht="12.75" customHeight="1">
      <c r="A14" s="37">
        <f t="array" aca="1" ref="A14" ca="1">IF(C14&lt;&gt;0,SUM(($C$11:C14&lt;&gt;0)*1),"")</f>
        <v>4</v>
      </c>
      <c r="B14" s="185">
        <v>42094</v>
      </c>
      <c r="C14" s="188" t="s">
        <v>99</v>
      </c>
      <c r="D14" s="188">
        <f t="shared" ref="D14:D17" si="41">B14</f>
        <v>42094</v>
      </c>
      <c r="E14" s="189" t="s">
        <v>100</v>
      </c>
      <c r="F14" s="58">
        <f ca="1">AL21</f>
        <v>0</v>
      </c>
      <c r="G14" s="190" t="s">
        <v>149</v>
      </c>
      <c r="H14" s="190" t="s">
        <v>83</v>
      </c>
      <c r="I14" s="37">
        <f t="shared" ref="I14:I20" ca="1" si="42">A14</f>
        <v>4</v>
      </c>
      <c r="J14" s="187">
        <f t="shared" si="1"/>
        <v>0</v>
      </c>
      <c r="K14" s="187">
        <f t="shared" si="2"/>
        <v>0</v>
      </c>
      <c r="L14" s="187">
        <f t="shared" si="3"/>
        <v>0</v>
      </c>
      <c r="M14" s="187">
        <f t="shared" si="4"/>
        <v>0</v>
      </c>
      <c r="N14" s="187">
        <f t="shared" si="5"/>
        <v>0</v>
      </c>
      <c r="O14" s="187">
        <f t="shared" si="6"/>
        <v>0</v>
      </c>
      <c r="P14" s="187">
        <f t="shared" si="7"/>
        <v>0</v>
      </c>
      <c r="Q14" s="187">
        <f t="shared" si="8"/>
        <v>0</v>
      </c>
      <c r="R14" s="187">
        <f t="shared" ca="1" si="39"/>
        <v>0</v>
      </c>
      <c r="S14" s="187">
        <f t="shared" si="40"/>
        <v>0</v>
      </c>
      <c r="T14" s="187">
        <f t="shared" si="9"/>
        <v>0</v>
      </c>
      <c r="U14" s="187">
        <f t="shared" si="10"/>
        <v>0</v>
      </c>
      <c r="V14" s="187">
        <f t="shared" si="11"/>
        <v>0</v>
      </c>
      <c r="W14" s="187">
        <f t="shared" si="12"/>
        <v>0</v>
      </c>
      <c r="X14" s="187">
        <f t="shared" si="13"/>
        <v>0</v>
      </c>
      <c r="Y14" s="187">
        <f t="shared" si="14"/>
        <v>0</v>
      </c>
      <c r="Z14" s="187">
        <f t="shared" si="15"/>
        <v>0</v>
      </c>
      <c r="AA14" s="187">
        <f t="shared" si="16"/>
        <v>0</v>
      </c>
      <c r="AB14" s="187">
        <f t="shared" si="17"/>
        <v>0</v>
      </c>
      <c r="AC14" s="187">
        <f t="shared" si="18"/>
        <v>0</v>
      </c>
      <c r="AD14" s="187">
        <f t="shared" si="19"/>
        <v>0</v>
      </c>
      <c r="AE14" s="187">
        <f t="shared" si="20"/>
        <v>0</v>
      </c>
      <c r="AF14" s="187">
        <f t="shared" si="21"/>
        <v>0</v>
      </c>
      <c r="AG14" s="187">
        <f t="shared" si="22"/>
        <v>0</v>
      </c>
      <c r="AH14" s="187">
        <f t="shared" si="23"/>
        <v>0</v>
      </c>
      <c r="AI14" s="187">
        <f t="shared" si="24"/>
        <v>0</v>
      </c>
      <c r="AJ14" s="187">
        <f t="shared" si="25"/>
        <v>0</v>
      </c>
      <c r="AK14" s="187">
        <f t="shared" si="26"/>
        <v>0</v>
      </c>
      <c r="AL14" s="187">
        <f t="shared" si="27"/>
        <v>0</v>
      </c>
      <c r="AM14" s="187">
        <f t="shared" ca="1" si="28"/>
        <v>0</v>
      </c>
      <c r="AN14" s="187">
        <f t="shared" si="29"/>
        <v>0</v>
      </c>
      <c r="AO14" s="187">
        <f t="shared" si="30"/>
        <v>0</v>
      </c>
      <c r="AP14" s="187">
        <f t="shared" si="31"/>
        <v>0</v>
      </c>
      <c r="AQ14" s="187">
        <f t="shared" si="32"/>
        <v>0</v>
      </c>
      <c r="AR14" s="187">
        <f t="shared" si="33"/>
        <v>0</v>
      </c>
      <c r="AS14" s="187">
        <f t="shared" si="34"/>
        <v>0</v>
      </c>
      <c r="AT14" s="187">
        <f t="shared" si="35"/>
        <v>0</v>
      </c>
      <c r="AU14" s="187">
        <f t="shared" si="36"/>
        <v>0</v>
      </c>
      <c r="AV14" s="187">
        <f t="shared" si="37"/>
        <v>0</v>
      </c>
      <c r="AW14" s="187">
        <f t="shared" si="38"/>
        <v>0</v>
      </c>
    </row>
    <row r="15" spans="1:49" s="184" customFormat="1" ht="12.75" customHeight="1">
      <c r="A15" s="37">
        <f t="array" aca="1" ref="A15" ca="1">IF(C15&lt;&gt;0,SUM(($C$11:C15&lt;&gt;0)*1),"")</f>
        <v>5</v>
      </c>
      <c r="B15" s="185">
        <v>42094</v>
      </c>
      <c r="C15" s="188" t="s">
        <v>99</v>
      </c>
      <c r="D15" s="188">
        <f t="shared" si="41"/>
        <v>42094</v>
      </c>
      <c r="E15" s="189" t="s">
        <v>101</v>
      </c>
      <c r="F15" s="58">
        <f ca="1">AN21</f>
        <v>0</v>
      </c>
      <c r="G15" s="190" t="s">
        <v>93</v>
      </c>
      <c r="H15" s="190" t="s">
        <v>85</v>
      </c>
      <c r="I15" s="37">
        <f t="shared" ca="1" si="42"/>
        <v>5</v>
      </c>
      <c r="J15" s="187">
        <f t="shared" si="1"/>
        <v>0</v>
      </c>
      <c r="K15" s="187">
        <f t="shared" si="2"/>
        <v>0</v>
      </c>
      <c r="L15" s="187">
        <f t="shared" si="3"/>
        <v>0</v>
      </c>
      <c r="M15" s="187">
        <f t="shared" si="4"/>
        <v>0</v>
      </c>
      <c r="N15" s="187">
        <f t="shared" si="5"/>
        <v>0</v>
      </c>
      <c r="O15" s="187">
        <f t="shared" si="6"/>
        <v>0</v>
      </c>
      <c r="P15" s="187">
        <f t="shared" si="7"/>
        <v>0</v>
      </c>
      <c r="Q15" s="187">
        <f t="shared" si="8"/>
        <v>0</v>
      </c>
      <c r="R15" s="187">
        <f t="shared" si="39"/>
        <v>0</v>
      </c>
      <c r="S15" s="187">
        <f t="shared" si="40"/>
        <v>0</v>
      </c>
      <c r="T15" s="187">
        <f t="shared" si="9"/>
        <v>0</v>
      </c>
      <c r="U15" s="187">
        <f t="shared" si="10"/>
        <v>0</v>
      </c>
      <c r="V15" s="187">
        <f t="shared" si="11"/>
        <v>0</v>
      </c>
      <c r="W15" s="187">
        <f t="shared" si="12"/>
        <v>0</v>
      </c>
      <c r="X15" s="187">
        <f t="shared" si="13"/>
        <v>0</v>
      </c>
      <c r="Y15" s="187">
        <f t="shared" si="14"/>
        <v>0</v>
      </c>
      <c r="Z15" s="187">
        <f t="shared" si="15"/>
        <v>0</v>
      </c>
      <c r="AA15" s="187">
        <f t="shared" si="16"/>
        <v>0</v>
      </c>
      <c r="AB15" s="187">
        <f t="shared" si="17"/>
        <v>0</v>
      </c>
      <c r="AC15" s="187">
        <f t="shared" si="18"/>
        <v>0</v>
      </c>
      <c r="AD15" s="187">
        <f t="shared" si="19"/>
        <v>0</v>
      </c>
      <c r="AE15" s="187">
        <f t="shared" si="20"/>
        <v>0</v>
      </c>
      <c r="AF15" s="187">
        <f t="shared" si="21"/>
        <v>0</v>
      </c>
      <c r="AG15" s="187">
        <f t="shared" si="22"/>
        <v>0</v>
      </c>
      <c r="AH15" s="187">
        <f t="shared" si="23"/>
        <v>0</v>
      </c>
      <c r="AI15" s="187">
        <f t="shared" si="24"/>
        <v>0</v>
      </c>
      <c r="AJ15" s="187">
        <f t="shared" si="25"/>
        <v>0</v>
      </c>
      <c r="AK15" s="187">
        <f t="shared" si="26"/>
        <v>0</v>
      </c>
      <c r="AL15" s="187">
        <f t="shared" si="27"/>
        <v>0</v>
      </c>
      <c r="AM15" s="187">
        <f t="shared" si="28"/>
        <v>0</v>
      </c>
      <c r="AN15" s="187">
        <f t="shared" si="29"/>
        <v>0</v>
      </c>
      <c r="AO15" s="187">
        <f t="shared" ca="1" si="30"/>
        <v>0</v>
      </c>
      <c r="AP15" s="187">
        <f t="shared" si="31"/>
        <v>0</v>
      </c>
      <c r="AQ15" s="187">
        <f t="shared" si="32"/>
        <v>0</v>
      </c>
      <c r="AR15" s="187">
        <f t="shared" si="33"/>
        <v>0</v>
      </c>
      <c r="AS15" s="187">
        <f t="shared" si="34"/>
        <v>0</v>
      </c>
      <c r="AT15" s="187">
        <f t="shared" si="35"/>
        <v>0</v>
      </c>
      <c r="AU15" s="187">
        <f t="shared" si="36"/>
        <v>0</v>
      </c>
      <c r="AV15" s="187">
        <f t="shared" ca="1" si="37"/>
        <v>0</v>
      </c>
      <c r="AW15" s="187">
        <f t="shared" si="38"/>
        <v>0</v>
      </c>
    </row>
    <row r="16" spans="1:49" s="184" customFormat="1" ht="12.75" customHeight="1">
      <c r="A16" s="37">
        <f t="array" aca="1" ref="A16" ca="1">IF(C16&lt;&gt;0,SUM(($C$11:C16&lt;&gt;0)*1),"")</f>
        <v>6</v>
      </c>
      <c r="B16" s="185">
        <v>42094</v>
      </c>
      <c r="C16" s="188" t="s">
        <v>99</v>
      </c>
      <c r="D16" s="188">
        <f t="shared" si="41"/>
        <v>42094</v>
      </c>
      <c r="E16" s="189" t="s">
        <v>182</v>
      </c>
      <c r="F16" s="58"/>
      <c r="G16" s="190" t="s">
        <v>78</v>
      </c>
      <c r="H16" s="190" t="s">
        <v>93</v>
      </c>
      <c r="I16" s="37">
        <f t="shared" ca="1" si="42"/>
        <v>6</v>
      </c>
      <c r="J16" s="187">
        <f t="shared" si="1"/>
        <v>0</v>
      </c>
      <c r="K16" s="187">
        <f t="shared" si="2"/>
        <v>0</v>
      </c>
      <c r="L16" s="187">
        <f t="shared" si="3"/>
        <v>0</v>
      </c>
      <c r="M16" s="187">
        <f t="shared" si="4"/>
        <v>0</v>
      </c>
      <c r="N16" s="187">
        <f t="shared" si="5"/>
        <v>0</v>
      </c>
      <c r="O16" s="187">
        <f t="shared" si="6"/>
        <v>0</v>
      </c>
      <c r="P16" s="187">
        <f t="shared" si="7"/>
        <v>0</v>
      </c>
      <c r="Q16" s="187">
        <f t="shared" si="8"/>
        <v>0</v>
      </c>
      <c r="R16" s="187">
        <f t="shared" si="39"/>
        <v>0</v>
      </c>
      <c r="S16" s="187">
        <f t="shared" si="40"/>
        <v>0</v>
      </c>
      <c r="T16" s="187">
        <f t="shared" si="9"/>
        <v>0</v>
      </c>
      <c r="U16" s="187">
        <f t="shared" si="10"/>
        <v>0</v>
      </c>
      <c r="V16" s="187">
        <f t="shared" si="11"/>
        <v>0</v>
      </c>
      <c r="W16" s="187">
        <f t="shared" si="12"/>
        <v>0</v>
      </c>
      <c r="X16" s="187">
        <f t="shared" si="13"/>
        <v>0</v>
      </c>
      <c r="Y16" s="187">
        <f t="shared" si="14"/>
        <v>0</v>
      </c>
      <c r="Z16" s="187">
        <f t="shared" si="15"/>
        <v>0</v>
      </c>
      <c r="AA16" s="187">
        <f t="shared" si="16"/>
        <v>0</v>
      </c>
      <c r="AB16" s="187">
        <f t="shared" si="17"/>
        <v>0</v>
      </c>
      <c r="AC16" s="187">
        <f t="shared" si="18"/>
        <v>0</v>
      </c>
      <c r="AD16" s="187">
        <f t="shared" si="19"/>
        <v>0</v>
      </c>
      <c r="AE16" s="187">
        <f t="shared" si="20"/>
        <v>0</v>
      </c>
      <c r="AF16" s="187">
        <f t="shared" si="21"/>
        <v>0</v>
      </c>
      <c r="AG16" s="187">
        <f t="shared" si="22"/>
        <v>0</v>
      </c>
      <c r="AH16" s="187">
        <f t="shared" si="23"/>
        <v>0</v>
      </c>
      <c r="AI16" s="187">
        <f t="shared" si="24"/>
        <v>0</v>
      </c>
      <c r="AJ16" s="187">
        <f t="shared" si="25"/>
        <v>0</v>
      </c>
      <c r="AK16" s="187">
        <f t="shared" si="26"/>
        <v>0</v>
      </c>
      <c r="AL16" s="187">
        <f t="shared" si="27"/>
        <v>0</v>
      </c>
      <c r="AM16" s="187">
        <f t="shared" si="28"/>
        <v>0</v>
      </c>
      <c r="AN16" s="187">
        <f t="shared" si="29"/>
        <v>0</v>
      </c>
      <c r="AO16" s="187">
        <f t="shared" si="30"/>
        <v>0</v>
      </c>
      <c r="AP16" s="187">
        <f t="shared" si="31"/>
        <v>0</v>
      </c>
      <c r="AQ16" s="187">
        <f t="shared" si="32"/>
        <v>0</v>
      </c>
      <c r="AR16" s="187">
        <f t="shared" si="33"/>
        <v>0</v>
      </c>
      <c r="AS16" s="187">
        <f t="shared" si="34"/>
        <v>0</v>
      </c>
      <c r="AT16" s="187">
        <f t="shared" si="35"/>
        <v>0</v>
      </c>
      <c r="AU16" s="187">
        <f t="shared" si="36"/>
        <v>0</v>
      </c>
      <c r="AV16" s="187">
        <f t="shared" si="37"/>
        <v>0</v>
      </c>
      <c r="AW16" s="187">
        <f t="shared" si="38"/>
        <v>0</v>
      </c>
    </row>
    <row r="17" spans="1:49" s="184" customFormat="1" ht="12.75" customHeight="1">
      <c r="A17" s="37">
        <f t="array" aca="1" ref="A17" ca="1">IF(C17&lt;&gt;0,SUM(($C$11:C17&lt;&gt;0)*1),"")</f>
        <v>7</v>
      </c>
      <c r="B17" s="185">
        <v>42094</v>
      </c>
      <c r="C17" s="188" t="s">
        <v>99</v>
      </c>
      <c r="D17" s="188">
        <f t="shared" si="41"/>
        <v>42094</v>
      </c>
      <c r="E17" s="189" t="s">
        <v>103</v>
      </c>
      <c r="F17" s="58">
        <f ca="1">AK21</f>
        <v>0</v>
      </c>
      <c r="G17" s="190" t="s">
        <v>32</v>
      </c>
      <c r="H17" s="190" t="s">
        <v>93</v>
      </c>
      <c r="I17" s="37">
        <f t="shared" ca="1" si="42"/>
        <v>7</v>
      </c>
      <c r="J17" s="187">
        <f t="shared" si="1"/>
        <v>0</v>
      </c>
      <c r="K17" s="187">
        <f t="shared" si="2"/>
        <v>0</v>
      </c>
      <c r="L17" s="187">
        <f t="shared" si="3"/>
        <v>0</v>
      </c>
      <c r="M17" s="187">
        <f t="shared" si="4"/>
        <v>0</v>
      </c>
      <c r="N17" s="187">
        <f t="shared" si="5"/>
        <v>0</v>
      </c>
      <c r="O17" s="187">
        <f t="shared" si="6"/>
        <v>0</v>
      </c>
      <c r="P17" s="187">
        <f t="shared" si="7"/>
        <v>0</v>
      </c>
      <c r="Q17" s="187">
        <f t="shared" si="8"/>
        <v>0</v>
      </c>
      <c r="R17" s="187">
        <f t="shared" si="39"/>
        <v>0</v>
      </c>
      <c r="S17" s="187">
        <f t="shared" si="40"/>
        <v>0</v>
      </c>
      <c r="T17" s="187">
        <f t="shared" si="9"/>
        <v>0</v>
      </c>
      <c r="U17" s="187">
        <f t="shared" si="10"/>
        <v>0</v>
      </c>
      <c r="V17" s="187">
        <f t="shared" si="11"/>
        <v>0</v>
      </c>
      <c r="W17" s="187">
        <f t="shared" si="12"/>
        <v>0</v>
      </c>
      <c r="X17" s="187">
        <f t="shared" si="13"/>
        <v>0</v>
      </c>
      <c r="Y17" s="187">
        <f t="shared" si="14"/>
        <v>0</v>
      </c>
      <c r="Z17" s="187">
        <f t="shared" si="15"/>
        <v>0</v>
      </c>
      <c r="AA17" s="187">
        <f t="shared" si="16"/>
        <v>0</v>
      </c>
      <c r="AB17" s="187">
        <f t="shared" si="17"/>
        <v>0</v>
      </c>
      <c r="AC17" s="187">
        <f t="shared" si="18"/>
        <v>0</v>
      </c>
      <c r="AD17" s="187">
        <f t="shared" si="19"/>
        <v>0</v>
      </c>
      <c r="AE17" s="187">
        <f t="shared" si="20"/>
        <v>0</v>
      </c>
      <c r="AF17" s="187">
        <f t="shared" si="21"/>
        <v>0</v>
      </c>
      <c r="AG17" s="187">
        <f t="shared" si="22"/>
        <v>0</v>
      </c>
      <c r="AH17" s="187">
        <f t="shared" si="23"/>
        <v>0</v>
      </c>
      <c r="AI17" s="187">
        <f t="shared" si="24"/>
        <v>0</v>
      </c>
      <c r="AJ17" s="187">
        <f t="shared" ca="1" si="25"/>
        <v>0</v>
      </c>
      <c r="AK17" s="187">
        <f t="shared" si="26"/>
        <v>0</v>
      </c>
      <c r="AL17" s="187">
        <f t="shared" si="27"/>
        <v>0</v>
      </c>
      <c r="AM17" s="187">
        <f t="shared" si="28"/>
        <v>0</v>
      </c>
      <c r="AN17" s="187">
        <f t="shared" si="29"/>
        <v>0</v>
      </c>
      <c r="AO17" s="187">
        <f t="shared" si="30"/>
        <v>0</v>
      </c>
      <c r="AP17" s="187">
        <f t="shared" si="31"/>
        <v>0</v>
      </c>
      <c r="AQ17" s="187">
        <f t="shared" si="32"/>
        <v>0</v>
      </c>
      <c r="AR17" s="187">
        <f t="shared" si="33"/>
        <v>0</v>
      </c>
      <c r="AS17" s="187">
        <f t="shared" si="34"/>
        <v>0</v>
      </c>
      <c r="AT17" s="187">
        <f t="shared" si="35"/>
        <v>0</v>
      </c>
      <c r="AU17" s="187">
        <f t="shared" si="36"/>
        <v>0</v>
      </c>
      <c r="AV17" s="187">
        <f t="shared" si="37"/>
        <v>0</v>
      </c>
      <c r="AW17" s="187">
        <f t="shared" ca="1" si="38"/>
        <v>0</v>
      </c>
    </row>
    <row r="18" spans="1:49" s="184" customFormat="1" ht="12.75" customHeight="1">
      <c r="A18" s="37">
        <f t="array" aca="1" ref="A18" ca="1">IF(C18&lt;&gt;0,SUM(($C$11:C18&lt;&gt;0)*1),"")</f>
        <v>8</v>
      </c>
      <c r="B18" s="185">
        <v>42094</v>
      </c>
      <c r="C18" s="188" t="s">
        <v>99</v>
      </c>
      <c r="D18" s="188">
        <f>B18</f>
        <v>42094</v>
      </c>
      <c r="E18" s="189" t="s">
        <v>104</v>
      </c>
      <c r="F18" s="58">
        <f ca="1">AQ21</f>
        <v>0</v>
      </c>
      <c r="G18" s="190" t="s">
        <v>87</v>
      </c>
      <c r="H18" s="190" t="s">
        <v>93</v>
      </c>
      <c r="I18" s="37">
        <f t="shared" ca="1" si="42"/>
        <v>8</v>
      </c>
      <c r="J18" s="187">
        <f t="shared" si="1"/>
        <v>0</v>
      </c>
      <c r="K18" s="187">
        <f t="shared" si="2"/>
        <v>0</v>
      </c>
      <c r="L18" s="187">
        <f t="shared" si="3"/>
        <v>0</v>
      </c>
      <c r="M18" s="187">
        <f t="shared" si="4"/>
        <v>0</v>
      </c>
      <c r="N18" s="187">
        <f t="shared" si="5"/>
        <v>0</v>
      </c>
      <c r="O18" s="187">
        <f t="shared" si="6"/>
        <v>0</v>
      </c>
      <c r="P18" s="187">
        <f t="shared" si="7"/>
        <v>0</v>
      </c>
      <c r="Q18" s="187">
        <f t="shared" si="8"/>
        <v>0</v>
      </c>
      <c r="R18" s="187">
        <f t="shared" si="39"/>
        <v>0</v>
      </c>
      <c r="S18" s="187">
        <f t="shared" si="40"/>
        <v>0</v>
      </c>
      <c r="T18" s="187">
        <f t="shared" si="9"/>
        <v>0</v>
      </c>
      <c r="U18" s="187">
        <f t="shared" si="10"/>
        <v>0</v>
      </c>
      <c r="V18" s="187">
        <f t="shared" si="11"/>
        <v>0</v>
      </c>
      <c r="W18" s="187">
        <f t="shared" si="12"/>
        <v>0</v>
      </c>
      <c r="X18" s="187">
        <f t="shared" si="13"/>
        <v>0</v>
      </c>
      <c r="Y18" s="187">
        <f t="shared" si="14"/>
        <v>0</v>
      </c>
      <c r="Z18" s="187">
        <f t="shared" si="15"/>
        <v>0</v>
      </c>
      <c r="AA18" s="187">
        <f t="shared" si="16"/>
        <v>0</v>
      </c>
      <c r="AB18" s="187">
        <f t="shared" si="17"/>
        <v>0</v>
      </c>
      <c r="AC18" s="187">
        <f t="shared" si="18"/>
        <v>0</v>
      </c>
      <c r="AD18" s="187">
        <f t="shared" si="19"/>
        <v>0</v>
      </c>
      <c r="AE18" s="187">
        <f t="shared" si="20"/>
        <v>0</v>
      </c>
      <c r="AF18" s="187">
        <f t="shared" si="21"/>
        <v>0</v>
      </c>
      <c r="AG18" s="187">
        <f t="shared" si="22"/>
        <v>0</v>
      </c>
      <c r="AH18" s="187">
        <f t="shared" si="23"/>
        <v>0</v>
      </c>
      <c r="AI18" s="187">
        <f t="shared" si="24"/>
        <v>0</v>
      </c>
      <c r="AJ18" s="187">
        <f t="shared" si="25"/>
        <v>0</v>
      </c>
      <c r="AK18" s="187">
        <f t="shared" si="26"/>
        <v>0</v>
      </c>
      <c r="AL18" s="187">
        <f t="shared" si="27"/>
        <v>0</v>
      </c>
      <c r="AM18" s="187">
        <f t="shared" si="28"/>
        <v>0</v>
      </c>
      <c r="AN18" s="187">
        <f t="shared" si="29"/>
        <v>0</v>
      </c>
      <c r="AO18" s="187">
        <f t="shared" si="30"/>
        <v>0</v>
      </c>
      <c r="AP18" s="187">
        <f t="shared" ca="1" si="31"/>
        <v>0</v>
      </c>
      <c r="AQ18" s="187">
        <f t="shared" si="32"/>
        <v>0</v>
      </c>
      <c r="AR18" s="187">
        <f t="shared" si="33"/>
        <v>0</v>
      </c>
      <c r="AS18" s="187">
        <f t="shared" si="34"/>
        <v>0</v>
      </c>
      <c r="AT18" s="187">
        <f t="shared" si="35"/>
        <v>0</v>
      </c>
      <c r="AU18" s="187">
        <f t="shared" si="36"/>
        <v>0</v>
      </c>
      <c r="AV18" s="187">
        <f t="shared" si="37"/>
        <v>0</v>
      </c>
      <c r="AW18" s="187">
        <f t="shared" ca="1" si="38"/>
        <v>0</v>
      </c>
    </row>
    <row r="19" spans="1:49" s="184" customFormat="1" ht="12.75" customHeight="1">
      <c r="A19" s="37">
        <f t="array" aca="1" ref="A19" ca="1">IF(C19&lt;&gt;0,SUM(($C$11:C19&lt;&gt;0)*1),"")</f>
        <v>9</v>
      </c>
      <c r="B19" s="185">
        <v>42094</v>
      </c>
      <c r="C19" s="188" t="s">
        <v>99</v>
      </c>
      <c r="D19" s="188">
        <f>B19</f>
        <v>42094</v>
      </c>
      <c r="E19" s="189" t="s">
        <v>105</v>
      </c>
      <c r="F19" s="58">
        <f ca="1">AR21</f>
        <v>0</v>
      </c>
      <c r="G19" s="190" t="s">
        <v>93</v>
      </c>
      <c r="H19" s="190" t="s">
        <v>89</v>
      </c>
      <c r="I19" s="37">
        <f t="shared" ca="1" si="42"/>
        <v>9</v>
      </c>
      <c r="J19" s="187">
        <f t="shared" si="1"/>
        <v>0</v>
      </c>
      <c r="K19" s="187">
        <f t="shared" si="2"/>
        <v>0</v>
      </c>
      <c r="L19" s="187">
        <f t="shared" si="3"/>
        <v>0</v>
      </c>
      <c r="M19" s="187">
        <f t="shared" si="4"/>
        <v>0</v>
      </c>
      <c r="N19" s="187">
        <f t="shared" si="5"/>
        <v>0</v>
      </c>
      <c r="O19" s="187">
        <f t="shared" si="6"/>
        <v>0</v>
      </c>
      <c r="P19" s="187">
        <f t="shared" si="7"/>
        <v>0</v>
      </c>
      <c r="Q19" s="187">
        <f t="shared" si="8"/>
        <v>0</v>
      </c>
      <c r="R19" s="187">
        <f t="shared" si="39"/>
        <v>0</v>
      </c>
      <c r="S19" s="187">
        <f t="shared" si="40"/>
        <v>0</v>
      </c>
      <c r="T19" s="187">
        <f t="shared" si="9"/>
        <v>0</v>
      </c>
      <c r="U19" s="187">
        <f t="shared" si="10"/>
        <v>0</v>
      </c>
      <c r="V19" s="187">
        <f t="shared" si="11"/>
        <v>0</v>
      </c>
      <c r="W19" s="187">
        <f t="shared" si="12"/>
        <v>0</v>
      </c>
      <c r="X19" s="187">
        <f t="shared" si="13"/>
        <v>0</v>
      </c>
      <c r="Y19" s="187">
        <f t="shared" si="14"/>
        <v>0</v>
      </c>
      <c r="Z19" s="187">
        <f t="shared" si="15"/>
        <v>0</v>
      </c>
      <c r="AA19" s="187">
        <f t="shared" si="16"/>
        <v>0</v>
      </c>
      <c r="AB19" s="187">
        <f t="shared" si="17"/>
        <v>0</v>
      </c>
      <c r="AC19" s="187">
        <f t="shared" si="18"/>
        <v>0</v>
      </c>
      <c r="AD19" s="187">
        <f t="shared" si="19"/>
        <v>0</v>
      </c>
      <c r="AE19" s="187">
        <f t="shared" si="20"/>
        <v>0</v>
      </c>
      <c r="AF19" s="187">
        <f t="shared" si="21"/>
        <v>0</v>
      </c>
      <c r="AG19" s="187">
        <f t="shared" si="22"/>
        <v>0</v>
      </c>
      <c r="AH19" s="187">
        <f t="shared" si="23"/>
        <v>0</v>
      </c>
      <c r="AI19" s="187">
        <f t="shared" si="24"/>
        <v>0</v>
      </c>
      <c r="AJ19" s="187">
        <f t="shared" si="25"/>
        <v>0</v>
      </c>
      <c r="AK19" s="187">
        <f t="shared" si="26"/>
        <v>0</v>
      </c>
      <c r="AL19" s="187">
        <f t="shared" si="27"/>
        <v>0</v>
      </c>
      <c r="AM19" s="187">
        <f t="shared" si="28"/>
        <v>0</v>
      </c>
      <c r="AN19" s="187">
        <f t="shared" si="29"/>
        <v>0</v>
      </c>
      <c r="AO19" s="187">
        <f t="shared" si="30"/>
        <v>0</v>
      </c>
      <c r="AP19" s="187">
        <f t="shared" si="31"/>
        <v>0</v>
      </c>
      <c r="AQ19" s="187">
        <f t="shared" si="32"/>
        <v>0</v>
      </c>
      <c r="AR19" s="187">
        <f t="shared" si="33"/>
        <v>0</v>
      </c>
      <c r="AS19" s="187">
        <f t="shared" ca="1" si="34"/>
        <v>0</v>
      </c>
      <c r="AT19" s="187">
        <f t="shared" si="35"/>
        <v>0</v>
      </c>
      <c r="AU19" s="187">
        <f t="shared" si="36"/>
        <v>0</v>
      </c>
      <c r="AV19" s="187">
        <f t="shared" ca="1" si="37"/>
        <v>0</v>
      </c>
      <c r="AW19" s="187">
        <f t="shared" si="38"/>
        <v>0</v>
      </c>
    </row>
    <row r="20" spans="1:49" s="184" customFormat="1" ht="12.75" customHeight="1">
      <c r="A20" s="37" t="str">
        <f t="array" ref="A20">IF(C20&lt;&gt;0,SUM(($C$11:C20&lt;&gt;0)*1),"")</f>
        <v/>
      </c>
      <c r="B20" s="157"/>
      <c r="C20" s="191"/>
      <c r="D20" s="157"/>
      <c r="E20" s="186"/>
      <c r="F20" s="39"/>
      <c r="G20" s="192"/>
      <c r="H20" s="192"/>
      <c r="I20" s="37" t="str">
        <f t="shared" si="42"/>
        <v/>
      </c>
      <c r="J20" s="187">
        <f t="shared" si="1"/>
        <v>0</v>
      </c>
      <c r="K20" s="187">
        <f t="shared" si="2"/>
        <v>0</v>
      </c>
      <c r="L20" s="187">
        <f t="shared" si="3"/>
        <v>0</v>
      </c>
      <c r="M20" s="187">
        <f t="shared" si="4"/>
        <v>0</v>
      </c>
      <c r="N20" s="187">
        <f t="shared" si="5"/>
        <v>0</v>
      </c>
      <c r="O20" s="187">
        <f t="shared" si="6"/>
        <v>0</v>
      </c>
      <c r="P20" s="187">
        <f t="shared" si="7"/>
        <v>0</v>
      </c>
      <c r="Q20" s="187">
        <f t="shared" si="8"/>
        <v>0</v>
      </c>
      <c r="R20" s="187">
        <f t="shared" si="39"/>
        <v>0</v>
      </c>
      <c r="S20" s="187">
        <f t="shared" si="40"/>
        <v>0</v>
      </c>
      <c r="T20" s="187">
        <f t="shared" si="9"/>
        <v>0</v>
      </c>
      <c r="U20" s="187">
        <f t="shared" si="10"/>
        <v>0</v>
      </c>
      <c r="V20" s="187">
        <f t="shared" si="11"/>
        <v>0</v>
      </c>
      <c r="W20" s="187">
        <f t="shared" si="12"/>
        <v>0</v>
      </c>
      <c r="X20" s="187">
        <f t="shared" si="13"/>
        <v>0</v>
      </c>
      <c r="Y20" s="187">
        <f t="shared" si="14"/>
        <v>0</v>
      </c>
      <c r="Z20" s="187">
        <f t="shared" si="15"/>
        <v>0</v>
      </c>
      <c r="AA20" s="187">
        <f t="shared" si="16"/>
        <v>0</v>
      </c>
      <c r="AB20" s="187">
        <f t="shared" si="17"/>
        <v>0</v>
      </c>
      <c r="AC20" s="187">
        <f t="shared" si="18"/>
        <v>0</v>
      </c>
      <c r="AD20" s="187">
        <f t="shared" si="19"/>
        <v>0</v>
      </c>
      <c r="AE20" s="187">
        <f t="shared" si="20"/>
        <v>0</v>
      </c>
      <c r="AF20" s="187">
        <f t="shared" si="21"/>
        <v>0</v>
      </c>
      <c r="AG20" s="187">
        <f t="shared" si="22"/>
        <v>0</v>
      </c>
      <c r="AH20" s="187">
        <f t="shared" si="23"/>
        <v>0</v>
      </c>
      <c r="AI20" s="187">
        <f t="shared" si="24"/>
        <v>0</v>
      </c>
      <c r="AJ20" s="187">
        <f t="shared" si="25"/>
        <v>0</v>
      </c>
      <c r="AK20" s="187">
        <f t="shared" si="26"/>
        <v>0</v>
      </c>
      <c r="AL20" s="187">
        <f t="shared" si="27"/>
        <v>0</v>
      </c>
      <c r="AM20" s="187">
        <f t="shared" si="28"/>
        <v>0</v>
      </c>
      <c r="AN20" s="187">
        <f t="shared" si="29"/>
        <v>0</v>
      </c>
      <c r="AO20" s="187">
        <f t="shared" si="30"/>
        <v>0</v>
      </c>
      <c r="AP20" s="187">
        <f t="shared" si="31"/>
        <v>0</v>
      </c>
      <c r="AQ20" s="187">
        <f t="shared" si="32"/>
        <v>0</v>
      </c>
      <c r="AR20" s="187">
        <f t="shared" si="33"/>
        <v>0</v>
      </c>
      <c r="AS20" s="187">
        <f t="shared" si="34"/>
        <v>0</v>
      </c>
      <c r="AT20" s="187">
        <f t="shared" si="35"/>
        <v>0</v>
      </c>
      <c r="AU20" s="187">
        <f t="shared" si="36"/>
        <v>0</v>
      </c>
      <c r="AV20" s="187">
        <f t="shared" si="37"/>
        <v>0</v>
      </c>
      <c r="AW20" s="187">
        <f t="shared" si="38"/>
        <v>0</v>
      </c>
    </row>
    <row r="21" spans="1:49" s="184" customFormat="1" ht="12.75" customHeight="1">
      <c r="A21" s="37" t="str">
        <f t="array" ref="A21">IF(C21&lt;&gt;0,SUM(($C$11:C21&lt;&gt;0)*1),"")</f>
        <v/>
      </c>
      <c r="B21" s="193"/>
      <c r="C21" s="193"/>
      <c r="D21" s="193"/>
      <c r="E21" s="186" t="s">
        <v>154</v>
      </c>
      <c r="F21" s="193"/>
      <c r="G21" s="192"/>
      <c r="H21" s="192"/>
      <c r="I21" s="193"/>
      <c r="J21" s="187">
        <f t="shared" ref="J21:AW21" ca="1" si="43">SUM(J11:J20)</f>
        <v>4000000000</v>
      </c>
      <c r="K21" s="187">
        <f t="shared" ca="1" si="43"/>
        <v>0</v>
      </c>
      <c r="L21" s="187">
        <f t="shared" ca="1" si="43"/>
        <v>0</v>
      </c>
      <c r="M21" s="187">
        <f t="shared" ca="1" si="43"/>
        <v>0</v>
      </c>
      <c r="N21" s="187">
        <f t="shared" ca="1" si="43"/>
        <v>0</v>
      </c>
      <c r="O21" s="187">
        <f t="shared" ca="1" si="43"/>
        <v>0</v>
      </c>
      <c r="P21" s="187">
        <f t="shared" ca="1" si="43"/>
        <v>0</v>
      </c>
      <c r="Q21" s="187">
        <f t="shared" ca="1" si="43"/>
        <v>0</v>
      </c>
      <c r="R21" s="187">
        <f t="shared" ca="1" si="43"/>
        <v>0</v>
      </c>
      <c r="S21" s="187">
        <f t="shared" ca="1" si="43"/>
        <v>0</v>
      </c>
      <c r="T21" s="187">
        <f t="shared" ca="1" si="43"/>
        <v>0</v>
      </c>
      <c r="U21" s="187">
        <f t="shared" ca="1" si="43"/>
        <v>0</v>
      </c>
      <c r="V21" s="187">
        <f t="shared" ca="1" si="43"/>
        <v>0</v>
      </c>
      <c r="W21" s="187">
        <f t="shared" ca="1" si="43"/>
        <v>0</v>
      </c>
      <c r="X21" s="187">
        <f t="shared" ca="1" si="43"/>
        <v>0</v>
      </c>
      <c r="Y21" s="187">
        <f t="shared" ca="1" si="43"/>
        <v>0</v>
      </c>
      <c r="Z21" s="187">
        <f t="shared" ca="1" si="43"/>
        <v>0</v>
      </c>
      <c r="AA21" s="187">
        <f t="shared" ca="1" si="43"/>
        <v>0</v>
      </c>
      <c r="AB21" s="187">
        <f t="shared" ca="1" si="43"/>
        <v>0</v>
      </c>
      <c r="AC21" s="187">
        <f t="shared" ca="1" si="43"/>
        <v>0</v>
      </c>
      <c r="AD21" s="187">
        <f t="shared" ca="1" si="43"/>
        <v>0</v>
      </c>
      <c r="AE21" s="187">
        <f t="shared" ca="1" si="43"/>
        <v>4000000000</v>
      </c>
      <c r="AF21" s="187">
        <f t="shared" ca="1" si="43"/>
        <v>0</v>
      </c>
      <c r="AG21" s="187">
        <f t="shared" ca="1" si="43"/>
        <v>0</v>
      </c>
      <c r="AH21" s="187">
        <f t="shared" ca="1" si="43"/>
        <v>0</v>
      </c>
      <c r="AI21" s="187">
        <f t="shared" ca="1" si="43"/>
        <v>0</v>
      </c>
      <c r="AJ21" s="187">
        <f t="shared" ca="1" si="43"/>
        <v>0</v>
      </c>
      <c r="AK21" s="187">
        <f t="shared" ca="1" si="43"/>
        <v>0</v>
      </c>
      <c r="AL21" s="187">
        <f t="shared" ca="1" si="43"/>
        <v>0</v>
      </c>
      <c r="AM21" s="187">
        <f t="shared" ca="1" si="43"/>
        <v>0</v>
      </c>
      <c r="AN21" s="187">
        <f t="shared" ca="1" si="43"/>
        <v>0</v>
      </c>
      <c r="AO21" s="187">
        <f t="shared" ca="1" si="43"/>
        <v>0</v>
      </c>
      <c r="AP21" s="187">
        <f t="shared" ca="1" si="43"/>
        <v>0</v>
      </c>
      <c r="AQ21" s="187">
        <f t="shared" ca="1" si="43"/>
        <v>0</v>
      </c>
      <c r="AR21" s="187">
        <f t="shared" ca="1" si="43"/>
        <v>0</v>
      </c>
      <c r="AS21" s="187">
        <f t="shared" ca="1" si="43"/>
        <v>0</v>
      </c>
      <c r="AT21" s="187">
        <f t="shared" ca="1" si="43"/>
        <v>0</v>
      </c>
      <c r="AU21" s="187">
        <f t="shared" ca="1" si="43"/>
        <v>0</v>
      </c>
      <c r="AV21" s="187">
        <f t="shared" ca="1" si="43"/>
        <v>0</v>
      </c>
      <c r="AW21" s="187">
        <f t="shared" ca="1" si="43"/>
        <v>0</v>
      </c>
    </row>
    <row r="22" spans="1:49" s="184" customFormat="1" ht="12.75" customHeight="1">
      <c r="A22" s="194"/>
      <c r="B22" s="194"/>
      <c r="C22" s="194"/>
      <c r="D22" s="194"/>
      <c r="E22" s="195" t="s">
        <v>183</v>
      </c>
      <c r="F22" s="194"/>
      <c r="G22" s="196"/>
      <c r="H22" s="196"/>
      <c r="I22" s="194"/>
      <c r="J22" s="197">
        <f ca="1">MAX(J10+J21-K10-K21,0)</f>
        <v>4000000000</v>
      </c>
      <c r="K22" s="197">
        <f ca="1">MAX(K10+K21-J10-J21,0)</f>
        <v>0</v>
      </c>
      <c r="L22" s="197">
        <f ca="1">MAX(L10+L21-M10-M21,0)</f>
        <v>0</v>
      </c>
      <c r="M22" s="197">
        <f ca="1">MAX(M10+M21-L10-L21,0)</f>
        <v>0</v>
      </c>
      <c r="N22" s="197">
        <f ca="1">MAX(N10+N21-O10-O21,0)</f>
        <v>0</v>
      </c>
      <c r="O22" s="197">
        <f ca="1">MAX(O10+O21-N10-N21,0)</f>
        <v>0</v>
      </c>
      <c r="P22" s="197">
        <f ca="1">MAX(P10+P21-Q10-Q21,0)</f>
        <v>0</v>
      </c>
      <c r="Q22" s="197">
        <f ca="1">MAX(Q10+Q21-P10-P21,0)</f>
        <v>0</v>
      </c>
      <c r="R22" s="197">
        <f ca="1">MAX(R10+R21-S10-S21,0)</f>
        <v>0</v>
      </c>
      <c r="S22" s="197">
        <f ca="1">MAX(S10+S21-R10-R21,0)</f>
        <v>0</v>
      </c>
      <c r="T22" s="197">
        <f ca="1">MAX(T10+T21-U10-U21,0)</f>
        <v>0</v>
      </c>
      <c r="U22" s="197">
        <f ca="1">MAX(U10+U21-T10-T21,0)</f>
        <v>0</v>
      </c>
      <c r="V22" s="197">
        <f ca="1">MAX(V10+V21-W10-W21,0)</f>
        <v>0</v>
      </c>
      <c r="W22" s="197">
        <f ca="1">MAX(W10+W21-V10-V21,0)</f>
        <v>0</v>
      </c>
      <c r="X22" s="197">
        <f ca="1">MAX(X10+X21-Y10-Y21,0)</f>
        <v>0</v>
      </c>
      <c r="Y22" s="197">
        <f ca="1">MAX(Y10+Y21-X10-X21,0)</f>
        <v>0</v>
      </c>
      <c r="Z22" s="197">
        <f ca="1">MAX(Z10+Z21-AA10-AA21,0)</f>
        <v>0</v>
      </c>
      <c r="AA22" s="197">
        <f ca="1">MAX(AA10+AA21-Z10-Z21,0)</f>
        <v>0</v>
      </c>
      <c r="AB22" s="197">
        <f ca="1">MAX(AB10+AB21-AC10-AC21,0)</f>
        <v>0</v>
      </c>
      <c r="AC22" s="197">
        <f ca="1">MAX(AC10+AC21-AB10-AB21,0)</f>
        <v>0</v>
      </c>
      <c r="AD22" s="197">
        <f ca="1">MAX(AD10+AD21-AE10-AE21,0)</f>
        <v>0</v>
      </c>
      <c r="AE22" s="197">
        <f ca="1">MAX(AE10+AE21-AD10-AD21,0)</f>
        <v>4000000000</v>
      </c>
      <c r="AF22" s="197">
        <f ca="1">MAX(AF10+AF21-AG10-AG21,0)</f>
        <v>0</v>
      </c>
      <c r="AG22" s="197">
        <f ca="1">MAX(AG10+AG21-AF10-AF21,0)</f>
        <v>0</v>
      </c>
      <c r="AH22" s="197">
        <f ca="1">MAX(AH10+AH21-AI10-AI21,0)</f>
        <v>0</v>
      </c>
      <c r="AI22" s="197">
        <f ca="1">MAX(AI10+AI21-AH10-AH21,0)</f>
        <v>0</v>
      </c>
      <c r="AJ22" s="197">
        <f ca="1">MAX(AJ10+AJ21-AK10-AK21,0)</f>
        <v>0</v>
      </c>
      <c r="AK22" s="197">
        <f ca="1">MAX(AK10+AK21-AJ10-AJ21,0)</f>
        <v>0</v>
      </c>
      <c r="AL22" s="197">
        <f ca="1">MAX(AL10+AL21-AM10-AM21,0)</f>
        <v>0</v>
      </c>
      <c r="AM22" s="197">
        <f ca="1">MAX(AM10+AM21-AL10-AL21,0)</f>
        <v>0</v>
      </c>
      <c r="AN22" s="197">
        <f ca="1">MAX(AN10+AN21-AO10-AO21,0)</f>
        <v>0</v>
      </c>
      <c r="AO22" s="197">
        <f ca="1">MAX(AO10+AO21-AN10-AN21,0)</f>
        <v>0</v>
      </c>
      <c r="AP22" s="197">
        <f ca="1">MAX(AP10+AP21-AQ10-AQ21,0)</f>
        <v>0</v>
      </c>
      <c r="AQ22" s="197">
        <f ca="1">MAX(AQ10+AQ21-AP10-AP21,0)</f>
        <v>0</v>
      </c>
      <c r="AR22" s="197">
        <f ca="1">MAX(AR10+AR21-AS10-AS21,0)</f>
        <v>0</v>
      </c>
      <c r="AS22" s="197">
        <f ca="1">MAX(AS10+AS21-AR10-AR21,0)</f>
        <v>0</v>
      </c>
      <c r="AT22" s="197">
        <f ca="1">MAX(AT10+AT21-AU10-AU21,0)</f>
        <v>0</v>
      </c>
      <c r="AU22" s="197">
        <f ca="1">MAX(AU10+AU21-AT10-AT21,0)</f>
        <v>0</v>
      </c>
      <c r="AV22" s="197">
        <f ca="1">MAX(AV10+AV21-AW10-AW21,0)</f>
        <v>0</v>
      </c>
      <c r="AW22" s="197">
        <f ca="1">MAX(AW10+AW21-AV10-AV21,0)</f>
        <v>0</v>
      </c>
    </row>
    <row r="23" spans="1:49" s="184" customFormat="1" ht="12.75" customHeight="1">
      <c r="A23" s="198"/>
      <c r="B23" s="198"/>
      <c r="C23" s="199"/>
      <c r="D23" s="198"/>
      <c r="E23" s="200" t="s">
        <v>184</v>
      </c>
      <c r="F23" s="198"/>
      <c r="G23" s="201"/>
      <c r="H23" s="201"/>
      <c r="I23" s="198"/>
      <c r="J23" s="202">
        <f ca="1">J21</f>
        <v>4000000000</v>
      </c>
      <c r="K23" s="202">
        <f ca="1">K21</f>
        <v>0</v>
      </c>
      <c r="L23" s="202">
        <f t="shared" ref="L23:AW23" ca="1" si="44">L21</f>
        <v>0</v>
      </c>
      <c r="M23" s="202">
        <f t="shared" ca="1" si="44"/>
        <v>0</v>
      </c>
      <c r="N23" s="202">
        <f t="shared" ca="1" si="44"/>
        <v>0</v>
      </c>
      <c r="O23" s="202">
        <f t="shared" ca="1" si="44"/>
        <v>0</v>
      </c>
      <c r="P23" s="202">
        <f t="shared" ca="1" si="44"/>
        <v>0</v>
      </c>
      <c r="Q23" s="202">
        <f t="shared" ca="1" si="44"/>
        <v>0</v>
      </c>
      <c r="R23" s="202">
        <f t="shared" ca="1" si="44"/>
        <v>0</v>
      </c>
      <c r="S23" s="202">
        <f t="shared" ca="1" si="44"/>
        <v>0</v>
      </c>
      <c r="T23" s="202">
        <f t="shared" ca="1" si="44"/>
        <v>0</v>
      </c>
      <c r="U23" s="202">
        <f t="shared" ca="1" si="44"/>
        <v>0</v>
      </c>
      <c r="V23" s="202">
        <f t="shared" ca="1" si="44"/>
        <v>0</v>
      </c>
      <c r="W23" s="202">
        <f t="shared" ca="1" si="44"/>
        <v>0</v>
      </c>
      <c r="X23" s="202">
        <f t="shared" ca="1" si="44"/>
        <v>0</v>
      </c>
      <c r="Y23" s="202">
        <f t="shared" ca="1" si="44"/>
        <v>0</v>
      </c>
      <c r="Z23" s="202">
        <f ca="1">Z21</f>
        <v>0</v>
      </c>
      <c r="AA23" s="202">
        <f t="shared" ca="1" si="44"/>
        <v>0</v>
      </c>
      <c r="AB23" s="202">
        <f t="shared" ca="1" si="44"/>
        <v>0</v>
      </c>
      <c r="AC23" s="202">
        <f t="shared" ca="1" si="44"/>
        <v>0</v>
      </c>
      <c r="AD23" s="202">
        <f t="shared" ca="1" si="44"/>
        <v>0</v>
      </c>
      <c r="AE23" s="202">
        <f t="shared" ca="1" si="44"/>
        <v>4000000000</v>
      </c>
      <c r="AF23" s="202">
        <f t="shared" ca="1" si="44"/>
        <v>0</v>
      </c>
      <c r="AG23" s="202">
        <f t="shared" ca="1" si="44"/>
        <v>0</v>
      </c>
      <c r="AH23" s="202">
        <f t="shared" ca="1" si="44"/>
        <v>0</v>
      </c>
      <c r="AI23" s="202">
        <f t="shared" ca="1" si="44"/>
        <v>0</v>
      </c>
      <c r="AJ23" s="202">
        <f t="shared" ca="1" si="44"/>
        <v>0</v>
      </c>
      <c r="AK23" s="202">
        <f t="shared" ca="1" si="44"/>
        <v>0</v>
      </c>
      <c r="AL23" s="202">
        <f t="shared" ca="1" si="44"/>
        <v>0</v>
      </c>
      <c r="AM23" s="202">
        <f t="shared" ca="1" si="44"/>
        <v>0</v>
      </c>
      <c r="AN23" s="202">
        <f t="shared" ca="1" si="44"/>
        <v>0</v>
      </c>
      <c r="AO23" s="202">
        <f t="shared" ca="1" si="44"/>
        <v>0</v>
      </c>
      <c r="AP23" s="202">
        <f t="shared" ca="1" si="44"/>
        <v>0</v>
      </c>
      <c r="AQ23" s="202">
        <f t="shared" ca="1" si="44"/>
        <v>0</v>
      </c>
      <c r="AR23" s="202">
        <f t="shared" ca="1" si="44"/>
        <v>0</v>
      </c>
      <c r="AS23" s="202">
        <f t="shared" ca="1" si="44"/>
        <v>0</v>
      </c>
      <c r="AT23" s="202">
        <f ca="1">AT21</f>
        <v>0</v>
      </c>
      <c r="AU23" s="202">
        <f ca="1">AU21</f>
        <v>0</v>
      </c>
      <c r="AV23" s="202">
        <f t="shared" ca="1" si="44"/>
        <v>0</v>
      </c>
      <c r="AW23" s="202">
        <f t="shared" ca="1" si="44"/>
        <v>0</v>
      </c>
    </row>
    <row r="24" spans="1:49" ht="12" customHeight="1">
      <c r="B24" s="203"/>
      <c r="C24" s="204"/>
      <c r="D24" s="204"/>
      <c r="E24" s="204"/>
      <c r="F24" s="204"/>
      <c r="G24" s="205"/>
      <c r="H24" s="205"/>
      <c r="I24" s="204"/>
      <c r="J24" s="204"/>
      <c r="K24" s="204"/>
    </row>
    <row r="25" spans="1:49">
      <c r="F25" s="206"/>
      <c r="M25" s="206"/>
      <c r="O25" s="206"/>
      <c r="P25" s="206"/>
      <c r="Q25" s="206"/>
      <c r="R25" s="206"/>
      <c r="S25" s="206"/>
      <c r="T25" s="206"/>
      <c r="AH25" s="207" t="s">
        <v>185</v>
      </c>
      <c r="AI25" s="208"/>
      <c r="AJ25" s="208"/>
      <c r="AK25" s="208"/>
      <c r="AL25" s="208"/>
      <c r="AM25" s="208"/>
      <c r="AN25" s="209"/>
      <c r="AO25" s="209"/>
      <c r="AP25" s="208"/>
    </row>
    <row r="26" spans="1:49">
      <c r="F26" s="206"/>
      <c r="M26" s="206"/>
      <c r="O26" s="206"/>
      <c r="P26" s="206"/>
      <c r="Q26" s="206"/>
      <c r="R26" s="206"/>
      <c r="S26" s="206"/>
      <c r="T26" s="206"/>
      <c r="AH26" s="210" t="s">
        <v>186</v>
      </c>
      <c r="AI26" s="208"/>
      <c r="AJ26" s="208"/>
      <c r="AK26" s="208"/>
      <c r="AL26" s="208"/>
      <c r="AM26" s="208"/>
      <c r="AN26" s="209"/>
      <c r="AO26" s="209"/>
      <c r="AP26" s="208"/>
    </row>
    <row r="27" spans="1:49">
      <c r="F27" s="206"/>
      <c r="M27" s="206"/>
      <c r="O27" s="206"/>
      <c r="P27" s="206"/>
      <c r="Q27" s="206"/>
      <c r="R27" s="206"/>
      <c r="S27" s="206"/>
      <c r="T27" s="206"/>
      <c r="AH27" s="208"/>
      <c r="AI27" s="208"/>
      <c r="AJ27" s="208"/>
      <c r="AK27" s="208"/>
      <c r="AL27" s="208"/>
      <c r="AM27" s="208"/>
      <c r="AN27" s="208"/>
      <c r="AO27" s="208"/>
      <c r="AP27" s="209"/>
    </row>
    <row r="28" spans="1:49">
      <c r="F28" s="206"/>
      <c r="AH28" s="208"/>
      <c r="AI28" s="208"/>
      <c r="AJ28" s="208"/>
      <c r="AK28" s="208"/>
      <c r="AL28" s="208"/>
      <c r="AM28" s="208"/>
      <c r="AN28" s="208"/>
      <c r="AO28" s="208"/>
      <c r="AP28" s="209"/>
      <c r="AV28" s="211" t="str">
        <f>"Ngày 31 tháng 03 năm 2015 "</f>
        <v xml:space="preserve">Ngày 31 tháng 03 năm 2015 </v>
      </c>
    </row>
    <row r="29" spans="1:49">
      <c r="F29" s="206"/>
      <c r="M29" s="206"/>
      <c r="O29" s="206"/>
      <c r="P29" s="206"/>
      <c r="Q29" s="206"/>
      <c r="R29" s="206"/>
      <c r="S29" s="206"/>
      <c r="T29" s="206"/>
      <c r="AH29" s="208"/>
      <c r="AI29" s="212" t="s">
        <v>12</v>
      </c>
      <c r="AJ29" s="208"/>
      <c r="AK29" s="208"/>
      <c r="AL29" s="208"/>
      <c r="AM29" s="208"/>
      <c r="AN29" s="208"/>
      <c r="AO29" s="213" t="s">
        <v>13</v>
      </c>
      <c r="AP29" s="209"/>
      <c r="AV29" s="212" t="s">
        <v>116</v>
      </c>
    </row>
    <row r="30" spans="1:49">
      <c r="F30" s="206"/>
      <c r="M30" s="206"/>
      <c r="O30" s="206"/>
      <c r="P30" s="206"/>
      <c r="Q30" s="206"/>
      <c r="R30" s="206"/>
      <c r="S30" s="206"/>
      <c r="T30" s="206"/>
      <c r="AH30" s="208"/>
      <c r="AI30" s="214" t="s">
        <v>14</v>
      </c>
      <c r="AJ30" s="208"/>
      <c r="AK30" s="208"/>
      <c r="AL30" s="208"/>
      <c r="AM30" s="208"/>
      <c r="AN30" s="208"/>
      <c r="AO30" s="215" t="s">
        <v>14</v>
      </c>
      <c r="AP30" s="209"/>
      <c r="AV30" s="214" t="s">
        <v>147</v>
      </c>
    </row>
    <row r="31" spans="1:49">
      <c r="F31" s="206"/>
      <c r="M31" s="206"/>
      <c r="O31" s="206"/>
      <c r="P31" s="206"/>
      <c r="Q31" s="206"/>
      <c r="R31" s="206"/>
      <c r="S31" s="206"/>
      <c r="T31" s="206"/>
      <c r="AH31" s="208"/>
      <c r="AI31" s="208"/>
      <c r="AJ31" s="208"/>
      <c r="AK31" s="208"/>
      <c r="AL31" s="208"/>
      <c r="AM31" s="208"/>
      <c r="AN31" s="208"/>
      <c r="AO31" s="208"/>
      <c r="AP31" s="209"/>
      <c r="AV31" s="208"/>
    </row>
    <row r="32" spans="1:49">
      <c r="F32" s="206"/>
      <c r="M32" s="206"/>
      <c r="O32" s="206"/>
      <c r="P32" s="206"/>
      <c r="Q32" s="206"/>
      <c r="R32" s="206"/>
      <c r="S32" s="206"/>
      <c r="T32" s="206"/>
      <c r="AV32" s="208"/>
    </row>
    <row r="33" spans="6:20">
      <c r="F33" s="206"/>
      <c r="M33" s="206"/>
      <c r="O33" s="206"/>
      <c r="P33" s="206"/>
      <c r="Q33" s="206"/>
      <c r="R33" s="206"/>
      <c r="S33" s="206"/>
      <c r="T33" s="206"/>
    </row>
    <row r="34" spans="6:20">
      <c r="F34" s="206"/>
      <c r="M34" s="206"/>
      <c r="O34" s="206"/>
      <c r="P34" s="206"/>
      <c r="Q34" s="206"/>
      <c r="R34" s="206"/>
      <c r="S34" s="206"/>
      <c r="T34" s="206"/>
    </row>
    <row r="35" spans="6:20">
      <c r="F35" s="206"/>
    </row>
    <row r="36" spans="6:20">
      <c r="F36" s="206"/>
      <c r="M36" s="206"/>
      <c r="O36" s="206"/>
      <c r="P36" s="206"/>
      <c r="Q36" s="206"/>
      <c r="R36" s="206"/>
      <c r="S36" s="206"/>
      <c r="T36" s="206"/>
    </row>
    <row r="37" spans="6:20">
      <c r="F37" s="206"/>
      <c r="M37" s="206"/>
      <c r="O37" s="206"/>
      <c r="P37" s="206"/>
      <c r="Q37" s="206"/>
      <c r="R37" s="206"/>
      <c r="S37" s="206"/>
      <c r="T37" s="206"/>
    </row>
    <row r="38" spans="6:20">
      <c r="F38" s="206"/>
      <c r="M38" s="206"/>
      <c r="O38" s="206"/>
      <c r="P38" s="206"/>
      <c r="Q38" s="206"/>
      <c r="R38" s="206"/>
      <c r="S38" s="206"/>
      <c r="T38" s="206"/>
    </row>
    <row r="39" spans="6:20">
      <c r="F39" s="206"/>
      <c r="M39" s="206"/>
      <c r="O39" s="206"/>
      <c r="P39" s="206"/>
      <c r="Q39" s="206"/>
      <c r="R39" s="206"/>
      <c r="S39" s="206"/>
      <c r="T39" s="206"/>
    </row>
    <row r="40" spans="6:20">
      <c r="F40" s="206"/>
      <c r="M40" s="206"/>
      <c r="O40" s="206"/>
      <c r="P40" s="206"/>
      <c r="Q40" s="206"/>
      <c r="R40" s="206"/>
      <c r="S40" s="206"/>
      <c r="T40" s="206"/>
    </row>
    <row r="41" spans="6:20">
      <c r="F41" s="206"/>
      <c r="M41" s="206"/>
      <c r="O41" s="206"/>
      <c r="P41" s="206"/>
      <c r="Q41" s="206"/>
      <c r="R41" s="206"/>
      <c r="S41" s="206"/>
      <c r="T41" s="206"/>
    </row>
    <row r="42" spans="6:20">
      <c r="F42" s="206"/>
      <c r="M42" s="206"/>
      <c r="O42" s="206"/>
      <c r="P42" s="206"/>
      <c r="Q42" s="206"/>
      <c r="R42" s="206"/>
      <c r="S42" s="206"/>
      <c r="T42" s="206"/>
    </row>
    <row r="43" spans="6:20">
      <c r="F43" s="206"/>
      <c r="M43" s="206"/>
      <c r="O43" s="206"/>
      <c r="P43" s="206"/>
      <c r="Q43" s="206"/>
      <c r="R43" s="206"/>
      <c r="S43" s="206"/>
      <c r="T43" s="206"/>
    </row>
    <row r="44" spans="6:20">
      <c r="F44" s="206"/>
      <c r="M44" s="206"/>
      <c r="O44" s="206"/>
      <c r="P44" s="206"/>
      <c r="Q44" s="206"/>
      <c r="R44" s="206"/>
      <c r="S44" s="206"/>
      <c r="T44" s="206"/>
    </row>
    <row r="45" spans="6:20">
      <c r="F45" s="206"/>
      <c r="M45" s="206"/>
      <c r="O45" s="206"/>
      <c r="P45" s="206"/>
      <c r="Q45" s="206"/>
      <c r="R45" s="206"/>
      <c r="S45" s="206"/>
      <c r="T45" s="206"/>
    </row>
    <row r="46" spans="6:20">
      <c r="F46" s="206"/>
      <c r="M46" s="206"/>
      <c r="O46" s="206"/>
      <c r="P46" s="206"/>
      <c r="Q46" s="206"/>
      <c r="R46" s="206"/>
      <c r="S46" s="206"/>
      <c r="T46" s="206"/>
    </row>
    <row r="47" spans="6:20">
      <c r="F47" s="206"/>
      <c r="M47" s="206"/>
      <c r="O47" s="206"/>
      <c r="P47" s="206"/>
      <c r="Q47" s="206"/>
      <c r="R47" s="206"/>
      <c r="S47" s="206"/>
      <c r="T47" s="206"/>
    </row>
    <row r="48" spans="6:20">
      <c r="F48" s="206"/>
      <c r="M48" s="206"/>
      <c r="O48" s="206"/>
      <c r="P48" s="206"/>
      <c r="Q48" s="206"/>
      <c r="R48" s="206"/>
      <c r="S48" s="206"/>
      <c r="T48" s="206"/>
    </row>
    <row r="49" spans="6:20">
      <c r="F49" s="206"/>
      <c r="M49" s="206"/>
      <c r="O49" s="206"/>
      <c r="P49" s="206"/>
      <c r="Q49" s="206"/>
      <c r="R49" s="206"/>
      <c r="S49" s="206"/>
      <c r="T49" s="206"/>
    </row>
    <row r="50" spans="6:20">
      <c r="F50" s="206"/>
      <c r="M50" s="206"/>
      <c r="O50" s="206"/>
      <c r="P50" s="206"/>
      <c r="Q50" s="206"/>
      <c r="R50" s="206"/>
      <c r="S50" s="206"/>
      <c r="T50" s="206"/>
    </row>
    <row r="51" spans="6:20">
      <c r="F51" s="206"/>
      <c r="M51" s="206"/>
      <c r="O51" s="206"/>
      <c r="P51" s="206"/>
      <c r="Q51" s="206"/>
      <c r="R51" s="206"/>
      <c r="S51" s="206"/>
      <c r="T51" s="206"/>
    </row>
    <row r="52" spans="6:20">
      <c r="F52" s="206"/>
      <c r="M52" s="206"/>
      <c r="O52" s="206"/>
      <c r="P52" s="206"/>
      <c r="Q52" s="206"/>
      <c r="R52" s="206"/>
      <c r="S52" s="206"/>
      <c r="T52" s="206"/>
    </row>
    <row r="53" spans="6:20">
      <c r="F53" s="206"/>
      <c r="M53" s="206"/>
      <c r="O53" s="206"/>
      <c r="P53" s="206"/>
      <c r="Q53" s="206"/>
      <c r="R53" s="206"/>
      <c r="S53" s="206"/>
      <c r="T53" s="206"/>
    </row>
    <row r="54" spans="6:20">
      <c r="F54" s="206"/>
      <c r="M54" s="206"/>
      <c r="O54" s="206"/>
      <c r="P54" s="206"/>
      <c r="Q54" s="206"/>
      <c r="R54" s="206"/>
      <c r="S54" s="206"/>
      <c r="T54" s="206"/>
    </row>
    <row r="55" spans="6:20">
      <c r="F55" s="206"/>
      <c r="M55" s="206"/>
      <c r="O55" s="206"/>
      <c r="P55" s="206"/>
      <c r="Q55" s="206"/>
      <c r="R55" s="206"/>
      <c r="S55" s="206"/>
      <c r="T55" s="206"/>
    </row>
    <row r="56" spans="6:20">
      <c r="F56" s="206"/>
      <c r="M56" s="206"/>
      <c r="O56" s="206"/>
      <c r="P56" s="206"/>
      <c r="Q56" s="206"/>
      <c r="R56" s="206"/>
      <c r="S56" s="206"/>
      <c r="T56" s="206"/>
    </row>
    <row r="57" spans="6:20">
      <c r="F57" s="206"/>
      <c r="M57" s="206"/>
      <c r="O57" s="206"/>
      <c r="P57" s="206"/>
      <c r="Q57" s="206"/>
      <c r="R57" s="206"/>
      <c r="S57" s="206"/>
      <c r="T57" s="206"/>
    </row>
    <row r="58" spans="6:20">
      <c r="F58" s="206"/>
      <c r="M58" s="206"/>
      <c r="O58" s="206"/>
      <c r="P58" s="206"/>
      <c r="Q58" s="206"/>
      <c r="R58" s="206"/>
      <c r="S58" s="206"/>
      <c r="T58" s="206"/>
    </row>
    <row r="59" spans="6:20">
      <c r="F59" s="206"/>
      <c r="M59" s="206"/>
      <c r="O59" s="206"/>
      <c r="P59" s="206"/>
      <c r="Q59" s="206"/>
      <c r="R59" s="206"/>
      <c r="S59" s="206"/>
      <c r="T59" s="206"/>
    </row>
    <row r="60" spans="6:20">
      <c r="F60" s="206"/>
      <c r="M60" s="206"/>
      <c r="O60" s="206"/>
      <c r="P60" s="206"/>
      <c r="Q60" s="206"/>
      <c r="R60" s="206"/>
      <c r="S60" s="206"/>
      <c r="T60" s="206"/>
    </row>
    <row r="61" spans="6:20">
      <c r="F61" s="206"/>
      <c r="M61" s="206"/>
      <c r="O61" s="206"/>
      <c r="P61" s="206"/>
      <c r="Q61" s="206"/>
      <c r="R61" s="206"/>
      <c r="S61" s="206"/>
      <c r="T61" s="206"/>
    </row>
    <row r="62" spans="6:20">
      <c r="F62" s="206"/>
      <c r="M62" s="206"/>
      <c r="O62" s="206"/>
      <c r="P62" s="206"/>
      <c r="Q62" s="206"/>
      <c r="R62" s="206"/>
      <c r="S62" s="206"/>
      <c r="T62" s="206"/>
    </row>
    <row r="63" spans="6:20">
      <c r="F63" s="206"/>
      <c r="M63" s="206"/>
      <c r="O63" s="206"/>
      <c r="P63" s="206"/>
      <c r="Q63" s="206"/>
      <c r="R63" s="206"/>
      <c r="S63" s="206"/>
      <c r="T63" s="206"/>
    </row>
    <row r="64" spans="6:20">
      <c r="F64" s="206"/>
      <c r="M64" s="206"/>
      <c r="O64" s="206"/>
      <c r="P64" s="206"/>
      <c r="Q64" s="206"/>
      <c r="R64" s="206"/>
      <c r="S64" s="206"/>
      <c r="T64" s="206"/>
    </row>
    <row r="65" spans="6:20">
      <c r="F65" s="206"/>
      <c r="M65" s="206"/>
      <c r="O65" s="206"/>
      <c r="P65" s="206"/>
      <c r="Q65" s="206"/>
      <c r="R65" s="206"/>
      <c r="S65" s="206"/>
      <c r="T65" s="206"/>
    </row>
    <row r="66" spans="6:20">
      <c r="F66" s="206"/>
      <c r="M66" s="206"/>
      <c r="O66" s="206"/>
      <c r="P66" s="206"/>
      <c r="Q66" s="206"/>
      <c r="R66" s="206"/>
      <c r="S66" s="206"/>
      <c r="T66" s="206"/>
    </row>
    <row r="67" spans="6:20">
      <c r="F67" s="206"/>
      <c r="M67" s="206"/>
      <c r="O67" s="206"/>
      <c r="P67" s="206"/>
      <c r="Q67" s="206"/>
      <c r="R67" s="206"/>
      <c r="S67" s="206"/>
      <c r="T67" s="206"/>
    </row>
    <row r="68" spans="6:20">
      <c r="F68" s="206"/>
      <c r="M68" s="206"/>
      <c r="O68" s="206"/>
      <c r="P68" s="206"/>
      <c r="Q68" s="206"/>
      <c r="R68" s="206"/>
      <c r="S68" s="206"/>
      <c r="T68" s="206"/>
    </row>
    <row r="69" spans="6:20">
      <c r="F69" s="206"/>
      <c r="M69" s="206"/>
      <c r="O69" s="206"/>
      <c r="P69" s="206"/>
      <c r="Q69" s="206"/>
      <c r="R69" s="206"/>
      <c r="S69" s="206"/>
      <c r="T69" s="206"/>
    </row>
    <row r="70" spans="6:20">
      <c r="F70" s="206"/>
      <c r="M70" s="206"/>
      <c r="O70" s="206"/>
      <c r="P70" s="206"/>
      <c r="Q70" s="206"/>
      <c r="R70" s="206"/>
      <c r="S70" s="206"/>
      <c r="T70" s="206"/>
    </row>
    <row r="71" spans="6:20">
      <c r="F71" s="206"/>
      <c r="M71" s="206"/>
      <c r="O71" s="206"/>
      <c r="P71" s="206"/>
      <c r="Q71" s="206"/>
      <c r="R71" s="206"/>
      <c r="S71" s="206"/>
      <c r="T71" s="206"/>
    </row>
    <row r="72" spans="6:20">
      <c r="F72" s="206"/>
      <c r="M72" s="206"/>
      <c r="O72" s="206"/>
      <c r="P72" s="206"/>
      <c r="Q72" s="206"/>
      <c r="R72" s="206"/>
      <c r="S72" s="206"/>
      <c r="T72" s="206"/>
    </row>
    <row r="73" spans="6:20">
      <c r="F73" s="206"/>
      <c r="M73" s="206"/>
      <c r="O73" s="206"/>
      <c r="P73" s="206"/>
      <c r="Q73" s="206"/>
      <c r="R73" s="206"/>
      <c r="S73" s="206"/>
      <c r="T73" s="206"/>
    </row>
    <row r="74" spans="6:20">
      <c r="F74" s="206"/>
      <c r="M74" s="206"/>
      <c r="O74" s="206"/>
      <c r="P74" s="206"/>
      <c r="Q74" s="206"/>
      <c r="R74" s="206"/>
      <c r="S74" s="206"/>
      <c r="T74" s="206"/>
    </row>
    <row r="75" spans="6:20">
      <c r="F75" s="206"/>
      <c r="M75" s="206"/>
      <c r="O75" s="206"/>
      <c r="P75" s="206"/>
      <c r="Q75" s="206"/>
      <c r="R75" s="206"/>
      <c r="S75" s="206"/>
      <c r="T75" s="206"/>
    </row>
    <row r="76" spans="6:20">
      <c r="F76" s="206"/>
      <c r="M76" s="206"/>
      <c r="O76" s="206"/>
      <c r="P76" s="206"/>
      <c r="Q76" s="206"/>
      <c r="R76" s="206"/>
      <c r="S76" s="206"/>
      <c r="T76" s="206"/>
    </row>
    <row r="77" spans="6:20">
      <c r="F77" s="206"/>
      <c r="M77" s="206"/>
      <c r="O77" s="206"/>
      <c r="P77" s="206"/>
      <c r="Q77" s="206"/>
      <c r="R77" s="206"/>
      <c r="S77" s="206"/>
      <c r="T77" s="206"/>
    </row>
    <row r="78" spans="6:20">
      <c r="F78" s="206"/>
      <c r="M78" s="206"/>
      <c r="O78" s="206"/>
      <c r="P78" s="206"/>
      <c r="Q78" s="206"/>
      <c r="R78" s="206"/>
      <c r="S78" s="206"/>
      <c r="T78" s="206"/>
    </row>
    <row r="79" spans="6:20">
      <c r="F79" s="206"/>
      <c r="M79" s="206"/>
      <c r="O79" s="206"/>
      <c r="P79" s="206"/>
      <c r="Q79" s="206"/>
      <c r="R79" s="206"/>
      <c r="S79" s="206"/>
      <c r="T79" s="206"/>
    </row>
    <row r="80" spans="6:20">
      <c r="M80" s="206"/>
      <c r="O80" s="206"/>
      <c r="P80" s="206"/>
      <c r="Q80" s="206"/>
      <c r="R80" s="206"/>
      <c r="S80" s="206"/>
      <c r="T80" s="206"/>
    </row>
    <row r="81" spans="13:20">
      <c r="M81" s="206"/>
      <c r="O81" s="206"/>
      <c r="P81" s="206"/>
      <c r="Q81" s="206"/>
      <c r="R81" s="206"/>
      <c r="S81" s="206"/>
      <c r="T81" s="206"/>
    </row>
  </sheetData>
  <autoFilter ref="A9:AW23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G34" sqref="G34"/>
    </sheetView>
  </sheetViews>
  <sheetFormatPr defaultRowHeight="15"/>
  <cols>
    <col min="1" max="1" width="3.7109375" style="69" customWidth="1"/>
    <col min="2" max="2" width="5.28515625" style="69" customWidth="1"/>
    <col min="3" max="3" width="15.140625" style="69" customWidth="1"/>
    <col min="4" max="4" width="16" style="69" customWidth="1"/>
    <col min="5" max="5" width="3.85546875" style="69" customWidth="1"/>
    <col min="6" max="6" width="6" style="69" customWidth="1"/>
    <col min="7" max="8" width="6.7109375" style="69" customWidth="1"/>
    <col min="9" max="9" width="10.42578125" style="69" customWidth="1"/>
    <col min="10" max="10" width="5.85546875" style="69" customWidth="1"/>
    <col min="11" max="11" width="8.28515625" style="69" customWidth="1"/>
    <col min="12" max="12" width="5" style="69" customWidth="1"/>
    <col min="13" max="13" width="6.42578125" style="69" customWidth="1"/>
    <col min="14" max="14" width="3.140625" style="69" customWidth="1"/>
    <col min="15" max="15" width="6.42578125" style="69" customWidth="1"/>
    <col min="16" max="16" width="5" style="105" customWidth="1"/>
    <col min="17" max="17" width="6.7109375" style="69" customWidth="1"/>
    <col min="18" max="18" width="1.5703125" style="69" customWidth="1"/>
    <col min="19" max="19" width="5.7109375" style="69" customWidth="1"/>
    <col min="20" max="20" width="1.5703125" style="69" customWidth="1"/>
    <col min="21" max="21" width="5" style="69" customWidth="1"/>
    <col min="22" max="22" width="1.5703125" style="69" customWidth="1"/>
    <col min="23" max="23" width="5.5703125" style="69" customWidth="1"/>
  </cols>
  <sheetData>
    <row r="1" spans="1:23" ht="13.5" customHeight="1">
      <c r="B1" s="67" t="s">
        <v>123</v>
      </c>
      <c r="C1" s="78"/>
      <c r="D1" s="68"/>
      <c r="E1" s="68"/>
      <c r="F1" s="68"/>
      <c r="G1" s="68"/>
      <c r="I1" s="70"/>
      <c r="L1" s="71" t="str">
        <f>+IF(LEFT($U$4,1)="T","Mẫu số 01 - TT","Mẫu số 02 - TT")</f>
        <v>Mẫu số 01 - TT</v>
      </c>
      <c r="N1" s="72"/>
      <c r="O1" s="72"/>
      <c r="P1" s="73"/>
      <c r="Q1" s="74"/>
      <c r="R1" s="74"/>
      <c r="S1" s="74"/>
      <c r="T1" s="74"/>
      <c r="U1" s="74"/>
      <c r="V1" s="75"/>
      <c r="W1" s="74"/>
    </row>
    <row r="2" spans="1:23" ht="13.5" customHeight="1">
      <c r="B2" s="78" t="s">
        <v>124</v>
      </c>
      <c r="C2" s="78"/>
      <c r="D2" s="68"/>
      <c r="E2" s="68"/>
      <c r="F2" s="68"/>
      <c r="G2" s="68"/>
      <c r="H2" s="70"/>
      <c r="I2" s="70"/>
      <c r="L2" s="79" t="str">
        <f>IF($Q$4=2015,"(Ban hành theo Thông tư số 200/2014/TT-BTC ","(Ban hành kèm theo QĐ 48/2006/QĐ-BTC")</f>
        <v>(Ban hành kèm theo QĐ 48/2006/QĐ-BTC</v>
      </c>
      <c r="N2" s="80"/>
      <c r="O2" s="80"/>
      <c r="P2" s="73"/>
      <c r="Q2" s="74"/>
      <c r="R2" s="74"/>
      <c r="S2" s="74"/>
      <c r="T2" s="74"/>
      <c r="U2" s="74"/>
      <c r="V2" s="81"/>
      <c r="W2" s="82" t="s">
        <v>110</v>
      </c>
    </row>
    <row r="3" spans="1:23" ht="13.5" customHeight="1">
      <c r="B3" s="78"/>
      <c r="C3" s="68"/>
      <c r="D3" s="68"/>
      <c r="E3" s="68"/>
      <c r="G3" s="68"/>
      <c r="I3" s="83"/>
      <c r="L3" s="79" t="str">
        <f>IF($Q$4=2015,"Ngày 22/12/2014 của Bộ Tài chính)","ngày 24/09/2006 của Bộ trưởng BTC)")</f>
        <v>ngày 24/09/2006 của Bộ trưởng BTC)</v>
      </c>
      <c r="N3" s="80"/>
      <c r="O3" s="80"/>
      <c r="P3" s="84"/>
      <c r="Q3" s="82" t="s">
        <v>126</v>
      </c>
      <c r="R3" s="218"/>
      <c r="S3" s="219" t="s">
        <v>189</v>
      </c>
      <c r="T3" s="218"/>
      <c r="U3" s="219" t="s">
        <v>111</v>
      </c>
      <c r="V3" s="81"/>
      <c r="W3" s="82" t="s">
        <v>111</v>
      </c>
    </row>
    <row r="4" spans="1:23" ht="21.75">
      <c r="B4" s="78"/>
      <c r="C4" s="68"/>
      <c r="D4" s="68"/>
      <c r="E4" s="68"/>
      <c r="G4" s="85"/>
      <c r="H4" s="86" t="str">
        <f>IF(LEFT($U$4,1)="T","PHIẾU THU","PHIẾU CHI")</f>
        <v>PHIẾU THU</v>
      </c>
      <c r="J4" s="85"/>
      <c r="K4" s="87"/>
      <c r="M4" s="87"/>
      <c r="N4" s="87"/>
      <c r="O4" s="87"/>
      <c r="P4" s="88"/>
      <c r="Q4" s="115">
        <v>2008</v>
      </c>
      <c r="R4" s="89"/>
      <c r="S4" s="217">
        <v>1</v>
      </c>
      <c r="T4" s="89"/>
      <c r="U4" s="116" t="s">
        <v>194</v>
      </c>
      <c r="V4" s="117"/>
      <c r="W4" s="118">
        <v>1</v>
      </c>
    </row>
    <row r="5" spans="1:23">
      <c r="B5" s="78"/>
      <c r="C5" s="68"/>
      <c r="D5" s="68"/>
      <c r="E5" s="68"/>
      <c r="G5" s="85"/>
      <c r="H5" s="90" t="str">
        <f>IF(ISNA(VLOOKUP($M$7,TM,3,0)),"","Ngày  "&amp;DAY(VLOOKUP($M$7,TM,3,0))&amp;"  tháng  "&amp;$S$4&amp;"  năm  "&amp;$Q$4)</f>
        <v>Ngày  1  tháng  1  năm  2008</v>
      </c>
      <c r="J5" s="85"/>
      <c r="K5" s="87"/>
      <c r="M5" s="87"/>
      <c r="N5" s="87"/>
      <c r="O5" s="87"/>
      <c r="P5" s="88"/>
      <c r="Q5" s="82"/>
      <c r="V5" s="77"/>
      <c r="W5" s="82"/>
    </row>
    <row r="6" spans="1:23" ht="13.5">
      <c r="A6" s="93"/>
      <c r="B6" s="91"/>
      <c r="C6" s="92"/>
      <c r="D6" s="92"/>
      <c r="E6" s="92"/>
      <c r="F6" s="93"/>
      <c r="G6" s="94"/>
      <c r="H6" s="94"/>
      <c r="I6" s="94"/>
      <c r="J6" s="93"/>
      <c r="K6" s="93"/>
      <c r="L6" s="95" t="s">
        <v>112</v>
      </c>
      <c r="M6" s="93"/>
      <c r="N6" s="93"/>
      <c r="O6" s="96"/>
      <c r="P6" s="97"/>
      <c r="Q6" s="93"/>
      <c r="R6" s="93"/>
      <c r="S6" s="93"/>
      <c r="T6" s="93"/>
      <c r="U6" s="93"/>
      <c r="V6" s="98"/>
      <c r="W6" s="82"/>
    </row>
    <row r="7" spans="1:23" ht="13.5" customHeight="1">
      <c r="A7" s="93"/>
      <c r="B7" s="93"/>
      <c r="C7" s="93"/>
      <c r="D7" s="93"/>
      <c r="E7" s="91"/>
      <c r="F7" s="94"/>
      <c r="G7" s="94"/>
      <c r="H7" s="94"/>
      <c r="I7" s="94"/>
      <c r="J7" s="93"/>
      <c r="K7" s="93"/>
      <c r="L7" s="99" t="str">
        <f>"Số :    "</f>
        <v xml:space="preserve">Số :    </v>
      </c>
      <c r="M7" s="100" t="str">
        <f>$U$4&amp;IF($W$4&gt;=10,$W$4,"0"&amp;$W$4)</f>
        <v>T01</v>
      </c>
      <c r="N7" s="96"/>
      <c r="O7" s="96"/>
      <c r="P7" s="97"/>
      <c r="Q7" s="93"/>
      <c r="R7" s="93"/>
      <c r="S7" s="93"/>
      <c r="T7" s="93"/>
      <c r="U7" s="93"/>
      <c r="V7" s="93"/>
      <c r="W7" s="93"/>
    </row>
    <row r="8" spans="1:23" ht="13.5">
      <c r="A8" s="93"/>
      <c r="B8" s="93"/>
      <c r="C8" s="93"/>
      <c r="D8" s="93"/>
      <c r="E8" s="91"/>
      <c r="F8" s="91"/>
      <c r="G8" s="91"/>
      <c r="H8" s="91"/>
      <c r="I8" s="91"/>
      <c r="J8" s="93"/>
      <c r="K8" s="101"/>
      <c r="L8" s="95" t="s">
        <v>113</v>
      </c>
      <c r="M8" s="102" t="str">
        <f>IF($U$4="T","1111",IF($U$4="C",IF(ISNA(VLOOKUP($M$7,TM,11,0)),"",VLOOKUP($M$7,TM,10,0)),""))</f>
        <v>1111</v>
      </c>
      <c r="N8" s="96"/>
      <c r="O8" s="96"/>
      <c r="P8" s="103"/>
      <c r="Q8" s="93"/>
      <c r="R8" s="93"/>
      <c r="S8" s="93"/>
      <c r="T8" s="93"/>
      <c r="U8" s="93"/>
      <c r="V8" s="93"/>
      <c r="W8" s="93"/>
    </row>
    <row r="9" spans="1:23" ht="13.5">
      <c r="A9" s="93"/>
      <c r="B9" s="93"/>
      <c r="C9" s="93"/>
      <c r="D9" s="93"/>
      <c r="E9" s="91"/>
      <c r="F9" s="91"/>
      <c r="G9" s="91"/>
      <c r="H9" s="91"/>
      <c r="I9" s="91"/>
      <c r="J9" s="93"/>
      <c r="K9" s="101"/>
      <c r="L9" s="99" t="s">
        <v>114</v>
      </c>
      <c r="M9" s="102" t="str">
        <f>IF($U$4="C","1111",IF($U$4="T",IF(ISNA(VLOOKUP($M$7,TM,10,0)),"",VLOOKUP($M$7,TM,11,0)),""))</f>
        <v>4111</v>
      </c>
      <c r="N9" s="96"/>
      <c r="O9" s="96"/>
      <c r="P9" s="103"/>
      <c r="Q9" s="93"/>
      <c r="R9" s="93"/>
      <c r="S9" s="93"/>
      <c r="T9" s="93"/>
      <c r="U9" s="93"/>
      <c r="V9" s="93"/>
      <c r="W9" s="93"/>
    </row>
    <row r="10" spans="1:23">
      <c r="A10" s="93"/>
      <c r="B10" s="93"/>
      <c r="C10" s="104" t="str">
        <f>IF($U$4="T","Họ tên người nộp tiền :","Họ và tên người nhận tiền :")&amp;" "&amp;IF(ISNA(VLOOKUP($M$7,TM,8,0)),"",VLOOKUP($M$7,TM,8,0))</f>
        <v>Họ tên người nộp tiền : Nguyễn Thiện Duy</v>
      </c>
      <c r="D10" s="91"/>
      <c r="E10" s="93"/>
      <c r="F10" s="91"/>
      <c r="G10" s="91"/>
      <c r="H10" s="91"/>
      <c r="I10" s="91"/>
      <c r="J10" s="93"/>
      <c r="K10" s="91"/>
      <c r="L10" s="99"/>
      <c r="M10" s="102"/>
      <c r="N10" s="96"/>
      <c r="O10" s="91"/>
      <c r="P10" s="97"/>
      <c r="Q10" s="93"/>
      <c r="R10" s="93"/>
      <c r="S10" s="93"/>
      <c r="T10" s="93"/>
      <c r="U10" s="93"/>
      <c r="V10" s="93"/>
      <c r="W10" s="93"/>
    </row>
    <row r="11" spans="1:23">
      <c r="C11" s="104" t="str">
        <f>"Địa chỉ :"</f>
        <v>Địa chỉ :</v>
      </c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84"/>
    </row>
    <row r="12" spans="1:23">
      <c r="C12" s="104" t="str">
        <f>IF($U$4="T","Lý do nộp :","Lý do chi :")&amp;" "&amp;IF(ISNA(VLOOKUP($M$7,TM,6,0)),"",VLOOKUP($M$7,TM,6,0))</f>
        <v>Lý do nộp : Thu vốn đầu tư ban đầu - Nguyễn Thiện Duy</v>
      </c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</row>
    <row r="13" spans="1:23">
      <c r="C13" s="69" t="s">
        <v>128</v>
      </c>
      <c r="D13" s="106">
        <f ca="1">SUMIF(TM,$M$7,TH)</f>
        <v>2400000000</v>
      </c>
      <c r="E13" s="69" t="s">
        <v>115</v>
      </c>
      <c r="F13" s="106"/>
      <c r="G13" s="106"/>
      <c r="P13" s="69"/>
    </row>
    <row r="14" spans="1:23">
      <c r="C14" s="69" t="str">
        <f ca="1">"Viết bằng chữ: " &amp;[1]!VND('IN - TC'!D13, TRUE)</f>
        <v>Viết bằng chữ: Hai tỷ, bốn trăm triệu đồng</v>
      </c>
      <c r="P14" s="84"/>
    </row>
    <row r="15" spans="1:23">
      <c r="C15" s="104" t="str">
        <f>"Kèm theo :     " &amp;IF(OR(ISNA(VLOOKUP($M$7,TM,7,0)),VLOOKUP($M$7,TM,7,0)=""),"                           ","    HĐ  "&amp;(VLOOKUP($M$7,TM,7,0))) &amp; "     chứng từ gốc. "</f>
        <v xml:space="preserve">Kèm theo :                                     chứng từ gốc. </v>
      </c>
      <c r="D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7"/>
    </row>
    <row r="16" spans="1:23">
      <c r="K16" s="108"/>
      <c r="L16" s="108"/>
      <c r="M16" s="122" t="str">
        <f>H5</f>
        <v>Ngày  1  tháng  1  năm  2008</v>
      </c>
      <c r="N16" s="108"/>
      <c r="O16" s="108"/>
      <c r="P16" s="69"/>
    </row>
    <row r="17" spans="1:23">
      <c r="C17" s="109" t="s">
        <v>116</v>
      </c>
      <c r="D17" s="110"/>
      <c r="E17" s="109" t="s">
        <v>13</v>
      </c>
      <c r="F17" s="110"/>
      <c r="G17" s="110"/>
      <c r="H17" s="109" t="str">
        <f>IF($U$4="C","Thủ quỹ","Người nộp tiền")</f>
        <v>Người nộp tiền</v>
      </c>
      <c r="J17" s="109" t="s">
        <v>117</v>
      </c>
      <c r="K17" s="110"/>
      <c r="M17" s="111" t="str">
        <f>IF($U$4="T","Thủ quỹ","Người nhận tiền")</f>
        <v>Thủ quỹ</v>
      </c>
      <c r="N17" s="112"/>
      <c r="O17" s="112"/>
      <c r="P17" s="69"/>
    </row>
    <row r="18" spans="1:23">
      <c r="A18" s="110"/>
      <c r="B18" s="110"/>
      <c r="C18" s="113" t="s">
        <v>118</v>
      </c>
      <c r="E18" s="113" t="s">
        <v>119</v>
      </c>
      <c r="H18" s="113" t="s">
        <v>119</v>
      </c>
      <c r="I18" s="110"/>
      <c r="J18" s="113" t="s">
        <v>119</v>
      </c>
      <c r="L18" s="110"/>
      <c r="M18" s="113" t="s">
        <v>119</v>
      </c>
      <c r="P18" s="110"/>
      <c r="Q18" s="110"/>
      <c r="R18" s="110"/>
      <c r="S18" s="110"/>
      <c r="T18" s="110"/>
      <c r="U18" s="110"/>
      <c r="V18" s="110"/>
      <c r="W18" s="110"/>
    </row>
    <row r="19" spans="1:23">
      <c r="P19" s="69"/>
    </row>
    <row r="20" spans="1:23">
      <c r="P20" s="69"/>
    </row>
    <row r="21" spans="1:23">
      <c r="P21" s="69"/>
    </row>
    <row r="22" spans="1:23">
      <c r="I22" s="76"/>
      <c r="P22" s="69"/>
    </row>
    <row r="23" spans="1:23">
      <c r="P23" s="69"/>
    </row>
    <row r="24" spans="1:23">
      <c r="B24" s="69" t="s">
        <v>120</v>
      </c>
      <c r="P24" s="69"/>
    </row>
    <row r="25" spans="1:23">
      <c r="B25" s="104"/>
      <c r="C25" s="104" t="s">
        <v>121</v>
      </c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69"/>
    </row>
    <row r="26" spans="1:23">
      <c r="B26" s="104"/>
      <c r="C26" s="104" t="s">
        <v>122</v>
      </c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69"/>
    </row>
    <row r="45" spans="5:5">
      <c r="E45" s="114"/>
    </row>
    <row r="46" spans="5:5">
      <c r="E46" s="114"/>
    </row>
    <row r="47" spans="5:5">
      <c r="E47" s="114"/>
    </row>
    <row r="48" spans="5:5">
      <c r="E48" s="114"/>
    </row>
    <row r="49" spans="5:5">
      <c r="E49" s="114"/>
    </row>
    <row r="50" spans="5:5">
      <c r="E50" s="114"/>
    </row>
    <row r="51" spans="5:5">
      <c r="E51" s="114"/>
    </row>
    <row r="52" spans="5:5">
      <c r="E52" s="114"/>
    </row>
    <row r="53" spans="5:5">
      <c r="E53" s="114"/>
    </row>
    <row r="54" spans="5:5">
      <c r="E54" s="114"/>
    </row>
    <row r="55" spans="5:5">
      <c r="E55" s="114"/>
    </row>
    <row r="56" spans="5:5">
      <c r="E56" s="114"/>
    </row>
    <row r="57" spans="5:5">
      <c r="E57" s="114"/>
    </row>
    <row r="58" spans="5:5">
      <c r="E58" s="114"/>
    </row>
    <row r="59" spans="5:5">
      <c r="E59" s="114"/>
    </row>
    <row r="60" spans="5:5">
      <c r="E60" s="114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P24"/>
  <sheetViews>
    <sheetView topLeftCell="A8" zoomScale="90" workbookViewId="0">
      <pane ySplit="4" topLeftCell="A12" activePane="bottomLeft" state="frozen"/>
      <selection activeCell="B1" sqref="B1:B2"/>
      <selection pane="bottomLeft" activeCell="E27" sqref="E27"/>
    </sheetView>
  </sheetViews>
  <sheetFormatPr defaultRowHeight="15"/>
  <cols>
    <col min="1" max="1" width="10.7109375" style="125" customWidth="1"/>
    <col min="2" max="2" width="11.5703125" style="125" customWidth="1"/>
    <col min="3" max="4" width="7.85546875" style="125" customWidth="1"/>
    <col min="5" max="5" width="34.5703125" style="125" customWidth="1"/>
    <col min="6" max="6" width="6.85546875" style="125" customWidth="1"/>
    <col min="7" max="7" width="16" style="125" customWidth="1"/>
    <col min="8" max="8" width="16.28515625" style="125" customWidth="1"/>
    <col min="9" max="9" width="15.85546875" style="125" customWidth="1"/>
    <col min="10" max="10" width="8.42578125" style="125" customWidth="1"/>
    <col min="11" max="11" width="2.140625" style="125" customWidth="1"/>
    <col min="12" max="12" width="10" style="125" customWidth="1"/>
    <col min="13" max="13" width="3.28515625" style="125" hidden="1" customWidth="1"/>
    <col min="14" max="15" width="5" style="125" hidden="1" customWidth="1"/>
    <col min="16" max="16" width="9.140625" style="125" hidden="1" customWidth="1"/>
    <col min="17" max="16384" width="9.140625" style="125"/>
  </cols>
  <sheetData>
    <row r="1" spans="1:15" s="2" customFormat="1" ht="16.5" customHeight="1">
      <c r="A1" s="150" t="s">
        <v>123</v>
      </c>
      <c r="B1" s="1"/>
      <c r="C1" s="1"/>
      <c r="D1" s="1"/>
      <c r="E1" s="1"/>
      <c r="G1" s="306" t="s">
        <v>129</v>
      </c>
      <c r="H1" s="306"/>
      <c r="I1" s="306"/>
      <c r="J1" s="306"/>
    </row>
    <row r="2" spans="1:15" s="2" customFormat="1" ht="16.5" customHeight="1">
      <c r="A2" s="104" t="s">
        <v>124</v>
      </c>
      <c r="B2" s="4"/>
      <c r="C2" s="4"/>
      <c r="D2" s="4"/>
      <c r="E2" s="4"/>
      <c r="G2" s="307" t="s">
        <v>130</v>
      </c>
      <c r="H2" s="307"/>
      <c r="I2" s="307"/>
      <c r="J2" s="307"/>
    </row>
    <row r="3" spans="1:15" s="2" customFormat="1" ht="16.5" customHeight="1">
      <c r="A3" s="3"/>
      <c r="B3" s="4"/>
      <c r="C3" s="123"/>
      <c r="D3" s="123"/>
      <c r="E3" s="4"/>
      <c r="G3" s="307"/>
      <c r="H3" s="307"/>
      <c r="I3" s="307"/>
      <c r="J3" s="307"/>
    </row>
    <row r="4" spans="1:15" s="2" customFormat="1" ht="6.75" customHeight="1">
      <c r="A4" s="4"/>
      <c r="B4" s="4"/>
      <c r="C4" s="4"/>
      <c r="D4" s="4"/>
      <c r="E4" s="4"/>
      <c r="G4" s="124"/>
      <c r="H4" s="124"/>
      <c r="I4" s="124"/>
      <c r="J4" s="124"/>
    </row>
    <row r="5" spans="1:15" ht="24.75" customHeight="1">
      <c r="A5" s="308" t="s">
        <v>131</v>
      </c>
      <c r="B5" s="308"/>
      <c r="C5" s="308"/>
      <c r="D5" s="308"/>
      <c r="E5" s="308"/>
      <c r="F5" s="308"/>
      <c r="G5" s="308"/>
      <c r="H5" s="308"/>
      <c r="I5" s="308"/>
      <c r="J5" s="308"/>
    </row>
    <row r="6" spans="1:15">
      <c r="A6" s="309" t="s">
        <v>132</v>
      </c>
      <c r="B6" s="309"/>
      <c r="C6" s="309"/>
      <c r="D6" s="309"/>
      <c r="E6" s="309"/>
      <c r="F6" s="309"/>
      <c r="G6" s="309"/>
      <c r="H6" s="309"/>
      <c r="I6" s="309"/>
      <c r="J6" s="309"/>
    </row>
    <row r="7" spans="1:15">
      <c r="A7" s="309" t="s">
        <v>133</v>
      </c>
      <c r="B7" s="309"/>
      <c r="C7" s="309"/>
      <c r="D7" s="309"/>
      <c r="E7" s="309"/>
      <c r="F7" s="309"/>
      <c r="G7" s="309"/>
      <c r="H7" s="309"/>
      <c r="I7" s="309"/>
      <c r="J7" s="309"/>
    </row>
    <row r="8" spans="1:15">
      <c r="A8" s="126"/>
      <c r="I8" s="126" t="s">
        <v>134</v>
      </c>
    </row>
    <row r="9" spans="1:15" ht="27.75" customHeight="1" thickBot="1">
      <c r="A9" s="310" t="s">
        <v>21</v>
      </c>
      <c r="B9" s="310" t="s">
        <v>135</v>
      </c>
      <c r="C9" s="312" t="s">
        <v>136</v>
      </c>
      <c r="D9" s="312"/>
      <c r="E9" s="312" t="s">
        <v>0</v>
      </c>
      <c r="F9" s="310" t="s">
        <v>15</v>
      </c>
      <c r="G9" s="312" t="s">
        <v>22</v>
      </c>
      <c r="H9" s="312"/>
      <c r="I9" s="312" t="s">
        <v>137</v>
      </c>
      <c r="J9" s="312" t="s">
        <v>138</v>
      </c>
      <c r="L9" s="151"/>
      <c r="N9" s="309" t="s">
        <v>148</v>
      </c>
      <c r="O9" s="309"/>
    </row>
    <row r="10" spans="1:15" ht="24" customHeight="1" thickBot="1">
      <c r="A10" s="311"/>
      <c r="B10" s="311"/>
      <c r="C10" s="127" t="s">
        <v>139</v>
      </c>
      <c r="D10" s="127" t="s">
        <v>140</v>
      </c>
      <c r="E10" s="312"/>
      <c r="F10" s="311"/>
      <c r="G10" s="127" t="s">
        <v>23</v>
      </c>
      <c r="H10" s="127" t="s">
        <v>24</v>
      </c>
      <c r="I10" s="312"/>
      <c r="J10" s="312"/>
      <c r="L10" s="153" t="s">
        <v>195</v>
      </c>
      <c r="N10" s="154">
        <f>IF(L10="Quý I",1,IF(L10="Quý II",4,IF(L10="Quý III",7,IF(L10="Quý IV",10,""))))</f>
        <v>1</v>
      </c>
      <c r="O10" s="155">
        <f>IF(L10="Quý I",3,IF(L10="Quý II",6,IF(L10="Quý III",9,IF(L10="Quý IV",12,""))))</f>
        <v>3</v>
      </c>
    </row>
    <row r="11" spans="1:15" s="128" customFormat="1" ht="11.25" customHeight="1">
      <c r="A11" s="129" t="s">
        <v>2</v>
      </c>
      <c r="B11" s="129" t="s">
        <v>3</v>
      </c>
      <c r="C11" s="129" t="s">
        <v>4</v>
      </c>
      <c r="D11" s="129" t="s">
        <v>5</v>
      </c>
      <c r="E11" s="129" t="s">
        <v>6</v>
      </c>
      <c r="F11" s="129" t="s">
        <v>141</v>
      </c>
      <c r="G11" s="129">
        <v>1</v>
      </c>
      <c r="H11" s="129">
        <v>2</v>
      </c>
      <c r="I11" s="129">
        <v>3</v>
      </c>
      <c r="J11" s="129" t="s">
        <v>142</v>
      </c>
    </row>
    <row r="12" spans="1:15" s="130" customFormat="1" ht="17.25" customHeight="1">
      <c r="A12" s="131"/>
      <c r="B12" s="131"/>
      <c r="C12" s="131"/>
      <c r="D12" s="131"/>
      <c r="E12" s="131" t="s">
        <v>143</v>
      </c>
      <c r="F12" s="132"/>
      <c r="G12" s="133"/>
      <c r="H12" s="131"/>
      <c r="I12" s="152">
        <f>IF($L$10="All",CDPS!$C$10,CDPS!$C$10+SUMIF(_N111,"x",TH)-SUMIF(_C111,"x",TH))</f>
        <v>0</v>
      </c>
      <c r="J12" s="131"/>
    </row>
    <row r="13" spans="1:15" ht="17.25" customHeight="1">
      <c r="A13" s="134">
        <f ca="1">IF(ROWS($1:1)&gt;COUNT(Dong1),"",OFFSET(TH!C$1,SMALL(Dong1,ROWS($1:1)),))</f>
        <v>39479</v>
      </c>
      <c r="B13" s="134">
        <f ca="1">IF(ROWS($1:1)&gt;COUNT(Dong1),"",OFFSET(TH!E$1,SMALL(Dong1,ROWS($1:1)),))</f>
        <v>39479</v>
      </c>
      <c r="C13" s="135" t="str">
        <f ca="1">IF(ROWS($1:1)&gt;COUNT(Dong1),"",IF(OFFSET(TH!J$1,SMALL(Dong1,ROWS($1:1)),)="1111",OFFSET(TH!D$1,SMALL(Dong1,ROWS($1:1)),),""))</f>
        <v>T01</v>
      </c>
      <c r="D13" s="136" t="str">
        <f ca="1">IF(ROWS($1:1)&gt;COUNT(Dong1),"",IF(OFFSET(TH!K$1,SMALL(Dong1,ROWS($1:1)),)="1111",OFFSET(TH!D$1,SMALL(Dong1,ROWS($1:1)),),""))</f>
        <v/>
      </c>
      <c r="E13" s="137" t="str">
        <f ca="1">IF(ROWS($1:1)&gt;COUNT(Dong1),"",OFFSET(TH!F$1,SMALL(Dong1,ROWS($1:1)),))</f>
        <v>Thu vốn đầu tư ban đầu - Nguyễn Thiện Duy</v>
      </c>
      <c r="F13" s="138" t="str">
        <f ca="1">IF(ROWS($1:1)&gt;COUNT(Dong1),"",IF(OFFSET(TH!K$1,SMALL(Dong1,ROWS($1:1)),)="1111",OFFSET(TH!J$1,SMALL(Dong1,ROWS($1:1)),),OFFSET(TH!K$1,SMALL(Dong1,ROWS($1:1)),)))</f>
        <v>4111</v>
      </c>
      <c r="G13" s="139">
        <f ca="1">IF(ROWS($1:1)&gt;COUNT(Dong1),"",IF(OFFSET(TH!J$1,SMALL(Dong1,ROWS($1:1)),)="1111",OFFSET(TH!I$1,SMALL(Dong1,ROWS($1:1)),),0))</f>
        <v>2400000000</v>
      </c>
      <c r="H13" s="137">
        <f ca="1">IF(ROWS($1:1)&gt;COUNT(Dong1),"",IF(OFFSET(TH!K$1,SMALL(Dong1,ROWS($1:1)),)="1111",OFFSET(TH!I$1,SMALL(Dong1,ROWS($1:1)),),0))</f>
        <v>0</v>
      </c>
      <c r="I13" s="135">
        <f t="shared" ref="I13:I15" ca="1" si="0">IF(E13&lt;&gt;"",I12+G13-H13,0)</f>
        <v>2400000000</v>
      </c>
      <c r="J13" s="140"/>
    </row>
    <row r="14" spans="1:15" ht="17.25" customHeight="1">
      <c r="A14" s="134">
        <f ca="1">IF(ROWS($1:2)&gt;COUNT(Dong1),"",OFFSET(TH!C$1,SMALL(Dong1,ROWS($1:2)),))</f>
        <v>39479</v>
      </c>
      <c r="B14" s="134">
        <f ca="1">IF(ROWS($1:2)&gt;COUNT(Dong1),"",OFFSET(TH!E$1,SMALL(Dong1,ROWS($1:2)),))</f>
        <v>39479</v>
      </c>
      <c r="C14" s="135" t="str">
        <f ca="1">IF(ROWS($1:2)&gt;COUNT(Dong1),"",IF(OFFSET(TH!J$1,SMALL(Dong1,ROWS($1:2)),)="1111",OFFSET(TH!D$1,SMALL(Dong1,ROWS($1:2)),),""))</f>
        <v>T02</v>
      </c>
      <c r="D14" s="136" t="str">
        <f ca="1">IF(ROWS($1:2)&gt;COUNT(Dong1),"",IF(OFFSET(TH!K$1,SMALL(Dong1,ROWS($1:2)),)="1111",OFFSET(TH!D$1,SMALL(Dong1,ROWS($1:2)),),""))</f>
        <v/>
      </c>
      <c r="E14" s="137" t="str">
        <f ca="1">IF(ROWS($1:2)&gt;COUNT(Dong1),"",OFFSET(TH!F$1,SMALL(Dong1,ROWS($1:2)),))</f>
        <v>Thu vốn đầu tư ban đầu  - Lê Thị Hoa</v>
      </c>
      <c r="F14" s="138" t="str">
        <f ca="1">IF(ROWS($1:2)&gt;COUNT(Dong1),"",IF(OFFSET(TH!K$1,SMALL(Dong1,ROWS($1:2)),)="1111",OFFSET(TH!J$1,SMALL(Dong1,ROWS($1:2)),),OFFSET(TH!K$1,SMALL(Dong1,ROWS($1:2)),)))</f>
        <v>4111</v>
      </c>
      <c r="G14" s="139">
        <f ca="1">IF(ROWS($1:2)&gt;COUNT(Dong1),"",IF(OFFSET(TH!J$1,SMALL(Dong1,ROWS($1:2)),)="1111",OFFSET(TH!I$1,SMALL(Dong1,ROWS($1:2)),),0))</f>
        <v>1600000000</v>
      </c>
      <c r="H14" s="137">
        <f ca="1">IF(ROWS($1:2)&gt;COUNT(Dong1),"",IF(OFFSET(TH!K$1,SMALL(Dong1,ROWS($1:2)),)="1111",OFFSET(TH!I$1,SMALL(Dong1,ROWS($1:2)),),0))</f>
        <v>0</v>
      </c>
      <c r="I14" s="135">
        <f t="shared" ca="1" si="0"/>
        <v>4000000000</v>
      </c>
      <c r="J14" s="140"/>
    </row>
    <row r="15" spans="1:15" ht="17.25" customHeight="1">
      <c r="A15" s="134" t="str">
        <f ca="1">IF(ROWS($1:3)&gt;COUNT(Dong1),"",OFFSET(TH!C$1,SMALL(Dong1,ROWS($1:3)),))</f>
        <v/>
      </c>
      <c r="B15" s="134" t="str">
        <f ca="1">IF(ROWS($1:3)&gt;COUNT(Dong1),"",OFFSET(TH!E$1,SMALL(Dong1,ROWS($1:3)),))</f>
        <v/>
      </c>
      <c r="C15" s="135" t="str">
        <f ca="1">IF(ROWS($1:3)&gt;COUNT(Dong1),"",IF(OFFSET(TH!J$1,SMALL(Dong1,ROWS($1:3)),)="1111",OFFSET(TH!D$1,SMALL(Dong1,ROWS($1:3)),),""))</f>
        <v/>
      </c>
      <c r="D15" s="136" t="str">
        <f ca="1">IF(ROWS($1:3)&gt;COUNT(Dong1),"",IF(OFFSET(TH!K$1,SMALL(Dong1,ROWS($1:3)),)="1111",OFFSET(TH!D$1,SMALL(Dong1,ROWS($1:3)),),""))</f>
        <v/>
      </c>
      <c r="E15" s="137" t="str">
        <f ca="1">IF(ROWS($1:3)&gt;COUNT(Dong1),"",OFFSET(TH!F$1,SMALL(Dong1,ROWS($1:3)),))</f>
        <v/>
      </c>
      <c r="F15" s="138" t="str">
        <f ca="1">IF(ROWS($1:3)&gt;COUNT(Dong1),"",IF(OFFSET(TH!K$1,SMALL(Dong1,ROWS($1:3)),)="1111",OFFSET(TH!J$1,SMALL(Dong1,ROWS($1:3)),),OFFSET(TH!K$1,SMALL(Dong1,ROWS($1:3)),)))</f>
        <v/>
      </c>
      <c r="G15" s="139" t="str">
        <f ca="1">IF(ROWS($1:3)&gt;COUNT(Dong1),"",IF(OFFSET(TH!J$1,SMALL(Dong1,ROWS($1:3)),)="1111",OFFSET(TH!I$1,SMALL(Dong1,ROWS($1:3)),),0))</f>
        <v/>
      </c>
      <c r="H15" s="137" t="str">
        <f ca="1">IF(ROWS($1:3)&gt;COUNT(Dong1),"",IF(OFFSET(TH!K$1,SMALL(Dong1,ROWS($1:3)),)="1111",OFFSET(TH!I$1,SMALL(Dong1,ROWS($1:3)),),0))</f>
        <v/>
      </c>
      <c r="I15" s="135">
        <f t="shared" ca="1" si="0"/>
        <v>0</v>
      </c>
      <c r="J15" s="140"/>
    </row>
    <row r="16" spans="1:15" s="130" customFormat="1" ht="17.25" customHeight="1">
      <c r="A16" s="141"/>
      <c r="B16" s="141"/>
      <c r="C16" s="141"/>
      <c r="D16" s="141"/>
      <c r="E16" s="141" t="s">
        <v>144</v>
      </c>
      <c r="F16" s="142" t="s">
        <v>20</v>
      </c>
      <c r="G16" s="141">
        <f ca="1">SUM(G13:G15)</f>
        <v>4000000000</v>
      </c>
      <c r="H16" s="141">
        <f ca="1">SUM(H13:H15)</f>
        <v>0</v>
      </c>
      <c r="I16" s="142" t="s">
        <v>20</v>
      </c>
      <c r="J16" s="142" t="s">
        <v>20</v>
      </c>
    </row>
    <row r="17" spans="1:10" s="130" customFormat="1" ht="17.25" customHeight="1">
      <c r="A17" s="143"/>
      <c r="B17" s="143"/>
      <c r="C17" s="143"/>
      <c r="D17" s="143"/>
      <c r="E17" s="143" t="s">
        <v>145</v>
      </c>
      <c r="F17" s="144" t="s">
        <v>20</v>
      </c>
      <c r="G17" s="144" t="s">
        <v>20</v>
      </c>
      <c r="H17" s="144" t="s">
        <v>20</v>
      </c>
      <c r="I17" s="145">
        <f ca="1">I12+G16-H16</f>
        <v>4000000000</v>
      </c>
      <c r="J17" s="144" t="s">
        <v>20</v>
      </c>
    </row>
    <row r="19" spans="1:10">
      <c r="A19" s="146" t="s">
        <v>146</v>
      </c>
    </row>
    <row r="20" spans="1:10">
      <c r="A20" s="156" t="str">
        <f ca="1">"- Ngày mở sổ: "&amp;DAY($A$13)&amp;"/"&amp;MONTH($A$13)&amp;"/ 2015"</f>
        <v>- Ngày mở sổ: 1/2/ 2015</v>
      </c>
    </row>
    <row r="21" spans="1:10">
      <c r="I21" s="147" t="str">
        <f>"Ngày "&amp;IF(OR($O$10=3,$O$10=12),"31","30")&amp;" tháng "&amp;$O$10&amp;"  năm  2015 "</f>
        <v xml:space="preserve">Ngày 31 tháng 3  năm  2015 </v>
      </c>
    </row>
    <row r="22" spans="1:10" s="148" customFormat="1" ht="14.25">
      <c r="B22" s="148" t="s">
        <v>12</v>
      </c>
      <c r="E22" s="148" t="s">
        <v>13</v>
      </c>
      <c r="I22" s="148" t="s">
        <v>116</v>
      </c>
    </row>
    <row r="23" spans="1:10" s="149" customFormat="1">
      <c r="B23" s="149" t="s">
        <v>14</v>
      </c>
      <c r="E23" s="149" t="s">
        <v>14</v>
      </c>
      <c r="I23" s="149" t="s">
        <v>147</v>
      </c>
    </row>
    <row r="24" spans="1:10" s="149" customFormat="1"/>
  </sheetData>
  <autoFilter ref="A11:J17">
    <filterColumn colId="6"/>
  </autoFilter>
  <sortState ref="A13:P167">
    <sortCondition ref="A13:A167"/>
  </sortState>
  <mergeCells count="14">
    <mergeCell ref="N9:O9"/>
    <mergeCell ref="A9:A10"/>
    <mergeCell ref="B9:B10"/>
    <mergeCell ref="C9:D9"/>
    <mergeCell ref="E9:E10"/>
    <mergeCell ref="F9:F10"/>
    <mergeCell ref="G9:H9"/>
    <mergeCell ref="I9:I10"/>
    <mergeCell ref="J9:J10"/>
    <mergeCell ref="G1:J1"/>
    <mergeCell ref="G2:J3"/>
    <mergeCell ref="A5:J5"/>
    <mergeCell ref="A6:J6"/>
    <mergeCell ref="A7:J7"/>
  </mergeCells>
  <conditionalFormatting sqref="A13:H15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24"/>
  </sheetPr>
  <dimension ref="A2:N29"/>
  <sheetViews>
    <sheetView workbookViewId="0">
      <selection activeCell="E25" sqref="E25"/>
    </sheetView>
  </sheetViews>
  <sheetFormatPr defaultRowHeight="15"/>
  <cols>
    <col min="1" max="1" width="10.85546875" style="227" customWidth="1"/>
    <col min="2" max="2" width="6" style="227" customWidth="1"/>
    <col min="3" max="3" width="11" style="227" customWidth="1"/>
    <col min="4" max="4" width="40.85546875" style="227" customWidth="1"/>
    <col min="5" max="5" width="6.5703125" style="228" customWidth="1"/>
    <col min="6" max="6" width="8.7109375" style="227" bestFit="1" customWidth="1"/>
    <col min="7" max="7" width="10.140625" style="227" customWidth="1"/>
    <col min="8" max="8" width="9.7109375" style="227" bestFit="1" customWidth="1"/>
    <col min="9" max="9" width="15.7109375" style="227" bestFit="1" customWidth="1"/>
    <col min="10" max="10" width="10.7109375" style="227" customWidth="1"/>
    <col min="11" max="11" width="9.7109375" style="227" bestFit="1" customWidth="1"/>
    <col min="12" max="12" width="15.7109375" style="227" bestFit="1" customWidth="1"/>
    <col min="13" max="13" width="10.7109375" style="227" customWidth="1"/>
    <col min="14" max="14" width="9.7109375" style="227" bestFit="1" customWidth="1"/>
    <col min="15" max="256" width="9.140625" style="227"/>
    <col min="257" max="257" width="10.85546875" style="227" customWidth="1"/>
    <col min="258" max="258" width="6" style="227" customWidth="1"/>
    <col min="259" max="259" width="11" style="227" customWidth="1"/>
    <col min="260" max="260" width="40.85546875" style="227" customWidth="1"/>
    <col min="261" max="261" width="6.5703125" style="227" customWidth="1"/>
    <col min="262" max="262" width="8.7109375" style="227" bestFit="1" customWidth="1"/>
    <col min="263" max="263" width="10.140625" style="227" customWidth="1"/>
    <col min="264" max="264" width="9.7109375" style="227" bestFit="1" customWidth="1"/>
    <col min="265" max="265" width="15.7109375" style="227" bestFit="1" customWidth="1"/>
    <col min="266" max="266" width="10.7109375" style="227" customWidth="1"/>
    <col min="267" max="267" width="9.7109375" style="227" bestFit="1" customWidth="1"/>
    <col min="268" max="268" width="15.7109375" style="227" bestFit="1" customWidth="1"/>
    <col min="269" max="269" width="10.7109375" style="227" customWidth="1"/>
    <col min="270" max="270" width="9.7109375" style="227" bestFit="1" customWidth="1"/>
    <col min="271" max="512" width="9.140625" style="227"/>
    <col min="513" max="513" width="10.85546875" style="227" customWidth="1"/>
    <col min="514" max="514" width="6" style="227" customWidth="1"/>
    <col min="515" max="515" width="11" style="227" customWidth="1"/>
    <col min="516" max="516" width="40.85546875" style="227" customWidth="1"/>
    <col min="517" max="517" width="6.5703125" style="227" customWidth="1"/>
    <col min="518" max="518" width="8.7109375" style="227" bestFit="1" customWidth="1"/>
    <col min="519" max="519" width="10.140625" style="227" customWidth="1"/>
    <col min="520" max="520" width="9.7109375" style="227" bestFit="1" customWidth="1"/>
    <col min="521" max="521" width="15.7109375" style="227" bestFit="1" customWidth="1"/>
    <col min="522" max="522" width="10.7109375" style="227" customWidth="1"/>
    <col min="523" max="523" width="9.7109375" style="227" bestFit="1" customWidth="1"/>
    <col min="524" max="524" width="15.7109375" style="227" bestFit="1" customWidth="1"/>
    <col min="525" max="525" width="10.7109375" style="227" customWidth="1"/>
    <col min="526" max="526" width="9.7109375" style="227" bestFit="1" customWidth="1"/>
    <col min="527" max="768" width="9.140625" style="227"/>
    <col min="769" max="769" width="10.85546875" style="227" customWidth="1"/>
    <col min="770" max="770" width="6" style="227" customWidth="1"/>
    <col min="771" max="771" width="11" style="227" customWidth="1"/>
    <col min="772" max="772" width="40.85546875" style="227" customWidth="1"/>
    <col min="773" max="773" width="6.5703125" style="227" customWidth="1"/>
    <col min="774" max="774" width="8.7109375" style="227" bestFit="1" customWidth="1"/>
    <col min="775" max="775" width="10.140625" style="227" customWidth="1"/>
    <col min="776" max="776" width="9.7109375" style="227" bestFit="1" customWidth="1"/>
    <col min="777" max="777" width="15.7109375" style="227" bestFit="1" customWidth="1"/>
    <col min="778" max="778" width="10.7109375" style="227" customWidth="1"/>
    <col min="779" max="779" width="9.7109375" style="227" bestFit="1" customWidth="1"/>
    <col min="780" max="780" width="15.7109375" style="227" bestFit="1" customWidth="1"/>
    <col min="781" max="781" width="10.7109375" style="227" customWidth="1"/>
    <col min="782" max="782" width="9.7109375" style="227" bestFit="1" customWidth="1"/>
    <col min="783" max="1024" width="9.140625" style="227"/>
    <col min="1025" max="1025" width="10.85546875" style="227" customWidth="1"/>
    <col min="1026" max="1026" width="6" style="227" customWidth="1"/>
    <col min="1027" max="1027" width="11" style="227" customWidth="1"/>
    <col min="1028" max="1028" width="40.85546875" style="227" customWidth="1"/>
    <col min="1029" max="1029" width="6.5703125" style="227" customWidth="1"/>
    <col min="1030" max="1030" width="8.7109375" style="227" bestFit="1" customWidth="1"/>
    <col min="1031" max="1031" width="10.140625" style="227" customWidth="1"/>
    <col min="1032" max="1032" width="9.7109375" style="227" bestFit="1" customWidth="1"/>
    <col min="1033" max="1033" width="15.7109375" style="227" bestFit="1" customWidth="1"/>
    <col min="1034" max="1034" width="10.7109375" style="227" customWidth="1"/>
    <col min="1035" max="1035" width="9.7109375" style="227" bestFit="1" customWidth="1"/>
    <col min="1036" max="1036" width="15.7109375" style="227" bestFit="1" customWidth="1"/>
    <col min="1037" max="1037" width="10.7109375" style="227" customWidth="1"/>
    <col min="1038" max="1038" width="9.7109375" style="227" bestFit="1" customWidth="1"/>
    <col min="1039" max="1280" width="9.140625" style="227"/>
    <col min="1281" max="1281" width="10.85546875" style="227" customWidth="1"/>
    <col min="1282" max="1282" width="6" style="227" customWidth="1"/>
    <col min="1283" max="1283" width="11" style="227" customWidth="1"/>
    <col min="1284" max="1284" width="40.85546875" style="227" customWidth="1"/>
    <col min="1285" max="1285" width="6.5703125" style="227" customWidth="1"/>
    <col min="1286" max="1286" width="8.7109375" style="227" bestFit="1" customWidth="1"/>
    <col min="1287" max="1287" width="10.140625" style="227" customWidth="1"/>
    <col min="1288" max="1288" width="9.7109375" style="227" bestFit="1" customWidth="1"/>
    <col min="1289" max="1289" width="15.7109375" style="227" bestFit="1" customWidth="1"/>
    <col min="1290" max="1290" width="10.7109375" style="227" customWidth="1"/>
    <col min="1291" max="1291" width="9.7109375" style="227" bestFit="1" customWidth="1"/>
    <col min="1292" max="1292" width="15.7109375" style="227" bestFit="1" customWidth="1"/>
    <col min="1293" max="1293" width="10.7109375" style="227" customWidth="1"/>
    <col min="1294" max="1294" width="9.7109375" style="227" bestFit="1" customWidth="1"/>
    <col min="1295" max="1536" width="9.140625" style="227"/>
    <col min="1537" max="1537" width="10.85546875" style="227" customWidth="1"/>
    <col min="1538" max="1538" width="6" style="227" customWidth="1"/>
    <col min="1539" max="1539" width="11" style="227" customWidth="1"/>
    <col min="1540" max="1540" width="40.85546875" style="227" customWidth="1"/>
    <col min="1541" max="1541" width="6.5703125" style="227" customWidth="1"/>
    <col min="1542" max="1542" width="8.7109375" style="227" bestFit="1" customWidth="1"/>
    <col min="1543" max="1543" width="10.140625" style="227" customWidth="1"/>
    <col min="1544" max="1544" width="9.7109375" style="227" bestFit="1" customWidth="1"/>
    <col min="1545" max="1545" width="15.7109375" style="227" bestFit="1" customWidth="1"/>
    <col min="1546" max="1546" width="10.7109375" style="227" customWidth="1"/>
    <col min="1547" max="1547" width="9.7109375" style="227" bestFit="1" customWidth="1"/>
    <col min="1548" max="1548" width="15.7109375" style="227" bestFit="1" customWidth="1"/>
    <col min="1549" max="1549" width="10.7109375" style="227" customWidth="1"/>
    <col min="1550" max="1550" width="9.7109375" style="227" bestFit="1" customWidth="1"/>
    <col min="1551" max="1792" width="9.140625" style="227"/>
    <col min="1793" max="1793" width="10.85546875" style="227" customWidth="1"/>
    <col min="1794" max="1794" width="6" style="227" customWidth="1"/>
    <col min="1795" max="1795" width="11" style="227" customWidth="1"/>
    <col min="1796" max="1796" width="40.85546875" style="227" customWidth="1"/>
    <col min="1797" max="1797" width="6.5703125" style="227" customWidth="1"/>
    <col min="1798" max="1798" width="8.7109375" style="227" bestFit="1" customWidth="1"/>
    <col min="1799" max="1799" width="10.140625" style="227" customWidth="1"/>
    <col min="1800" max="1800" width="9.7109375" style="227" bestFit="1" customWidth="1"/>
    <col min="1801" max="1801" width="15.7109375" style="227" bestFit="1" customWidth="1"/>
    <col min="1802" max="1802" width="10.7109375" style="227" customWidth="1"/>
    <col min="1803" max="1803" width="9.7109375" style="227" bestFit="1" customWidth="1"/>
    <col min="1804" max="1804" width="15.7109375" style="227" bestFit="1" customWidth="1"/>
    <col min="1805" max="1805" width="10.7109375" style="227" customWidth="1"/>
    <col min="1806" max="1806" width="9.7109375" style="227" bestFit="1" customWidth="1"/>
    <col min="1807" max="2048" width="9.140625" style="227"/>
    <col min="2049" max="2049" width="10.85546875" style="227" customWidth="1"/>
    <col min="2050" max="2050" width="6" style="227" customWidth="1"/>
    <col min="2051" max="2051" width="11" style="227" customWidth="1"/>
    <col min="2052" max="2052" width="40.85546875" style="227" customWidth="1"/>
    <col min="2053" max="2053" width="6.5703125" style="227" customWidth="1"/>
    <col min="2054" max="2054" width="8.7109375" style="227" bestFit="1" customWidth="1"/>
    <col min="2055" max="2055" width="10.140625" style="227" customWidth="1"/>
    <col min="2056" max="2056" width="9.7109375" style="227" bestFit="1" customWidth="1"/>
    <col min="2057" max="2057" width="15.7109375" style="227" bestFit="1" customWidth="1"/>
    <col min="2058" max="2058" width="10.7109375" style="227" customWidth="1"/>
    <col min="2059" max="2059" width="9.7109375" style="227" bestFit="1" customWidth="1"/>
    <col min="2060" max="2060" width="15.7109375" style="227" bestFit="1" customWidth="1"/>
    <col min="2061" max="2061" width="10.7109375" style="227" customWidth="1"/>
    <col min="2062" max="2062" width="9.7109375" style="227" bestFit="1" customWidth="1"/>
    <col min="2063" max="2304" width="9.140625" style="227"/>
    <col min="2305" max="2305" width="10.85546875" style="227" customWidth="1"/>
    <col min="2306" max="2306" width="6" style="227" customWidth="1"/>
    <col min="2307" max="2307" width="11" style="227" customWidth="1"/>
    <col min="2308" max="2308" width="40.85546875" style="227" customWidth="1"/>
    <col min="2309" max="2309" width="6.5703125" style="227" customWidth="1"/>
    <col min="2310" max="2310" width="8.7109375" style="227" bestFit="1" customWidth="1"/>
    <col min="2311" max="2311" width="10.140625" style="227" customWidth="1"/>
    <col min="2312" max="2312" width="9.7109375" style="227" bestFit="1" customWidth="1"/>
    <col min="2313" max="2313" width="15.7109375" style="227" bestFit="1" customWidth="1"/>
    <col min="2314" max="2314" width="10.7109375" style="227" customWidth="1"/>
    <col min="2315" max="2315" width="9.7109375" style="227" bestFit="1" customWidth="1"/>
    <col min="2316" max="2316" width="15.7109375" style="227" bestFit="1" customWidth="1"/>
    <col min="2317" max="2317" width="10.7109375" style="227" customWidth="1"/>
    <col min="2318" max="2318" width="9.7109375" style="227" bestFit="1" customWidth="1"/>
    <col min="2319" max="2560" width="9.140625" style="227"/>
    <col min="2561" max="2561" width="10.85546875" style="227" customWidth="1"/>
    <col min="2562" max="2562" width="6" style="227" customWidth="1"/>
    <col min="2563" max="2563" width="11" style="227" customWidth="1"/>
    <col min="2564" max="2564" width="40.85546875" style="227" customWidth="1"/>
    <col min="2565" max="2565" width="6.5703125" style="227" customWidth="1"/>
    <col min="2566" max="2566" width="8.7109375" style="227" bestFit="1" customWidth="1"/>
    <col min="2567" max="2567" width="10.140625" style="227" customWidth="1"/>
    <col min="2568" max="2568" width="9.7109375" style="227" bestFit="1" customWidth="1"/>
    <col min="2569" max="2569" width="15.7109375" style="227" bestFit="1" customWidth="1"/>
    <col min="2570" max="2570" width="10.7109375" style="227" customWidth="1"/>
    <col min="2571" max="2571" width="9.7109375" style="227" bestFit="1" customWidth="1"/>
    <col min="2572" max="2572" width="15.7109375" style="227" bestFit="1" customWidth="1"/>
    <col min="2573" max="2573" width="10.7109375" style="227" customWidth="1"/>
    <col min="2574" max="2574" width="9.7109375" style="227" bestFit="1" customWidth="1"/>
    <col min="2575" max="2816" width="9.140625" style="227"/>
    <col min="2817" max="2817" width="10.85546875" style="227" customWidth="1"/>
    <col min="2818" max="2818" width="6" style="227" customWidth="1"/>
    <col min="2819" max="2819" width="11" style="227" customWidth="1"/>
    <col min="2820" max="2820" width="40.85546875" style="227" customWidth="1"/>
    <col min="2821" max="2821" width="6.5703125" style="227" customWidth="1"/>
    <col min="2822" max="2822" width="8.7109375" style="227" bestFit="1" customWidth="1"/>
    <col min="2823" max="2823" width="10.140625" style="227" customWidth="1"/>
    <col min="2824" max="2824" width="9.7109375" style="227" bestFit="1" customWidth="1"/>
    <col min="2825" max="2825" width="15.7109375" style="227" bestFit="1" customWidth="1"/>
    <col min="2826" max="2826" width="10.7109375" style="227" customWidth="1"/>
    <col min="2827" max="2827" width="9.7109375" style="227" bestFit="1" customWidth="1"/>
    <col min="2828" max="2828" width="15.7109375" style="227" bestFit="1" customWidth="1"/>
    <col min="2829" max="2829" width="10.7109375" style="227" customWidth="1"/>
    <col min="2830" max="2830" width="9.7109375" style="227" bestFit="1" customWidth="1"/>
    <col min="2831" max="3072" width="9.140625" style="227"/>
    <col min="3073" max="3073" width="10.85546875" style="227" customWidth="1"/>
    <col min="3074" max="3074" width="6" style="227" customWidth="1"/>
    <col min="3075" max="3075" width="11" style="227" customWidth="1"/>
    <col min="3076" max="3076" width="40.85546875" style="227" customWidth="1"/>
    <col min="3077" max="3077" width="6.5703125" style="227" customWidth="1"/>
    <col min="3078" max="3078" width="8.7109375" style="227" bestFit="1" customWidth="1"/>
    <col min="3079" max="3079" width="10.140625" style="227" customWidth="1"/>
    <col min="3080" max="3080" width="9.7109375" style="227" bestFit="1" customWidth="1"/>
    <col min="3081" max="3081" width="15.7109375" style="227" bestFit="1" customWidth="1"/>
    <col min="3082" max="3082" width="10.7109375" style="227" customWidth="1"/>
    <col min="3083" max="3083" width="9.7109375" style="227" bestFit="1" customWidth="1"/>
    <col min="3084" max="3084" width="15.7109375" style="227" bestFit="1" customWidth="1"/>
    <col min="3085" max="3085" width="10.7109375" style="227" customWidth="1"/>
    <col min="3086" max="3086" width="9.7109375" style="227" bestFit="1" customWidth="1"/>
    <col min="3087" max="3328" width="9.140625" style="227"/>
    <col min="3329" max="3329" width="10.85546875" style="227" customWidth="1"/>
    <col min="3330" max="3330" width="6" style="227" customWidth="1"/>
    <col min="3331" max="3331" width="11" style="227" customWidth="1"/>
    <col min="3332" max="3332" width="40.85546875" style="227" customWidth="1"/>
    <col min="3333" max="3333" width="6.5703125" style="227" customWidth="1"/>
    <col min="3334" max="3334" width="8.7109375" style="227" bestFit="1" customWidth="1"/>
    <col min="3335" max="3335" width="10.140625" style="227" customWidth="1"/>
    <col min="3336" max="3336" width="9.7109375" style="227" bestFit="1" customWidth="1"/>
    <col min="3337" max="3337" width="15.7109375" style="227" bestFit="1" customWidth="1"/>
    <col min="3338" max="3338" width="10.7109375" style="227" customWidth="1"/>
    <col min="3339" max="3339" width="9.7109375" style="227" bestFit="1" customWidth="1"/>
    <col min="3340" max="3340" width="15.7109375" style="227" bestFit="1" customWidth="1"/>
    <col min="3341" max="3341" width="10.7109375" style="227" customWidth="1"/>
    <col min="3342" max="3342" width="9.7109375" style="227" bestFit="1" customWidth="1"/>
    <col min="3343" max="3584" width="9.140625" style="227"/>
    <col min="3585" max="3585" width="10.85546875" style="227" customWidth="1"/>
    <col min="3586" max="3586" width="6" style="227" customWidth="1"/>
    <col min="3587" max="3587" width="11" style="227" customWidth="1"/>
    <col min="3588" max="3588" width="40.85546875" style="227" customWidth="1"/>
    <col min="3589" max="3589" width="6.5703125" style="227" customWidth="1"/>
    <col min="3590" max="3590" width="8.7109375" style="227" bestFit="1" customWidth="1"/>
    <col min="3591" max="3591" width="10.140625" style="227" customWidth="1"/>
    <col min="3592" max="3592" width="9.7109375" style="227" bestFit="1" customWidth="1"/>
    <col min="3593" max="3593" width="15.7109375" style="227" bestFit="1" customWidth="1"/>
    <col min="3594" max="3594" width="10.7109375" style="227" customWidth="1"/>
    <col min="3595" max="3595" width="9.7109375" style="227" bestFit="1" customWidth="1"/>
    <col min="3596" max="3596" width="15.7109375" style="227" bestFit="1" customWidth="1"/>
    <col min="3597" max="3597" width="10.7109375" style="227" customWidth="1"/>
    <col min="3598" max="3598" width="9.7109375" style="227" bestFit="1" customWidth="1"/>
    <col min="3599" max="3840" width="9.140625" style="227"/>
    <col min="3841" max="3841" width="10.85546875" style="227" customWidth="1"/>
    <col min="3842" max="3842" width="6" style="227" customWidth="1"/>
    <col min="3843" max="3843" width="11" style="227" customWidth="1"/>
    <col min="3844" max="3844" width="40.85546875" style="227" customWidth="1"/>
    <col min="3845" max="3845" width="6.5703125" style="227" customWidth="1"/>
    <col min="3846" max="3846" width="8.7109375" style="227" bestFit="1" customWidth="1"/>
    <col min="3847" max="3847" width="10.140625" style="227" customWidth="1"/>
    <col min="3848" max="3848" width="9.7109375" style="227" bestFit="1" customWidth="1"/>
    <col min="3849" max="3849" width="15.7109375" style="227" bestFit="1" customWidth="1"/>
    <col min="3850" max="3850" width="10.7109375" style="227" customWidth="1"/>
    <col min="3851" max="3851" width="9.7109375" style="227" bestFit="1" customWidth="1"/>
    <col min="3852" max="3852" width="15.7109375" style="227" bestFit="1" customWidth="1"/>
    <col min="3853" max="3853" width="10.7109375" style="227" customWidth="1"/>
    <col min="3854" max="3854" width="9.7109375" style="227" bestFit="1" customWidth="1"/>
    <col min="3855" max="4096" width="9.140625" style="227"/>
    <col min="4097" max="4097" width="10.85546875" style="227" customWidth="1"/>
    <col min="4098" max="4098" width="6" style="227" customWidth="1"/>
    <col min="4099" max="4099" width="11" style="227" customWidth="1"/>
    <col min="4100" max="4100" width="40.85546875" style="227" customWidth="1"/>
    <col min="4101" max="4101" width="6.5703125" style="227" customWidth="1"/>
    <col min="4102" max="4102" width="8.7109375" style="227" bestFit="1" customWidth="1"/>
    <col min="4103" max="4103" width="10.140625" style="227" customWidth="1"/>
    <col min="4104" max="4104" width="9.7109375" style="227" bestFit="1" customWidth="1"/>
    <col min="4105" max="4105" width="15.7109375" style="227" bestFit="1" customWidth="1"/>
    <col min="4106" max="4106" width="10.7109375" style="227" customWidth="1"/>
    <col min="4107" max="4107" width="9.7109375" style="227" bestFit="1" customWidth="1"/>
    <col min="4108" max="4108" width="15.7109375" style="227" bestFit="1" customWidth="1"/>
    <col min="4109" max="4109" width="10.7109375" style="227" customWidth="1"/>
    <col min="4110" max="4110" width="9.7109375" style="227" bestFit="1" customWidth="1"/>
    <col min="4111" max="4352" width="9.140625" style="227"/>
    <col min="4353" max="4353" width="10.85546875" style="227" customWidth="1"/>
    <col min="4354" max="4354" width="6" style="227" customWidth="1"/>
    <col min="4355" max="4355" width="11" style="227" customWidth="1"/>
    <col min="4356" max="4356" width="40.85546875" style="227" customWidth="1"/>
    <col min="4357" max="4357" width="6.5703125" style="227" customWidth="1"/>
    <col min="4358" max="4358" width="8.7109375" style="227" bestFit="1" customWidth="1"/>
    <col min="4359" max="4359" width="10.140625" style="227" customWidth="1"/>
    <col min="4360" max="4360" width="9.7109375" style="227" bestFit="1" customWidth="1"/>
    <col min="4361" max="4361" width="15.7109375" style="227" bestFit="1" customWidth="1"/>
    <col min="4362" max="4362" width="10.7109375" style="227" customWidth="1"/>
    <col min="4363" max="4363" width="9.7109375" style="227" bestFit="1" customWidth="1"/>
    <col min="4364" max="4364" width="15.7109375" style="227" bestFit="1" customWidth="1"/>
    <col min="4365" max="4365" width="10.7109375" style="227" customWidth="1"/>
    <col min="4366" max="4366" width="9.7109375" style="227" bestFit="1" customWidth="1"/>
    <col min="4367" max="4608" width="9.140625" style="227"/>
    <col min="4609" max="4609" width="10.85546875" style="227" customWidth="1"/>
    <col min="4610" max="4610" width="6" style="227" customWidth="1"/>
    <col min="4611" max="4611" width="11" style="227" customWidth="1"/>
    <col min="4612" max="4612" width="40.85546875" style="227" customWidth="1"/>
    <col min="4613" max="4613" width="6.5703125" style="227" customWidth="1"/>
    <col min="4614" max="4614" width="8.7109375" style="227" bestFit="1" customWidth="1"/>
    <col min="4615" max="4615" width="10.140625" style="227" customWidth="1"/>
    <col min="4616" max="4616" width="9.7109375" style="227" bestFit="1" customWidth="1"/>
    <col min="4617" max="4617" width="15.7109375" style="227" bestFit="1" customWidth="1"/>
    <col min="4618" max="4618" width="10.7109375" style="227" customWidth="1"/>
    <col min="4619" max="4619" width="9.7109375" style="227" bestFit="1" customWidth="1"/>
    <col min="4620" max="4620" width="15.7109375" style="227" bestFit="1" customWidth="1"/>
    <col min="4621" max="4621" width="10.7109375" style="227" customWidth="1"/>
    <col min="4622" max="4622" width="9.7109375" style="227" bestFit="1" customWidth="1"/>
    <col min="4623" max="4864" width="9.140625" style="227"/>
    <col min="4865" max="4865" width="10.85546875" style="227" customWidth="1"/>
    <col min="4866" max="4866" width="6" style="227" customWidth="1"/>
    <col min="4867" max="4867" width="11" style="227" customWidth="1"/>
    <col min="4868" max="4868" width="40.85546875" style="227" customWidth="1"/>
    <col min="4869" max="4869" width="6.5703125" style="227" customWidth="1"/>
    <col min="4870" max="4870" width="8.7109375" style="227" bestFit="1" customWidth="1"/>
    <col min="4871" max="4871" width="10.140625" style="227" customWidth="1"/>
    <col min="4872" max="4872" width="9.7109375" style="227" bestFit="1" customWidth="1"/>
    <col min="4873" max="4873" width="15.7109375" style="227" bestFit="1" customWidth="1"/>
    <col min="4874" max="4874" width="10.7109375" style="227" customWidth="1"/>
    <col min="4875" max="4875" width="9.7109375" style="227" bestFit="1" customWidth="1"/>
    <col min="4876" max="4876" width="15.7109375" style="227" bestFit="1" customWidth="1"/>
    <col min="4877" max="4877" width="10.7109375" style="227" customWidth="1"/>
    <col min="4878" max="4878" width="9.7109375" style="227" bestFit="1" customWidth="1"/>
    <col min="4879" max="5120" width="9.140625" style="227"/>
    <col min="5121" max="5121" width="10.85546875" style="227" customWidth="1"/>
    <col min="5122" max="5122" width="6" style="227" customWidth="1"/>
    <col min="5123" max="5123" width="11" style="227" customWidth="1"/>
    <col min="5124" max="5124" width="40.85546875" style="227" customWidth="1"/>
    <col min="5125" max="5125" width="6.5703125" style="227" customWidth="1"/>
    <col min="5126" max="5126" width="8.7109375" style="227" bestFit="1" customWidth="1"/>
    <col min="5127" max="5127" width="10.140625" style="227" customWidth="1"/>
    <col min="5128" max="5128" width="9.7109375" style="227" bestFit="1" customWidth="1"/>
    <col min="5129" max="5129" width="15.7109375" style="227" bestFit="1" customWidth="1"/>
    <col min="5130" max="5130" width="10.7109375" style="227" customWidth="1"/>
    <col min="5131" max="5131" width="9.7109375" style="227" bestFit="1" customWidth="1"/>
    <col min="5132" max="5132" width="15.7109375" style="227" bestFit="1" customWidth="1"/>
    <col min="5133" max="5133" width="10.7109375" style="227" customWidth="1"/>
    <col min="5134" max="5134" width="9.7109375" style="227" bestFit="1" customWidth="1"/>
    <col min="5135" max="5376" width="9.140625" style="227"/>
    <col min="5377" max="5377" width="10.85546875" style="227" customWidth="1"/>
    <col min="5378" max="5378" width="6" style="227" customWidth="1"/>
    <col min="5379" max="5379" width="11" style="227" customWidth="1"/>
    <col min="5380" max="5380" width="40.85546875" style="227" customWidth="1"/>
    <col min="5381" max="5381" width="6.5703125" style="227" customWidth="1"/>
    <col min="5382" max="5382" width="8.7109375" style="227" bestFit="1" customWidth="1"/>
    <col min="5383" max="5383" width="10.140625" style="227" customWidth="1"/>
    <col min="5384" max="5384" width="9.7109375" style="227" bestFit="1" customWidth="1"/>
    <col min="5385" max="5385" width="15.7109375" style="227" bestFit="1" customWidth="1"/>
    <col min="5386" max="5386" width="10.7109375" style="227" customWidth="1"/>
    <col min="5387" max="5387" width="9.7109375" style="227" bestFit="1" customWidth="1"/>
    <col min="5388" max="5388" width="15.7109375" style="227" bestFit="1" customWidth="1"/>
    <col min="5389" max="5389" width="10.7109375" style="227" customWidth="1"/>
    <col min="5390" max="5390" width="9.7109375" style="227" bestFit="1" customWidth="1"/>
    <col min="5391" max="5632" width="9.140625" style="227"/>
    <col min="5633" max="5633" width="10.85546875" style="227" customWidth="1"/>
    <col min="5634" max="5634" width="6" style="227" customWidth="1"/>
    <col min="5635" max="5635" width="11" style="227" customWidth="1"/>
    <col min="5636" max="5636" width="40.85546875" style="227" customWidth="1"/>
    <col min="5637" max="5637" width="6.5703125" style="227" customWidth="1"/>
    <col min="5638" max="5638" width="8.7109375" style="227" bestFit="1" customWidth="1"/>
    <col min="5639" max="5639" width="10.140625" style="227" customWidth="1"/>
    <col min="5640" max="5640" width="9.7109375" style="227" bestFit="1" customWidth="1"/>
    <col min="5641" max="5641" width="15.7109375" style="227" bestFit="1" customWidth="1"/>
    <col min="5642" max="5642" width="10.7109375" style="227" customWidth="1"/>
    <col min="5643" max="5643" width="9.7109375" style="227" bestFit="1" customWidth="1"/>
    <col min="5644" max="5644" width="15.7109375" style="227" bestFit="1" customWidth="1"/>
    <col min="5645" max="5645" width="10.7109375" style="227" customWidth="1"/>
    <col min="5646" max="5646" width="9.7109375" style="227" bestFit="1" customWidth="1"/>
    <col min="5647" max="5888" width="9.140625" style="227"/>
    <col min="5889" max="5889" width="10.85546875" style="227" customWidth="1"/>
    <col min="5890" max="5890" width="6" style="227" customWidth="1"/>
    <col min="5891" max="5891" width="11" style="227" customWidth="1"/>
    <col min="5892" max="5892" width="40.85546875" style="227" customWidth="1"/>
    <col min="5893" max="5893" width="6.5703125" style="227" customWidth="1"/>
    <col min="5894" max="5894" width="8.7109375" style="227" bestFit="1" customWidth="1"/>
    <col min="5895" max="5895" width="10.140625" style="227" customWidth="1"/>
    <col min="5896" max="5896" width="9.7109375" style="227" bestFit="1" customWidth="1"/>
    <col min="5897" max="5897" width="15.7109375" style="227" bestFit="1" customWidth="1"/>
    <col min="5898" max="5898" width="10.7109375" style="227" customWidth="1"/>
    <col min="5899" max="5899" width="9.7109375" style="227" bestFit="1" customWidth="1"/>
    <col min="5900" max="5900" width="15.7109375" style="227" bestFit="1" customWidth="1"/>
    <col min="5901" max="5901" width="10.7109375" style="227" customWidth="1"/>
    <col min="5902" max="5902" width="9.7109375" style="227" bestFit="1" customWidth="1"/>
    <col min="5903" max="6144" width="9.140625" style="227"/>
    <col min="6145" max="6145" width="10.85546875" style="227" customWidth="1"/>
    <col min="6146" max="6146" width="6" style="227" customWidth="1"/>
    <col min="6147" max="6147" width="11" style="227" customWidth="1"/>
    <col min="6148" max="6148" width="40.85546875" style="227" customWidth="1"/>
    <col min="6149" max="6149" width="6.5703125" style="227" customWidth="1"/>
    <col min="6150" max="6150" width="8.7109375" style="227" bestFit="1" customWidth="1"/>
    <col min="6151" max="6151" width="10.140625" style="227" customWidth="1"/>
    <col min="6152" max="6152" width="9.7109375" style="227" bestFit="1" customWidth="1"/>
    <col min="6153" max="6153" width="15.7109375" style="227" bestFit="1" customWidth="1"/>
    <col min="6154" max="6154" width="10.7109375" style="227" customWidth="1"/>
    <col min="6155" max="6155" width="9.7109375" style="227" bestFit="1" customWidth="1"/>
    <col min="6156" max="6156" width="15.7109375" style="227" bestFit="1" customWidth="1"/>
    <col min="6157" max="6157" width="10.7109375" style="227" customWidth="1"/>
    <col min="6158" max="6158" width="9.7109375" style="227" bestFit="1" customWidth="1"/>
    <col min="6159" max="6400" width="9.140625" style="227"/>
    <col min="6401" max="6401" width="10.85546875" style="227" customWidth="1"/>
    <col min="6402" max="6402" width="6" style="227" customWidth="1"/>
    <col min="6403" max="6403" width="11" style="227" customWidth="1"/>
    <col min="6404" max="6404" width="40.85546875" style="227" customWidth="1"/>
    <col min="6405" max="6405" width="6.5703125" style="227" customWidth="1"/>
    <col min="6406" max="6406" width="8.7109375" style="227" bestFit="1" customWidth="1"/>
    <col min="6407" max="6407" width="10.140625" style="227" customWidth="1"/>
    <col min="6408" max="6408" width="9.7109375" style="227" bestFit="1" customWidth="1"/>
    <col min="6409" max="6409" width="15.7109375" style="227" bestFit="1" customWidth="1"/>
    <col min="6410" max="6410" width="10.7109375" style="227" customWidth="1"/>
    <col min="6411" max="6411" width="9.7109375" style="227" bestFit="1" customWidth="1"/>
    <col min="6412" max="6412" width="15.7109375" style="227" bestFit="1" customWidth="1"/>
    <col min="6413" max="6413" width="10.7109375" style="227" customWidth="1"/>
    <col min="6414" max="6414" width="9.7109375" style="227" bestFit="1" customWidth="1"/>
    <col min="6415" max="6656" width="9.140625" style="227"/>
    <col min="6657" max="6657" width="10.85546875" style="227" customWidth="1"/>
    <col min="6658" max="6658" width="6" style="227" customWidth="1"/>
    <col min="6659" max="6659" width="11" style="227" customWidth="1"/>
    <col min="6660" max="6660" width="40.85546875" style="227" customWidth="1"/>
    <col min="6661" max="6661" width="6.5703125" style="227" customWidth="1"/>
    <col min="6662" max="6662" width="8.7109375" style="227" bestFit="1" customWidth="1"/>
    <col min="6663" max="6663" width="10.140625" style="227" customWidth="1"/>
    <col min="6664" max="6664" width="9.7109375" style="227" bestFit="1" customWidth="1"/>
    <col min="6665" max="6665" width="15.7109375" style="227" bestFit="1" customWidth="1"/>
    <col min="6666" max="6666" width="10.7109375" style="227" customWidth="1"/>
    <col min="6667" max="6667" width="9.7109375" style="227" bestFit="1" customWidth="1"/>
    <col min="6668" max="6668" width="15.7109375" style="227" bestFit="1" customWidth="1"/>
    <col min="6669" max="6669" width="10.7109375" style="227" customWidth="1"/>
    <col min="6670" max="6670" width="9.7109375" style="227" bestFit="1" customWidth="1"/>
    <col min="6671" max="6912" width="9.140625" style="227"/>
    <col min="6913" max="6913" width="10.85546875" style="227" customWidth="1"/>
    <col min="6914" max="6914" width="6" style="227" customWidth="1"/>
    <col min="6915" max="6915" width="11" style="227" customWidth="1"/>
    <col min="6916" max="6916" width="40.85546875" style="227" customWidth="1"/>
    <col min="6917" max="6917" width="6.5703125" style="227" customWidth="1"/>
    <col min="6918" max="6918" width="8.7109375" style="227" bestFit="1" customWidth="1"/>
    <col min="6919" max="6919" width="10.140625" style="227" customWidth="1"/>
    <col min="6920" max="6920" width="9.7109375" style="227" bestFit="1" customWidth="1"/>
    <col min="6921" max="6921" width="15.7109375" style="227" bestFit="1" customWidth="1"/>
    <col min="6922" max="6922" width="10.7109375" style="227" customWidth="1"/>
    <col min="6923" max="6923" width="9.7109375" style="227" bestFit="1" customWidth="1"/>
    <col min="6924" max="6924" width="15.7109375" style="227" bestFit="1" customWidth="1"/>
    <col min="6925" max="6925" width="10.7109375" style="227" customWidth="1"/>
    <col min="6926" max="6926" width="9.7109375" style="227" bestFit="1" customWidth="1"/>
    <col min="6927" max="7168" width="9.140625" style="227"/>
    <col min="7169" max="7169" width="10.85546875" style="227" customWidth="1"/>
    <col min="7170" max="7170" width="6" style="227" customWidth="1"/>
    <col min="7171" max="7171" width="11" style="227" customWidth="1"/>
    <col min="7172" max="7172" width="40.85546875" style="227" customWidth="1"/>
    <col min="7173" max="7173" width="6.5703125" style="227" customWidth="1"/>
    <col min="7174" max="7174" width="8.7109375" style="227" bestFit="1" customWidth="1"/>
    <col min="7175" max="7175" width="10.140625" style="227" customWidth="1"/>
    <col min="7176" max="7176" width="9.7109375" style="227" bestFit="1" customWidth="1"/>
    <col min="7177" max="7177" width="15.7109375" style="227" bestFit="1" customWidth="1"/>
    <col min="7178" max="7178" width="10.7109375" style="227" customWidth="1"/>
    <col min="7179" max="7179" width="9.7109375" style="227" bestFit="1" customWidth="1"/>
    <col min="7180" max="7180" width="15.7109375" style="227" bestFit="1" customWidth="1"/>
    <col min="7181" max="7181" width="10.7109375" style="227" customWidth="1"/>
    <col min="7182" max="7182" width="9.7109375" style="227" bestFit="1" customWidth="1"/>
    <col min="7183" max="7424" width="9.140625" style="227"/>
    <col min="7425" max="7425" width="10.85546875" style="227" customWidth="1"/>
    <col min="7426" max="7426" width="6" style="227" customWidth="1"/>
    <col min="7427" max="7427" width="11" style="227" customWidth="1"/>
    <col min="7428" max="7428" width="40.85546875" style="227" customWidth="1"/>
    <col min="7429" max="7429" width="6.5703125" style="227" customWidth="1"/>
    <col min="7430" max="7430" width="8.7109375" style="227" bestFit="1" customWidth="1"/>
    <col min="7431" max="7431" width="10.140625" style="227" customWidth="1"/>
    <col min="7432" max="7432" width="9.7109375" style="227" bestFit="1" customWidth="1"/>
    <col min="7433" max="7433" width="15.7109375" style="227" bestFit="1" customWidth="1"/>
    <col min="7434" max="7434" width="10.7109375" style="227" customWidth="1"/>
    <col min="7435" max="7435" width="9.7109375" style="227" bestFit="1" customWidth="1"/>
    <col min="7436" max="7436" width="15.7109375" style="227" bestFit="1" customWidth="1"/>
    <col min="7437" max="7437" width="10.7109375" style="227" customWidth="1"/>
    <col min="7438" max="7438" width="9.7109375" style="227" bestFit="1" customWidth="1"/>
    <col min="7439" max="7680" width="9.140625" style="227"/>
    <col min="7681" max="7681" width="10.85546875" style="227" customWidth="1"/>
    <col min="7682" max="7682" width="6" style="227" customWidth="1"/>
    <col min="7683" max="7683" width="11" style="227" customWidth="1"/>
    <col min="7684" max="7684" width="40.85546875" style="227" customWidth="1"/>
    <col min="7685" max="7685" width="6.5703125" style="227" customWidth="1"/>
    <col min="7686" max="7686" width="8.7109375" style="227" bestFit="1" customWidth="1"/>
    <col min="7687" max="7687" width="10.140625" style="227" customWidth="1"/>
    <col min="7688" max="7688" width="9.7109375" style="227" bestFit="1" customWidth="1"/>
    <col min="7689" max="7689" width="15.7109375" style="227" bestFit="1" customWidth="1"/>
    <col min="7690" max="7690" width="10.7109375" style="227" customWidth="1"/>
    <col min="7691" max="7691" width="9.7109375" style="227" bestFit="1" customWidth="1"/>
    <col min="7692" max="7692" width="15.7109375" style="227" bestFit="1" customWidth="1"/>
    <col min="7693" max="7693" width="10.7109375" style="227" customWidth="1"/>
    <col min="7694" max="7694" width="9.7109375" style="227" bestFit="1" customWidth="1"/>
    <col min="7695" max="7936" width="9.140625" style="227"/>
    <col min="7937" max="7937" width="10.85546875" style="227" customWidth="1"/>
    <col min="7938" max="7938" width="6" style="227" customWidth="1"/>
    <col min="7939" max="7939" width="11" style="227" customWidth="1"/>
    <col min="7940" max="7940" width="40.85546875" style="227" customWidth="1"/>
    <col min="7941" max="7941" width="6.5703125" style="227" customWidth="1"/>
    <col min="7942" max="7942" width="8.7109375" style="227" bestFit="1" customWidth="1"/>
    <col min="7943" max="7943" width="10.140625" style="227" customWidth="1"/>
    <col min="7944" max="7944" width="9.7109375" style="227" bestFit="1" customWidth="1"/>
    <col min="7945" max="7945" width="15.7109375" style="227" bestFit="1" customWidth="1"/>
    <col min="7946" max="7946" width="10.7109375" style="227" customWidth="1"/>
    <col min="7947" max="7947" width="9.7109375" style="227" bestFit="1" customWidth="1"/>
    <col min="7948" max="7948" width="15.7109375" style="227" bestFit="1" customWidth="1"/>
    <col min="7949" max="7949" width="10.7109375" style="227" customWidth="1"/>
    <col min="7950" max="7950" width="9.7109375" style="227" bestFit="1" customWidth="1"/>
    <col min="7951" max="8192" width="9.140625" style="227"/>
    <col min="8193" max="8193" width="10.85546875" style="227" customWidth="1"/>
    <col min="8194" max="8194" width="6" style="227" customWidth="1"/>
    <col min="8195" max="8195" width="11" style="227" customWidth="1"/>
    <col min="8196" max="8196" width="40.85546875" style="227" customWidth="1"/>
    <col min="8197" max="8197" width="6.5703125" style="227" customWidth="1"/>
    <col min="8198" max="8198" width="8.7109375" style="227" bestFit="1" customWidth="1"/>
    <col min="8199" max="8199" width="10.140625" style="227" customWidth="1"/>
    <col min="8200" max="8200" width="9.7109375" style="227" bestFit="1" customWidth="1"/>
    <col min="8201" max="8201" width="15.7109375" style="227" bestFit="1" customWidth="1"/>
    <col min="8202" max="8202" width="10.7109375" style="227" customWidth="1"/>
    <col min="8203" max="8203" width="9.7109375" style="227" bestFit="1" customWidth="1"/>
    <col min="8204" max="8204" width="15.7109375" style="227" bestFit="1" customWidth="1"/>
    <col min="8205" max="8205" width="10.7109375" style="227" customWidth="1"/>
    <col min="8206" max="8206" width="9.7109375" style="227" bestFit="1" customWidth="1"/>
    <col min="8207" max="8448" width="9.140625" style="227"/>
    <col min="8449" max="8449" width="10.85546875" style="227" customWidth="1"/>
    <col min="8450" max="8450" width="6" style="227" customWidth="1"/>
    <col min="8451" max="8451" width="11" style="227" customWidth="1"/>
    <col min="8452" max="8452" width="40.85546875" style="227" customWidth="1"/>
    <col min="8453" max="8453" width="6.5703125" style="227" customWidth="1"/>
    <col min="8454" max="8454" width="8.7109375" style="227" bestFit="1" customWidth="1"/>
    <col min="8455" max="8455" width="10.140625" style="227" customWidth="1"/>
    <col min="8456" max="8456" width="9.7109375" style="227" bestFit="1" customWidth="1"/>
    <col min="8457" max="8457" width="15.7109375" style="227" bestFit="1" customWidth="1"/>
    <col min="8458" max="8458" width="10.7109375" style="227" customWidth="1"/>
    <col min="8459" max="8459" width="9.7109375" style="227" bestFit="1" customWidth="1"/>
    <col min="8460" max="8460" width="15.7109375" style="227" bestFit="1" customWidth="1"/>
    <col min="8461" max="8461" width="10.7109375" style="227" customWidth="1"/>
    <col min="8462" max="8462" width="9.7109375" style="227" bestFit="1" customWidth="1"/>
    <col min="8463" max="8704" width="9.140625" style="227"/>
    <col min="8705" max="8705" width="10.85546875" style="227" customWidth="1"/>
    <col min="8706" max="8706" width="6" style="227" customWidth="1"/>
    <col min="8707" max="8707" width="11" style="227" customWidth="1"/>
    <col min="8708" max="8708" width="40.85546875" style="227" customWidth="1"/>
    <col min="8709" max="8709" width="6.5703125" style="227" customWidth="1"/>
    <col min="8710" max="8710" width="8.7109375" style="227" bestFit="1" customWidth="1"/>
    <col min="8711" max="8711" width="10.140625" style="227" customWidth="1"/>
    <col min="8712" max="8712" width="9.7109375" style="227" bestFit="1" customWidth="1"/>
    <col min="8713" max="8713" width="15.7109375" style="227" bestFit="1" customWidth="1"/>
    <col min="8714" max="8714" width="10.7109375" style="227" customWidth="1"/>
    <col min="8715" max="8715" width="9.7109375" style="227" bestFit="1" customWidth="1"/>
    <col min="8716" max="8716" width="15.7109375" style="227" bestFit="1" customWidth="1"/>
    <col min="8717" max="8717" width="10.7109375" style="227" customWidth="1"/>
    <col min="8718" max="8718" width="9.7109375" style="227" bestFit="1" customWidth="1"/>
    <col min="8719" max="8960" width="9.140625" style="227"/>
    <col min="8961" max="8961" width="10.85546875" style="227" customWidth="1"/>
    <col min="8962" max="8962" width="6" style="227" customWidth="1"/>
    <col min="8963" max="8963" width="11" style="227" customWidth="1"/>
    <col min="8964" max="8964" width="40.85546875" style="227" customWidth="1"/>
    <col min="8965" max="8965" width="6.5703125" style="227" customWidth="1"/>
    <col min="8966" max="8966" width="8.7109375" style="227" bestFit="1" customWidth="1"/>
    <col min="8967" max="8967" width="10.140625" style="227" customWidth="1"/>
    <col min="8968" max="8968" width="9.7109375" style="227" bestFit="1" customWidth="1"/>
    <col min="8969" max="8969" width="15.7109375" style="227" bestFit="1" customWidth="1"/>
    <col min="8970" max="8970" width="10.7109375" style="227" customWidth="1"/>
    <col min="8971" max="8971" width="9.7109375" style="227" bestFit="1" customWidth="1"/>
    <col min="8972" max="8972" width="15.7109375" style="227" bestFit="1" customWidth="1"/>
    <col min="8973" max="8973" width="10.7109375" style="227" customWidth="1"/>
    <col min="8974" max="8974" width="9.7109375" style="227" bestFit="1" customWidth="1"/>
    <col min="8975" max="9216" width="9.140625" style="227"/>
    <col min="9217" max="9217" width="10.85546875" style="227" customWidth="1"/>
    <col min="9218" max="9218" width="6" style="227" customWidth="1"/>
    <col min="9219" max="9219" width="11" style="227" customWidth="1"/>
    <col min="9220" max="9220" width="40.85546875" style="227" customWidth="1"/>
    <col min="9221" max="9221" width="6.5703125" style="227" customWidth="1"/>
    <col min="9222" max="9222" width="8.7109375" style="227" bestFit="1" customWidth="1"/>
    <col min="9223" max="9223" width="10.140625" style="227" customWidth="1"/>
    <col min="9224" max="9224" width="9.7109375" style="227" bestFit="1" customWidth="1"/>
    <col min="9225" max="9225" width="15.7109375" style="227" bestFit="1" customWidth="1"/>
    <col min="9226" max="9226" width="10.7109375" style="227" customWidth="1"/>
    <col min="9227" max="9227" width="9.7109375" style="227" bestFit="1" customWidth="1"/>
    <col min="9228" max="9228" width="15.7109375" style="227" bestFit="1" customWidth="1"/>
    <col min="9229" max="9229" width="10.7109375" style="227" customWidth="1"/>
    <col min="9230" max="9230" width="9.7109375" style="227" bestFit="1" customWidth="1"/>
    <col min="9231" max="9472" width="9.140625" style="227"/>
    <col min="9473" max="9473" width="10.85546875" style="227" customWidth="1"/>
    <col min="9474" max="9474" width="6" style="227" customWidth="1"/>
    <col min="9475" max="9475" width="11" style="227" customWidth="1"/>
    <col min="9476" max="9476" width="40.85546875" style="227" customWidth="1"/>
    <col min="9477" max="9477" width="6.5703125" style="227" customWidth="1"/>
    <col min="9478" max="9478" width="8.7109375" style="227" bestFit="1" customWidth="1"/>
    <col min="9479" max="9479" width="10.140625" style="227" customWidth="1"/>
    <col min="9480" max="9480" width="9.7109375" style="227" bestFit="1" customWidth="1"/>
    <col min="9481" max="9481" width="15.7109375" style="227" bestFit="1" customWidth="1"/>
    <col min="9482" max="9482" width="10.7109375" style="227" customWidth="1"/>
    <col min="9483" max="9483" width="9.7109375" style="227" bestFit="1" customWidth="1"/>
    <col min="9484" max="9484" width="15.7109375" style="227" bestFit="1" customWidth="1"/>
    <col min="9485" max="9485" width="10.7109375" style="227" customWidth="1"/>
    <col min="9486" max="9486" width="9.7109375" style="227" bestFit="1" customWidth="1"/>
    <col min="9487" max="9728" width="9.140625" style="227"/>
    <col min="9729" max="9729" width="10.85546875" style="227" customWidth="1"/>
    <col min="9730" max="9730" width="6" style="227" customWidth="1"/>
    <col min="9731" max="9731" width="11" style="227" customWidth="1"/>
    <col min="9732" max="9732" width="40.85546875" style="227" customWidth="1"/>
    <col min="9733" max="9733" width="6.5703125" style="227" customWidth="1"/>
    <col min="9734" max="9734" width="8.7109375" style="227" bestFit="1" customWidth="1"/>
    <col min="9735" max="9735" width="10.140625" style="227" customWidth="1"/>
    <col min="9736" max="9736" width="9.7109375" style="227" bestFit="1" customWidth="1"/>
    <col min="9737" max="9737" width="15.7109375" style="227" bestFit="1" customWidth="1"/>
    <col min="9738" max="9738" width="10.7109375" style="227" customWidth="1"/>
    <col min="9739" max="9739" width="9.7109375" style="227" bestFit="1" customWidth="1"/>
    <col min="9740" max="9740" width="15.7109375" style="227" bestFit="1" customWidth="1"/>
    <col min="9741" max="9741" width="10.7109375" style="227" customWidth="1"/>
    <col min="9742" max="9742" width="9.7109375" style="227" bestFit="1" customWidth="1"/>
    <col min="9743" max="9984" width="9.140625" style="227"/>
    <col min="9985" max="9985" width="10.85546875" style="227" customWidth="1"/>
    <col min="9986" max="9986" width="6" style="227" customWidth="1"/>
    <col min="9987" max="9987" width="11" style="227" customWidth="1"/>
    <col min="9988" max="9988" width="40.85546875" style="227" customWidth="1"/>
    <col min="9989" max="9989" width="6.5703125" style="227" customWidth="1"/>
    <col min="9990" max="9990" width="8.7109375" style="227" bestFit="1" customWidth="1"/>
    <col min="9991" max="9991" width="10.140625" style="227" customWidth="1"/>
    <col min="9992" max="9992" width="9.7109375" style="227" bestFit="1" customWidth="1"/>
    <col min="9993" max="9993" width="15.7109375" style="227" bestFit="1" customWidth="1"/>
    <col min="9994" max="9994" width="10.7109375" style="227" customWidth="1"/>
    <col min="9995" max="9995" width="9.7109375" style="227" bestFit="1" customWidth="1"/>
    <col min="9996" max="9996" width="15.7109375" style="227" bestFit="1" customWidth="1"/>
    <col min="9997" max="9997" width="10.7109375" style="227" customWidth="1"/>
    <col min="9998" max="9998" width="9.7109375" style="227" bestFit="1" customWidth="1"/>
    <col min="9999" max="10240" width="9.140625" style="227"/>
    <col min="10241" max="10241" width="10.85546875" style="227" customWidth="1"/>
    <col min="10242" max="10242" width="6" style="227" customWidth="1"/>
    <col min="10243" max="10243" width="11" style="227" customWidth="1"/>
    <col min="10244" max="10244" width="40.85546875" style="227" customWidth="1"/>
    <col min="10245" max="10245" width="6.5703125" style="227" customWidth="1"/>
    <col min="10246" max="10246" width="8.7109375" style="227" bestFit="1" customWidth="1"/>
    <col min="10247" max="10247" width="10.140625" style="227" customWidth="1"/>
    <col min="10248" max="10248" width="9.7109375" style="227" bestFit="1" customWidth="1"/>
    <col min="10249" max="10249" width="15.7109375" style="227" bestFit="1" customWidth="1"/>
    <col min="10250" max="10250" width="10.7109375" style="227" customWidth="1"/>
    <col min="10251" max="10251" width="9.7109375" style="227" bestFit="1" customWidth="1"/>
    <col min="10252" max="10252" width="15.7109375" style="227" bestFit="1" customWidth="1"/>
    <col min="10253" max="10253" width="10.7109375" style="227" customWidth="1"/>
    <col min="10254" max="10254" width="9.7109375" style="227" bestFit="1" customWidth="1"/>
    <col min="10255" max="10496" width="9.140625" style="227"/>
    <col min="10497" max="10497" width="10.85546875" style="227" customWidth="1"/>
    <col min="10498" max="10498" width="6" style="227" customWidth="1"/>
    <col min="10499" max="10499" width="11" style="227" customWidth="1"/>
    <col min="10500" max="10500" width="40.85546875" style="227" customWidth="1"/>
    <col min="10501" max="10501" width="6.5703125" style="227" customWidth="1"/>
    <col min="10502" max="10502" width="8.7109375" style="227" bestFit="1" customWidth="1"/>
    <col min="10503" max="10503" width="10.140625" style="227" customWidth="1"/>
    <col min="10504" max="10504" width="9.7109375" style="227" bestFit="1" customWidth="1"/>
    <col min="10505" max="10505" width="15.7109375" style="227" bestFit="1" customWidth="1"/>
    <col min="10506" max="10506" width="10.7109375" style="227" customWidth="1"/>
    <col min="10507" max="10507" width="9.7109375" style="227" bestFit="1" customWidth="1"/>
    <col min="10508" max="10508" width="15.7109375" style="227" bestFit="1" customWidth="1"/>
    <col min="10509" max="10509" width="10.7109375" style="227" customWidth="1"/>
    <col min="10510" max="10510" width="9.7109375" style="227" bestFit="1" customWidth="1"/>
    <col min="10511" max="10752" width="9.140625" style="227"/>
    <col min="10753" max="10753" width="10.85546875" style="227" customWidth="1"/>
    <col min="10754" max="10754" width="6" style="227" customWidth="1"/>
    <col min="10755" max="10755" width="11" style="227" customWidth="1"/>
    <col min="10756" max="10756" width="40.85546875" style="227" customWidth="1"/>
    <col min="10757" max="10757" width="6.5703125" style="227" customWidth="1"/>
    <col min="10758" max="10758" width="8.7109375" style="227" bestFit="1" customWidth="1"/>
    <col min="10759" max="10759" width="10.140625" style="227" customWidth="1"/>
    <col min="10760" max="10760" width="9.7109375" style="227" bestFit="1" customWidth="1"/>
    <col min="10761" max="10761" width="15.7109375" style="227" bestFit="1" customWidth="1"/>
    <col min="10762" max="10762" width="10.7109375" style="227" customWidth="1"/>
    <col min="10763" max="10763" width="9.7109375" style="227" bestFit="1" customWidth="1"/>
    <col min="10764" max="10764" width="15.7109375" style="227" bestFit="1" customWidth="1"/>
    <col min="10765" max="10765" width="10.7109375" style="227" customWidth="1"/>
    <col min="10766" max="10766" width="9.7109375" style="227" bestFit="1" customWidth="1"/>
    <col min="10767" max="11008" width="9.140625" style="227"/>
    <col min="11009" max="11009" width="10.85546875" style="227" customWidth="1"/>
    <col min="11010" max="11010" width="6" style="227" customWidth="1"/>
    <col min="11011" max="11011" width="11" style="227" customWidth="1"/>
    <col min="11012" max="11012" width="40.85546875" style="227" customWidth="1"/>
    <col min="11013" max="11013" width="6.5703125" style="227" customWidth="1"/>
    <col min="11014" max="11014" width="8.7109375" style="227" bestFit="1" customWidth="1"/>
    <col min="11015" max="11015" width="10.140625" style="227" customWidth="1"/>
    <col min="11016" max="11016" width="9.7109375" style="227" bestFit="1" customWidth="1"/>
    <col min="11017" max="11017" width="15.7109375" style="227" bestFit="1" customWidth="1"/>
    <col min="11018" max="11018" width="10.7109375" style="227" customWidth="1"/>
    <col min="11019" max="11019" width="9.7109375" style="227" bestFit="1" customWidth="1"/>
    <col min="11020" max="11020" width="15.7109375" style="227" bestFit="1" customWidth="1"/>
    <col min="11021" max="11021" width="10.7109375" style="227" customWidth="1"/>
    <col min="11022" max="11022" width="9.7109375" style="227" bestFit="1" customWidth="1"/>
    <col min="11023" max="11264" width="9.140625" style="227"/>
    <col min="11265" max="11265" width="10.85546875" style="227" customWidth="1"/>
    <col min="11266" max="11266" width="6" style="227" customWidth="1"/>
    <col min="11267" max="11267" width="11" style="227" customWidth="1"/>
    <col min="11268" max="11268" width="40.85546875" style="227" customWidth="1"/>
    <col min="11269" max="11269" width="6.5703125" style="227" customWidth="1"/>
    <col min="11270" max="11270" width="8.7109375" style="227" bestFit="1" customWidth="1"/>
    <col min="11271" max="11271" width="10.140625" style="227" customWidth="1"/>
    <col min="11272" max="11272" width="9.7109375" style="227" bestFit="1" customWidth="1"/>
    <col min="11273" max="11273" width="15.7109375" style="227" bestFit="1" customWidth="1"/>
    <col min="11274" max="11274" width="10.7109375" style="227" customWidth="1"/>
    <col min="11275" max="11275" width="9.7109375" style="227" bestFit="1" customWidth="1"/>
    <col min="11276" max="11276" width="15.7109375" style="227" bestFit="1" customWidth="1"/>
    <col min="11277" max="11277" width="10.7109375" style="227" customWidth="1"/>
    <col min="11278" max="11278" width="9.7109375" style="227" bestFit="1" customWidth="1"/>
    <col min="11279" max="11520" width="9.140625" style="227"/>
    <col min="11521" max="11521" width="10.85546875" style="227" customWidth="1"/>
    <col min="11522" max="11522" width="6" style="227" customWidth="1"/>
    <col min="11523" max="11523" width="11" style="227" customWidth="1"/>
    <col min="11524" max="11524" width="40.85546875" style="227" customWidth="1"/>
    <col min="11525" max="11525" width="6.5703125" style="227" customWidth="1"/>
    <col min="11526" max="11526" width="8.7109375" style="227" bestFit="1" customWidth="1"/>
    <col min="11527" max="11527" width="10.140625" style="227" customWidth="1"/>
    <col min="11528" max="11528" width="9.7109375" style="227" bestFit="1" customWidth="1"/>
    <col min="11529" max="11529" width="15.7109375" style="227" bestFit="1" customWidth="1"/>
    <col min="11530" max="11530" width="10.7109375" style="227" customWidth="1"/>
    <col min="11531" max="11531" width="9.7109375" style="227" bestFit="1" customWidth="1"/>
    <col min="11532" max="11532" width="15.7109375" style="227" bestFit="1" customWidth="1"/>
    <col min="11533" max="11533" width="10.7109375" style="227" customWidth="1"/>
    <col min="11534" max="11534" width="9.7109375" style="227" bestFit="1" customWidth="1"/>
    <col min="11535" max="11776" width="9.140625" style="227"/>
    <col min="11777" max="11777" width="10.85546875" style="227" customWidth="1"/>
    <col min="11778" max="11778" width="6" style="227" customWidth="1"/>
    <col min="11779" max="11779" width="11" style="227" customWidth="1"/>
    <col min="11780" max="11780" width="40.85546875" style="227" customWidth="1"/>
    <col min="11781" max="11781" width="6.5703125" style="227" customWidth="1"/>
    <col min="11782" max="11782" width="8.7109375" style="227" bestFit="1" customWidth="1"/>
    <col min="11783" max="11783" width="10.140625" style="227" customWidth="1"/>
    <col min="11784" max="11784" width="9.7109375" style="227" bestFit="1" customWidth="1"/>
    <col min="11785" max="11785" width="15.7109375" style="227" bestFit="1" customWidth="1"/>
    <col min="11786" max="11786" width="10.7109375" style="227" customWidth="1"/>
    <col min="11787" max="11787" width="9.7109375" style="227" bestFit="1" customWidth="1"/>
    <col min="11788" max="11788" width="15.7109375" style="227" bestFit="1" customWidth="1"/>
    <col min="11789" max="11789" width="10.7109375" style="227" customWidth="1"/>
    <col min="11790" max="11790" width="9.7109375" style="227" bestFit="1" customWidth="1"/>
    <col min="11791" max="12032" width="9.140625" style="227"/>
    <col min="12033" max="12033" width="10.85546875" style="227" customWidth="1"/>
    <col min="12034" max="12034" width="6" style="227" customWidth="1"/>
    <col min="12035" max="12035" width="11" style="227" customWidth="1"/>
    <col min="12036" max="12036" width="40.85546875" style="227" customWidth="1"/>
    <col min="12037" max="12037" width="6.5703125" style="227" customWidth="1"/>
    <col min="12038" max="12038" width="8.7109375" style="227" bestFit="1" customWidth="1"/>
    <col min="12039" max="12039" width="10.140625" style="227" customWidth="1"/>
    <col min="12040" max="12040" width="9.7109375" style="227" bestFit="1" customWidth="1"/>
    <col min="12041" max="12041" width="15.7109375" style="227" bestFit="1" customWidth="1"/>
    <col min="12042" max="12042" width="10.7109375" style="227" customWidth="1"/>
    <col min="12043" max="12043" width="9.7109375" style="227" bestFit="1" customWidth="1"/>
    <col min="12044" max="12044" width="15.7109375" style="227" bestFit="1" customWidth="1"/>
    <col min="12045" max="12045" width="10.7109375" style="227" customWidth="1"/>
    <col min="12046" max="12046" width="9.7109375" style="227" bestFit="1" customWidth="1"/>
    <col min="12047" max="12288" width="9.140625" style="227"/>
    <col min="12289" max="12289" width="10.85546875" style="227" customWidth="1"/>
    <col min="12290" max="12290" width="6" style="227" customWidth="1"/>
    <col min="12291" max="12291" width="11" style="227" customWidth="1"/>
    <col min="12292" max="12292" width="40.85546875" style="227" customWidth="1"/>
    <col min="12293" max="12293" width="6.5703125" style="227" customWidth="1"/>
    <col min="12294" max="12294" width="8.7109375" style="227" bestFit="1" customWidth="1"/>
    <col min="12295" max="12295" width="10.140625" style="227" customWidth="1"/>
    <col min="12296" max="12296" width="9.7109375" style="227" bestFit="1" customWidth="1"/>
    <col min="12297" max="12297" width="15.7109375" style="227" bestFit="1" customWidth="1"/>
    <col min="12298" max="12298" width="10.7109375" style="227" customWidth="1"/>
    <col min="12299" max="12299" width="9.7109375" style="227" bestFit="1" customWidth="1"/>
    <col min="12300" max="12300" width="15.7109375" style="227" bestFit="1" customWidth="1"/>
    <col min="12301" max="12301" width="10.7109375" style="227" customWidth="1"/>
    <col min="12302" max="12302" width="9.7109375" style="227" bestFit="1" customWidth="1"/>
    <col min="12303" max="12544" width="9.140625" style="227"/>
    <col min="12545" max="12545" width="10.85546875" style="227" customWidth="1"/>
    <col min="12546" max="12546" width="6" style="227" customWidth="1"/>
    <col min="12547" max="12547" width="11" style="227" customWidth="1"/>
    <col min="12548" max="12548" width="40.85546875" style="227" customWidth="1"/>
    <col min="12549" max="12549" width="6.5703125" style="227" customWidth="1"/>
    <col min="12550" max="12550" width="8.7109375" style="227" bestFit="1" customWidth="1"/>
    <col min="12551" max="12551" width="10.140625" style="227" customWidth="1"/>
    <col min="12552" max="12552" width="9.7109375" style="227" bestFit="1" customWidth="1"/>
    <col min="12553" max="12553" width="15.7109375" style="227" bestFit="1" customWidth="1"/>
    <col min="12554" max="12554" width="10.7109375" style="227" customWidth="1"/>
    <col min="12555" max="12555" width="9.7109375" style="227" bestFit="1" customWidth="1"/>
    <col min="12556" max="12556" width="15.7109375" style="227" bestFit="1" customWidth="1"/>
    <col min="12557" max="12557" width="10.7109375" style="227" customWidth="1"/>
    <col min="12558" max="12558" width="9.7109375" style="227" bestFit="1" customWidth="1"/>
    <col min="12559" max="12800" width="9.140625" style="227"/>
    <col min="12801" max="12801" width="10.85546875" style="227" customWidth="1"/>
    <col min="12802" max="12802" width="6" style="227" customWidth="1"/>
    <col min="12803" max="12803" width="11" style="227" customWidth="1"/>
    <col min="12804" max="12804" width="40.85546875" style="227" customWidth="1"/>
    <col min="12805" max="12805" width="6.5703125" style="227" customWidth="1"/>
    <col min="12806" max="12806" width="8.7109375" style="227" bestFit="1" customWidth="1"/>
    <col min="12807" max="12807" width="10.140625" style="227" customWidth="1"/>
    <col min="12808" max="12808" width="9.7109375" style="227" bestFit="1" customWidth="1"/>
    <col min="12809" max="12809" width="15.7109375" style="227" bestFit="1" customWidth="1"/>
    <col min="12810" max="12810" width="10.7109375" style="227" customWidth="1"/>
    <col min="12811" max="12811" width="9.7109375" style="227" bestFit="1" customWidth="1"/>
    <col min="12812" max="12812" width="15.7109375" style="227" bestFit="1" customWidth="1"/>
    <col min="12813" max="12813" width="10.7109375" style="227" customWidth="1"/>
    <col min="12814" max="12814" width="9.7109375" style="227" bestFit="1" customWidth="1"/>
    <col min="12815" max="13056" width="9.140625" style="227"/>
    <col min="13057" max="13057" width="10.85546875" style="227" customWidth="1"/>
    <col min="13058" max="13058" width="6" style="227" customWidth="1"/>
    <col min="13059" max="13059" width="11" style="227" customWidth="1"/>
    <col min="13060" max="13060" width="40.85546875" style="227" customWidth="1"/>
    <col min="13061" max="13061" width="6.5703125" style="227" customWidth="1"/>
    <col min="13062" max="13062" width="8.7109375" style="227" bestFit="1" customWidth="1"/>
    <col min="13063" max="13063" width="10.140625" style="227" customWidth="1"/>
    <col min="13064" max="13064" width="9.7109375" style="227" bestFit="1" customWidth="1"/>
    <col min="13065" max="13065" width="15.7109375" style="227" bestFit="1" customWidth="1"/>
    <col min="13066" max="13066" width="10.7109375" style="227" customWidth="1"/>
    <col min="13067" max="13067" width="9.7109375" style="227" bestFit="1" customWidth="1"/>
    <col min="13068" max="13068" width="15.7109375" style="227" bestFit="1" customWidth="1"/>
    <col min="13069" max="13069" width="10.7109375" style="227" customWidth="1"/>
    <col min="13070" max="13070" width="9.7109375" style="227" bestFit="1" customWidth="1"/>
    <col min="13071" max="13312" width="9.140625" style="227"/>
    <col min="13313" max="13313" width="10.85546875" style="227" customWidth="1"/>
    <col min="13314" max="13314" width="6" style="227" customWidth="1"/>
    <col min="13315" max="13315" width="11" style="227" customWidth="1"/>
    <col min="13316" max="13316" width="40.85546875" style="227" customWidth="1"/>
    <col min="13317" max="13317" width="6.5703125" style="227" customWidth="1"/>
    <col min="13318" max="13318" width="8.7109375" style="227" bestFit="1" customWidth="1"/>
    <col min="13319" max="13319" width="10.140625" style="227" customWidth="1"/>
    <col min="13320" max="13320" width="9.7109375" style="227" bestFit="1" customWidth="1"/>
    <col min="13321" max="13321" width="15.7109375" style="227" bestFit="1" customWidth="1"/>
    <col min="13322" max="13322" width="10.7109375" style="227" customWidth="1"/>
    <col min="13323" max="13323" width="9.7109375" style="227" bestFit="1" customWidth="1"/>
    <col min="13324" max="13324" width="15.7109375" style="227" bestFit="1" customWidth="1"/>
    <col min="13325" max="13325" width="10.7109375" style="227" customWidth="1"/>
    <col min="13326" max="13326" width="9.7109375" style="227" bestFit="1" customWidth="1"/>
    <col min="13327" max="13568" width="9.140625" style="227"/>
    <col min="13569" max="13569" width="10.85546875" style="227" customWidth="1"/>
    <col min="13570" max="13570" width="6" style="227" customWidth="1"/>
    <col min="13571" max="13571" width="11" style="227" customWidth="1"/>
    <col min="13572" max="13572" width="40.85546875" style="227" customWidth="1"/>
    <col min="13573" max="13573" width="6.5703125" style="227" customWidth="1"/>
    <col min="13574" max="13574" width="8.7109375" style="227" bestFit="1" customWidth="1"/>
    <col min="13575" max="13575" width="10.140625" style="227" customWidth="1"/>
    <col min="13576" max="13576" width="9.7109375" style="227" bestFit="1" customWidth="1"/>
    <col min="13577" max="13577" width="15.7109375" style="227" bestFit="1" customWidth="1"/>
    <col min="13578" max="13578" width="10.7109375" style="227" customWidth="1"/>
    <col min="13579" max="13579" width="9.7109375" style="227" bestFit="1" customWidth="1"/>
    <col min="13580" max="13580" width="15.7109375" style="227" bestFit="1" customWidth="1"/>
    <col min="13581" max="13581" width="10.7109375" style="227" customWidth="1"/>
    <col min="13582" max="13582" width="9.7109375" style="227" bestFit="1" customWidth="1"/>
    <col min="13583" max="13824" width="9.140625" style="227"/>
    <col min="13825" max="13825" width="10.85546875" style="227" customWidth="1"/>
    <col min="13826" max="13826" width="6" style="227" customWidth="1"/>
    <col min="13827" max="13827" width="11" style="227" customWidth="1"/>
    <col min="13828" max="13828" width="40.85546875" style="227" customWidth="1"/>
    <col min="13829" max="13829" width="6.5703125" style="227" customWidth="1"/>
    <col min="13830" max="13830" width="8.7109375" style="227" bestFit="1" customWidth="1"/>
    <col min="13831" max="13831" width="10.140625" style="227" customWidth="1"/>
    <col min="13832" max="13832" width="9.7109375" style="227" bestFit="1" customWidth="1"/>
    <col min="13833" max="13833" width="15.7109375" style="227" bestFit="1" customWidth="1"/>
    <col min="13834" max="13834" width="10.7109375" style="227" customWidth="1"/>
    <col min="13835" max="13835" width="9.7109375" style="227" bestFit="1" customWidth="1"/>
    <col min="13836" max="13836" width="15.7109375" style="227" bestFit="1" customWidth="1"/>
    <col min="13837" max="13837" width="10.7109375" style="227" customWidth="1"/>
    <col min="13838" max="13838" width="9.7109375" style="227" bestFit="1" customWidth="1"/>
    <col min="13839" max="14080" width="9.140625" style="227"/>
    <col min="14081" max="14081" width="10.85546875" style="227" customWidth="1"/>
    <col min="14082" max="14082" width="6" style="227" customWidth="1"/>
    <col min="14083" max="14083" width="11" style="227" customWidth="1"/>
    <col min="14084" max="14084" width="40.85546875" style="227" customWidth="1"/>
    <col min="14085" max="14085" width="6.5703125" style="227" customWidth="1"/>
    <col min="14086" max="14086" width="8.7109375" style="227" bestFit="1" customWidth="1"/>
    <col min="14087" max="14087" width="10.140625" style="227" customWidth="1"/>
    <col min="14088" max="14088" width="9.7109375" style="227" bestFit="1" customWidth="1"/>
    <col min="14089" max="14089" width="15.7109375" style="227" bestFit="1" customWidth="1"/>
    <col min="14090" max="14090" width="10.7109375" style="227" customWidth="1"/>
    <col min="14091" max="14091" width="9.7109375" style="227" bestFit="1" customWidth="1"/>
    <col min="14092" max="14092" width="15.7109375" style="227" bestFit="1" customWidth="1"/>
    <col min="14093" max="14093" width="10.7109375" style="227" customWidth="1"/>
    <col min="14094" max="14094" width="9.7109375" style="227" bestFit="1" customWidth="1"/>
    <col min="14095" max="14336" width="9.140625" style="227"/>
    <col min="14337" max="14337" width="10.85546875" style="227" customWidth="1"/>
    <col min="14338" max="14338" width="6" style="227" customWidth="1"/>
    <col min="14339" max="14339" width="11" style="227" customWidth="1"/>
    <col min="14340" max="14340" width="40.85546875" style="227" customWidth="1"/>
    <col min="14341" max="14341" width="6.5703125" style="227" customWidth="1"/>
    <col min="14342" max="14342" width="8.7109375" style="227" bestFit="1" customWidth="1"/>
    <col min="14343" max="14343" width="10.140625" style="227" customWidth="1"/>
    <col min="14344" max="14344" width="9.7109375" style="227" bestFit="1" customWidth="1"/>
    <col min="14345" max="14345" width="15.7109375" style="227" bestFit="1" customWidth="1"/>
    <col min="14346" max="14346" width="10.7109375" style="227" customWidth="1"/>
    <col min="14347" max="14347" width="9.7109375" style="227" bestFit="1" customWidth="1"/>
    <col min="14348" max="14348" width="15.7109375" style="227" bestFit="1" customWidth="1"/>
    <col min="14349" max="14349" width="10.7109375" style="227" customWidth="1"/>
    <col min="14350" max="14350" width="9.7109375" style="227" bestFit="1" customWidth="1"/>
    <col min="14351" max="14592" width="9.140625" style="227"/>
    <col min="14593" max="14593" width="10.85546875" style="227" customWidth="1"/>
    <col min="14594" max="14594" width="6" style="227" customWidth="1"/>
    <col min="14595" max="14595" width="11" style="227" customWidth="1"/>
    <col min="14596" max="14596" width="40.85546875" style="227" customWidth="1"/>
    <col min="14597" max="14597" width="6.5703125" style="227" customWidth="1"/>
    <col min="14598" max="14598" width="8.7109375" style="227" bestFit="1" customWidth="1"/>
    <col min="14599" max="14599" width="10.140625" style="227" customWidth="1"/>
    <col min="14600" max="14600" width="9.7109375" style="227" bestFit="1" customWidth="1"/>
    <col min="14601" max="14601" width="15.7109375" style="227" bestFit="1" customWidth="1"/>
    <col min="14602" max="14602" width="10.7109375" style="227" customWidth="1"/>
    <col min="14603" max="14603" width="9.7109375" style="227" bestFit="1" customWidth="1"/>
    <col min="14604" max="14604" width="15.7109375" style="227" bestFit="1" customWidth="1"/>
    <col min="14605" max="14605" width="10.7109375" style="227" customWidth="1"/>
    <col min="14606" max="14606" width="9.7109375" style="227" bestFit="1" customWidth="1"/>
    <col min="14607" max="14848" width="9.140625" style="227"/>
    <col min="14849" max="14849" width="10.85546875" style="227" customWidth="1"/>
    <col min="14850" max="14850" width="6" style="227" customWidth="1"/>
    <col min="14851" max="14851" width="11" style="227" customWidth="1"/>
    <col min="14852" max="14852" width="40.85546875" style="227" customWidth="1"/>
    <col min="14853" max="14853" width="6.5703125" style="227" customWidth="1"/>
    <col min="14854" max="14854" width="8.7109375" style="227" bestFit="1" customWidth="1"/>
    <col min="14855" max="14855" width="10.140625" style="227" customWidth="1"/>
    <col min="14856" max="14856" width="9.7109375" style="227" bestFit="1" customWidth="1"/>
    <col min="14857" max="14857" width="15.7109375" style="227" bestFit="1" customWidth="1"/>
    <col min="14858" max="14858" width="10.7109375" style="227" customWidth="1"/>
    <col min="14859" max="14859" width="9.7109375" style="227" bestFit="1" customWidth="1"/>
    <col min="14860" max="14860" width="15.7109375" style="227" bestFit="1" customWidth="1"/>
    <col min="14861" max="14861" width="10.7109375" style="227" customWidth="1"/>
    <col min="14862" max="14862" width="9.7109375" style="227" bestFit="1" customWidth="1"/>
    <col min="14863" max="15104" width="9.140625" style="227"/>
    <col min="15105" max="15105" width="10.85546875" style="227" customWidth="1"/>
    <col min="15106" max="15106" width="6" style="227" customWidth="1"/>
    <col min="15107" max="15107" width="11" style="227" customWidth="1"/>
    <col min="15108" max="15108" width="40.85546875" style="227" customWidth="1"/>
    <col min="15109" max="15109" width="6.5703125" style="227" customWidth="1"/>
    <col min="15110" max="15110" width="8.7109375" style="227" bestFit="1" customWidth="1"/>
    <col min="15111" max="15111" width="10.140625" style="227" customWidth="1"/>
    <col min="15112" max="15112" width="9.7109375" style="227" bestFit="1" customWidth="1"/>
    <col min="15113" max="15113" width="15.7109375" style="227" bestFit="1" customWidth="1"/>
    <col min="15114" max="15114" width="10.7109375" style="227" customWidth="1"/>
    <col min="15115" max="15115" width="9.7109375" style="227" bestFit="1" customWidth="1"/>
    <col min="15116" max="15116" width="15.7109375" style="227" bestFit="1" customWidth="1"/>
    <col min="15117" max="15117" width="10.7109375" style="227" customWidth="1"/>
    <col min="15118" max="15118" width="9.7109375" style="227" bestFit="1" customWidth="1"/>
    <col min="15119" max="15360" width="9.140625" style="227"/>
    <col min="15361" max="15361" width="10.85546875" style="227" customWidth="1"/>
    <col min="15362" max="15362" width="6" style="227" customWidth="1"/>
    <col min="15363" max="15363" width="11" style="227" customWidth="1"/>
    <col min="15364" max="15364" width="40.85546875" style="227" customWidth="1"/>
    <col min="15365" max="15365" width="6.5703125" style="227" customWidth="1"/>
    <col min="15366" max="15366" width="8.7109375" style="227" bestFit="1" customWidth="1"/>
    <col min="15367" max="15367" width="10.140625" style="227" customWidth="1"/>
    <col min="15368" max="15368" width="9.7109375" style="227" bestFit="1" customWidth="1"/>
    <col min="15369" max="15369" width="15.7109375" style="227" bestFit="1" customWidth="1"/>
    <col min="15370" max="15370" width="10.7109375" style="227" customWidth="1"/>
    <col min="15371" max="15371" width="9.7109375" style="227" bestFit="1" customWidth="1"/>
    <col min="15372" max="15372" width="15.7109375" style="227" bestFit="1" customWidth="1"/>
    <col min="15373" max="15373" width="10.7109375" style="227" customWidth="1"/>
    <col min="15374" max="15374" width="9.7109375" style="227" bestFit="1" customWidth="1"/>
    <col min="15375" max="15616" width="9.140625" style="227"/>
    <col min="15617" max="15617" width="10.85546875" style="227" customWidth="1"/>
    <col min="15618" max="15618" width="6" style="227" customWidth="1"/>
    <col min="15619" max="15619" width="11" style="227" customWidth="1"/>
    <col min="15620" max="15620" width="40.85546875" style="227" customWidth="1"/>
    <col min="15621" max="15621" width="6.5703125" style="227" customWidth="1"/>
    <col min="15622" max="15622" width="8.7109375" style="227" bestFit="1" customWidth="1"/>
    <col min="15623" max="15623" width="10.140625" style="227" customWidth="1"/>
    <col min="15624" max="15624" width="9.7109375" style="227" bestFit="1" customWidth="1"/>
    <col min="15625" max="15625" width="15.7109375" style="227" bestFit="1" customWidth="1"/>
    <col min="15626" max="15626" width="10.7109375" style="227" customWidth="1"/>
    <col min="15627" max="15627" width="9.7109375" style="227" bestFit="1" customWidth="1"/>
    <col min="15628" max="15628" width="15.7109375" style="227" bestFit="1" customWidth="1"/>
    <col min="15629" max="15629" width="10.7109375" style="227" customWidth="1"/>
    <col min="15630" max="15630" width="9.7109375" style="227" bestFit="1" customWidth="1"/>
    <col min="15631" max="15872" width="9.140625" style="227"/>
    <col min="15873" max="15873" width="10.85546875" style="227" customWidth="1"/>
    <col min="15874" max="15874" width="6" style="227" customWidth="1"/>
    <col min="15875" max="15875" width="11" style="227" customWidth="1"/>
    <col min="15876" max="15876" width="40.85546875" style="227" customWidth="1"/>
    <col min="15877" max="15877" width="6.5703125" style="227" customWidth="1"/>
    <col min="15878" max="15878" width="8.7109375" style="227" bestFit="1" customWidth="1"/>
    <col min="15879" max="15879" width="10.140625" style="227" customWidth="1"/>
    <col min="15880" max="15880" width="9.7109375" style="227" bestFit="1" customWidth="1"/>
    <col min="15881" max="15881" width="15.7109375" style="227" bestFit="1" customWidth="1"/>
    <col min="15882" max="15882" width="10.7109375" style="227" customWidth="1"/>
    <col min="15883" max="15883" width="9.7109375" style="227" bestFit="1" customWidth="1"/>
    <col min="15884" max="15884" width="15.7109375" style="227" bestFit="1" customWidth="1"/>
    <col min="15885" max="15885" width="10.7109375" style="227" customWidth="1"/>
    <col min="15886" max="15886" width="9.7109375" style="227" bestFit="1" customWidth="1"/>
    <col min="15887" max="16128" width="9.140625" style="227"/>
    <col min="16129" max="16129" width="10.85546875" style="227" customWidth="1"/>
    <col min="16130" max="16130" width="6" style="227" customWidth="1"/>
    <col min="16131" max="16131" width="11" style="227" customWidth="1"/>
    <col min="16132" max="16132" width="40.85546875" style="227" customWidth="1"/>
    <col min="16133" max="16133" width="6.5703125" style="227" customWidth="1"/>
    <col min="16134" max="16134" width="8.7109375" style="227" bestFit="1" customWidth="1"/>
    <col min="16135" max="16135" width="10.140625" style="227" customWidth="1"/>
    <col min="16136" max="16136" width="9.7109375" style="227" bestFit="1" customWidth="1"/>
    <col min="16137" max="16137" width="15.7109375" style="227" bestFit="1" customWidth="1"/>
    <col min="16138" max="16138" width="10.7109375" style="227" customWidth="1"/>
    <col min="16139" max="16139" width="9.7109375" style="227" bestFit="1" customWidth="1"/>
    <col min="16140" max="16140" width="15.7109375" style="227" bestFit="1" customWidth="1"/>
    <col min="16141" max="16141" width="10.7109375" style="227" customWidth="1"/>
    <col min="16142" max="16142" width="9.7109375" style="227" bestFit="1" customWidth="1"/>
    <col min="16143" max="16384" width="9.140625" style="227"/>
  </cols>
  <sheetData>
    <row r="2" spans="1:14" ht="15.75" customHeight="1">
      <c r="A2" s="226" t="s">
        <v>106</v>
      </c>
      <c r="I2" s="318" t="s">
        <v>196</v>
      </c>
      <c r="J2" s="318"/>
      <c r="K2" s="318"/>
      <c r="L2" s="318"/>
      <c r="M2" s="318"/>
      <c r="N2" s="318"/>
    </row>
    <row r="3" spans="1:14" ht="15.75" customHeight="1">
      <c r="A3" s="226" t="s">
        <v>197</v>
      </c>
      <c r="I3" s="319" t="s">
        <v>198</v>
      </c>
      <c r="J3" s="319"/>
      <c r="K3" s="319"/>
      <c r="L3" s="319"/>
      <c r="M3" s="319"/>
      <c r="N3" s="319"/>
    </row>
    <row r="4" spans="1:14">
      <c r="F4" s="229"/>
      <c r="G4" s="229"/>
      <c r="H4" s="229"/>
      <c r="I4" s="319"/>
      <c r="J4" s="319"/>
      <c r="K4" s="319"/>
      <c r="L4" s="319"/>
      <c r="M4" s="319"/>
      <c r="N4" s="319"/>
    </row>
    <row r="5" spans="1:14" ht="23.25" customHeight="1">
      <c r="A5" s="320" t="s">
        <v>199</v>
      </c>
      <c r="B5" s="320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0"/>
    </row>
    <row r="6" spans="1:14">
      <c r="A6" s="321" t="s">
        <v>200</v>
      </c>
      <c r="B6" s="321"/>
      <c r="C6" s="321"/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</row>
    <row r="7" spans="1:14">
      <c r="C7" s="322"/>
      <c r="D7" s="322"/>
      <c r="E7" s="322"/>
      <c r="F7" s="322"/>
      <c r="G7" s="322"/>
      <c r="H7" s="322"/>
      <c r="I7" s="322"/>
      <c r="J7" s="322"/>
      <c r="K7" s="322"/>
      <c r="L7" s="322"/>
      <c r="M7" s="322"/>
      <c r="N7" s="322"/>
    </row>
    <row r="8" spans="1:14" s="230" customFormat="1" ht="15.75" customHeight="1">
      <c r="A8" s="313" t="s">
        <v>21</v>
      </c>
      <c r="B8" s="323" t="s">
        <v>1</v>
      </c>
      <c r="C8" s="324"/>
      <c r="D8" s="313" t="s">
        <v>0</v>
      </c>
      <c r="E8" s="313" t="s">
        <v>15</v>
      </c>
      <c r="F8" s="325" t="s">
        <v>22</v>
      </c>
      <c r="G8" s="326"/>
      <c r="H8" s="326"/>
      <c r="I8" s="326"/>
      <c r="J8" s="326"/>
      <c r="K8" s="327"/>
      <c r="L8" s="313" t="s">
        <v>27</v>
      </c>
      <c r="M8" s="313"/>
      <c r="N8" s="314"/>
    </row>
    <row r="9" spans="1:14" s="230" customFormat="1" ht="22.5" customHeight="1">
      <c r="A9" s="313"/>
      <c r="B9" s="315" t="s">
        <v>16</v>
      </c>
      <c r="C9" s="315" t="s">
        <v>28</v>
      </c>
      <c r="D9" s="313"/>
      <c r="E9" s="313"/>
      <c r="F9" s="317" t="s">
        <v>201</v>
      </c>
      <c r="G9" s="317"/>
      <c r="H9" s="317"/>
      <c r="I9" s="317" t="s">
        <v>202</v>
      </c>
      <c r="J9" s="317"/>
      <c r="K9" s="317"/>
      <c r="L9" s="315" t="s">
        <v>203</v>
      </c>
      <c r="M9" s="315" t="s">
        <v>204</v>
      </c>
      <c r="N9" s="315" t="s">
        <v>205</v>
      </c>
    </row>
    <row r="10" spans="1:14" s="230" customFormat="1" ht="28.5">
      <c r="A10" s="313"/>
      <c r="B10" s="316"/>
      <c r="C10" s="316"/>
      <c r="D10" s="313"/>
      <c r="E10" s="313"/>
      <c r="F10" s="231" t="s">
        <v>203</v>
      </c>
      <c r="G10" s="232" t="s">
        <v>204</v>
      </c>
      <c r="H10" s="232" t="s">
        <v>205</v>
      </c>
      <c r="I10" s="231" t="s">
        <v>203</v>
      </c>
      <c r="J10" s="232" t="s">
        <v>204</v>
      </c>
      <c r="K10" s="232" t="s">
        <v>205</v>
      </c>
      <c r="L10" s="316"/>
      <c r="M10" s="316"/>
      <c r="N10" s="316"/>
    </row>
    <row r="11" spans="1:14" s="236" customFormat="1" ht="12.75" customHeight="1">
      <c r="A11" s="233" t="s">
        <v>2</v>
      </c>
      <c r="B11" s="234" t="s">
        <v>3</v>
      </c>
      <c r="C11" s="233" t="s">
        <v>4</v>
      </c>
      <c r="D11" s="233" t="s">
        <v>5</v>
      </c>
      <c r="E11" s="233" t="s">
        <v>6</v>
      </c>
      <c r="F11" s="235" t="s">
        <v>152</v>
      </c>
      <c r="G11" s="235" t="s">
        <v>153</v>
      </c>
      <c r="H11" s="235" t="s">
        <v>206</v>
      </c>
      <c r="I11" s="235" t="s">
        <v>207</v>
      </c>
      <c r="J11" s="235" t="s">
        <v>208</v>
      </c>
      <c r="K11" s="235" t="s">
        <v>209</v>
      </c>
      <c r="L11" s="235" t="s">
        <v>210</v>
      </c>
      <c r="M11" s="235" t="s">
        <v>211</v>
      </c>
      <c r="N11" s="235" t="s">
        <v>212</v>
      </c>
    </row>
    <row r="12" spans="1:14" s="230" customFormat="1" ht="17.25" customHeight="1">
      <c r="A12" s="237"/>
      <c r="B12" s="238"/>
      <c r="C12" s="237"/>
      <c r="D12" s="239" t="s">
        <v>7</v>
      </c>
      <c r="E12" s="240"/>
      <c r="F12" s="241"/>
      <c r="G12" s="241"/>
      <c r="H12" s="241"/>
      <c r="I12" s="241"/>
      <c r="J12" s="241"/>
      <c r="K12" s="241"/>
      <c r="L12" s="241"/>
      <c r="M12" s="241"/>
      <c r="N12" s="241"/>
    </row>
    <row r="13" spans="1:14" s="230" customFormat="1" ht="17.25" customHeight="1">
      <c r="A13" s="242"/>
      <c r="B13" s="243"/>
      <c r="C13" s="242"/>
      <c r="D13" s="244" t="s">
        <v>213</v>
      </c>
      <c r="E13" s="245"/>
      <c r="F13" s="241"/>
      <c r="G13" s="241"/>
      <c r="H13" s="241"/>
      <c r="I13" s="241"/>
      <c r="J13" s="241"/>
      <c r="K13" s="241"/>
      <c r="L13" s="241"/>
      <c r="M13" s="241"/>
      <c r="N13" s="241"/>
    </row>
    <row r="14" spans="1:14">
      <c r="A14" s="246">
        <v>39479</v>
      </c>
      <c r="B14" s="246" t="s">
        <v>10</v>
      </c>
      <c r="C14" s="246">
        <v>39479</v>
      </c>
      <c r="D14" s="247" t="s">
        <v>192</v>
      </c>
      <c r="E14" s="248" t="s">
        <v>26</v>
      </c>
      <c r="F14" s="249"/>
      <c r="G14" s="249"/>
      <c r="H14" s="249"/>
      <c r="I14" s="249">
        <v>2400000000</v>
      </c>
      <c r="J14" s="249"/>
      <c r="K14" s="249"/>
      <c r="L14" s="250">
        <f>IF(D14&lt;&gt;"",MAX(L12+I14-F14,0),0)</f>
        <v>2400000000</v>
      </c>
      <c r="M14" s="250">
        <f>IF(D14&lt;&gt;"",MAX(M12+J14-G14,0),0)</f>
        <v>0</v>
      </c>
      <c r="N14" s="250">
        <f>IF(D14&lt;&gt;"",MAX(N12+K14-H14,0),0)</f>
        <v>0</v>
      </c>
    </row>
    <row r="15" spans="1:14" ht="17.25" customHeight="1">
      <c r="A15" s="251">
        <v>39479</v>
      </c>
      <c r="B15" s="136" t="s">
        <v>190</v>
      </c>
      <c r="C15" s="251">
        <v>39479</v>
      </c>
      <c r="D15" s="252" t="s">
        <v>193</v>
      </c>
      <c r="E15" s="253" t="s">
        <v>26</v>
      </c>
      <c r="F15" s="254"/>
      <c r="G15" s="254"/>
      <c r="H15" s="254"/>
      <c r="I15" s="254">
        <v>1600000000</v>
      </c>
      <c r="J15" s="254"/>
      <c r="K15" s="254"/>
      <c r="L15" s="250">
        <f>IF(D15&lt;&gt;"",MAX(L14+I15-F15,0),0)</f>
        <v>4000000000</v>
      </c>
      <c r="M15" s="250">
        <f>IF(D15&lt;&gt;"",MAX(M14+J15-G15,0),0)</f>
        <v>0</v>
      </c>
      <c r="N15" s="250">
        <f>IF(D15&lt;&gt;"",MAX(N14+K15-H15,0),0)</f>
        <v>0</v>
      </c>
    </row>
    <row r="16" spans="1:14" ht="17.25" customHeight="1">
      <c r="A16" s="251"/>
      <c r="B16" s="253"/>
      <c r="C16" s="255"/>
      <c r="D16" s="256"/>
      <c r="E16" s="253"/>
      <c r="F16" s="254"/>
      <c r="G16" s="254"/>
      <c r="H16" s="254"/>
      <c r="I16" s="254"/>
      <c r="J16" s="254"/>
      <c r="K16" s="254"/>
      <c r="L16" s="250">
        <f>IF(D16&lt;&gt;"",MAX(L15+I16-F16,0),0)</f>
        <v>0</v>
      </c>
      <c r="M16" s="250">
        <f>IF(D16&lt;&gt;"",MAX(M15+J16-G16,0),0)</f>
        <v>0</v>
      </c>
      <c r="N16" s="250">
        <f>IF(D16&lt;&gt;"",MAX(N15+K16-H16,0),0)</f>
        <v>0</v>
      </c>
    </row>
    <row r="17" spans="1:14" ht="17.25" customHeight="1">
      <c r="A17" s="255"/>
      <c r="B17" s="256"/>
      <c r="C17" s="251"/>
      <c r="D17" s="257"/>
      <c r="E17" s="258"/>
      <c r="F17" s="259"/>
      <c r="G17" s="259"/>
      <c r="H17" s="259"/>
      <c r="I17" s="259"/>
      <c r="J17" s="259"/>
      <c r="K17" s="259"/>
      <c r="L17" s="250">
        <f>IF(D17&lt;&gt;"",MAX(L16+I17-F17,0),0)</f>
        <v>0</v>
      </c>
      <c r="M17" s="250">
        <f>IF(D17&lt;&gt;"",MAX(M16+J17-G17,0),0)</f>
        <v>0</v>
      </c>
      <c r="N17" s="250">
        <f>IF(D17&lt;&gt;"",MAX(N16+K17-H17,0),0)</f>
        <v>0</v>
      </c>
    </row>
    <row r="18" spans="1:14" s="230" customFormat="1" ht="17.25" customHeight="1">
      <c r="A18" s="260"/>
      <c r="B18" s="261"/>
      <c r="C18" s="262"/>
      <c r="D18" s="263" t="s">
        <v>29</v>
      </c>
      <c r="E18" s="264" t="s">
        <v>20</v>
      </c>
      <c r="F18" s="265">
        <f t="shared" ref="F18:K18" si="0">SUM(F14:F17)</f>
        <v>0</v>
      </c>
      <c r="G18" s="265">
        <f t="shared" si="0"/>
        <v>0</v>
      </c>
      <c r="H18" s="265">
        <f t="shared" si="0"/>
        <v>0</v>
      </c>
      <c r="I18" s="265">
        <f t="shared" si="0"/>
        <v>4000000000</v>
      </c>
      <c r="J18" s="265">
        <f t="shared" si="0"/>
        <v>0</v>
      </c>
      <c r="K18" s="265">
        <f t="shared" si="0"/>
        <v>0</v>
      </c>
      <c r="L18" s="264" t="s">
        <v>20</v>
      </c>
      <c r="M18" s="264" t="s">
        <v>20</v>
      </c>
      <c r="N18" s="264" t="s">
        <v>20</v>
      </c>
    </row>
    <row r="19" spans="1:14" s="230" customFormat="1" ht="17.25" customHeight="1">
      <c r="A19" s="266"/>
      <c r="B19" s="267"/>
      <c r="C19" s="268"/>
      <c r="D19" s="263" t="s">
        <v>11</v>
      </c>
      <c r="E19" s="264" t="s">
        <v>20</v>
      </c>
      <c r="F19" s="264" t="s">
        <v>20</v>
      </c>
      <c r="G19" s="264" t="s">
        <v>20</v>
      </c>
      <c r="H19" s="264" t="s">
        <v>20</v>
      </c>
      <c r="I19" s="264" t="s">
        <v>20</v>
      </c>
      <c r="J19" s="264" t="s">
        <v>20</v>
      </c>
      <c r="K19" s="264" t="s">
        <v>20</v>
      </c>
      <c r="L19" s="269">
        <f>IF(I18-F18&gt;0,L12+I18-F18,0)</f>
        <v>4000000000</v>
      </c>
      <c r="M19" s="269">
        <f>IF(J18-G18&gt;0,M12+J18-G18,0)</f>
        <v>0</v>
      </c>
      <c r="N19" s="269">
        <f>IF(K18-H18&gt;0,N12+K18-H18,0)</f>
        <v>0</v>
      </c>
    </row>
    <row r="20" spans="1:14">
      <c r="C20" s="228"/>
      <c r="F20" s="270"/>
      <c r="G20" s="270"/>
      <c r="H20" s="270"/>
      <c r="I20" s="270"/>
      <c r="J20" s="270"/>
      <c r="K20" s="270"/>
      <c r="L20" s="270"/>
      <c r="M20" s="270"/>
      <c r="N20" s="270"/>
    </row>
    <row r="21" spans="1:14" s="273" customFormat="1">
      <c r="A21" s="271"/>
      <c r="B21" s="272" t="s">
        <v>156</v>
      </c>
      <c r="E21" s="271"/>
    </row>
    <row r="22" spans="1:14" s="273" customFormat="1">
      <c r="A22" s="271"/>
      <c r="B22" s="272" t="str">
        <f>"- Ngày mở sổ: "&amp;DAY(A14)&amp;"/"&amp;MONTH(A14)&amp;"/"&amp;YEAR(A14)</f>
        <v>- Ngày mở sổ: 1/2/2008</v>
      </c>
      <c r="E22" s="271"/>
      <c r="K22" s="271" t="s">
        <v>214</v>
      </c>
    </row>
    <row r="23" spans="1:14" s="273" customFormat="1">
      <c r="A23" s="271"/>
      <c r="B23" s="271"/>
      <c r="C23" s="271"/>
      <c r="K23" s="271" t="s">
        <v>13</v>
      </c>
    </row>
    <row r="24" spans="1:14" s="273" customFormat="1">
      <c r="C24" s="271" t="s">
        <v>12</v>
      </c>
      <c r="K24" s="271" t="s">
        <v>14</v>
      </c>
    </row>
    <row r="25" spans="1:14" s="273" customFormat="1">
      <c r="C25" s="271" t="s">
        <v>14</v>
      </c>
    </row>
    <row r="26" spans="1:14">
      <c r="C26" s="228"/>
    </row>
    <row r="27" spans="1:14">
      <c r="C27" s="228"/>
    </row>
    <row r="28" spans="1:14">
      <c r="C28" s="228"/>
    </row>
    <row r="29" spans="1:14">
      <c r="C29" s="228" t="str">
        <f>'[2]1111'!B36</f>
        <v>Đặng Vũ Thụy</v>
      </c>
      <c r="K29" s="274">
        <f>'[2]1111'!E36</f>
        <v>0</v>
      </c>
    </row>
  </sheetData>
  <mergeCells count="18">
    <mergeCell ref="A8:A10"/>
    <mergeCell ref="B8:C8"/>
    <mergeCell ref="D8:D10"/>
    <mergeCell ref="E8:E10"/>
    <mergeCell ref="F8:K8"/>
    <mergeCell ref="I2:N2"/>
    <mergeCell ref="I3:N4"/>
    <mergeCell ref="A5:N5"/>
    <mergeCell ref="A6:N6"/>
    <mergeCell ref="C7:N7"/>
    <mergeCell ref="L8:N8"/>
    <mergeCell ref="B9:B10"/>
    <mergeCell ref="C9:C10"/>
    <mergeCell ref="F9:H9"/>
    <mergeCell ref="I9:K9"/>
    <mergeCell ref="L9:L10"/>
    <mergeCell ref="M9:M10"/>
    <mergeCell ref="N9:N10"/>
  </mergeCells>
  <printOptions horizontalCentered="1"/>
  <pageMargins left="0.39370078740157483" right="0" top="0.39370078740157483" bottom="0" header="0" footer="0"/>
  <pageSetup paperSize="9" scale="90" orientation="landscape" horizontalDpi="0" verticalDpi="0" r:id="rId1"/>
  <headerFooter alignWithMargins="0">
    <oddFooter>&amp;R 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CDPS</vt:lpstr>
      <vt:lpstr>TH</vt:lpstr>
      <vt:lpstr>01-03</vt:lpstr>
      <vt:lpstr>IN - TC</vt:lpstr>
      <vt:lpstr>1111</vt:lpstr>
      <vt:lpstr>4111</vt:lpstr>
      <vt:lpstr>_C111</vt:lpstr>
      <vt:lpstr>_N111</vt:lpstr>
      <vt:lpstr>DSTK</vt:lpstr>
      <vt:lpstr>KH</vt:lpstr>
      <vt:lpstr>KHC</vt:lpstr>
      <vt:lpstr>KHN</vt:lpstr>
      <vt:lpstr>TH</vt:lpstr>
      <vt:lpstr>THC</vt:lpstr>
      <vt:lpstr>THN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2015-12-14T05:02:04Z</dcterms:modified>
</cp:coreProperties>
</file>