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IN - TC" sheetId="39" r:id="rId8"/>
    <sheet name="1111" sheetId="42" r:id="rId9"/>
  </sheets>
  <externalReferences>
    <externalReference r:id="rId10"/>
    <externalReference r:id="rId11"/>
  </externalReferences>
  <definedNames>
    <definedName name="_C111">TH!$N$11:$N$225</definedName>
    <definedName name="_C112">TH!#REF!</definedName>
    <definedName name="_C133">TH!#REF!</definedName>
    <definedName name="_Fill" localSheetId="6" hidden="1">#REF!</definedName>
    <definedName name="_Fill" hidden="1">#REF!</definedName>
    <definedName name="_xlnm._FilterDatabase" localSheetId="2" hidden="1">'01-03'!$A$9:$AW$33</definedName>
    <definedName name="_xlnm._FilterDatabase" localSheetId="3" hidden="1">'04-06'!$A$9:$AW$23</definedName>
    <definedName name="_xlnm._FilterDatabase" localSheetId="4" hidden="1">'07-09'!$A$9:$AW$22</definedName>
    <definedName name="_xlnm._FilterDatabase" localSheetId="5" hidden="1">'10-12'!$A$9:$AW$28</definedName>
    <definedName name="_xlnm._FilterDatabase" localSheetId="8" hidden="1">'1111'!$A$11:$J$18</definedName>
    <definedName name="_xlnm._FilterDatabase" localSheetId="6" hidden="1">CTTK!$A$13:$J$15</definedName>
    <definedName name="_xlnm._FilterDatabase" localSheetId="1" hidden="1">TH!$A$9:$N$99</definedName>
    <definedName name="_N111">TH!$M$11:$M$225</definedName>
    <definedName name="_N112">TH!#REF!</definedName>
    <definedName name="_N133">TH!#REF!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#REF!</definedName>
    <definedName name="DSKU">#REF!</definedName>
    <definedName name="DSTK">CDPS!$A$10:$D$40</definedName>
    <definedName name="DSTT">'[1]TH - TT'!$K$7:$K$226</definedName>
    <definedName name="DSTT1">'[1]TH - TT'!$I$7:$I$227</definedName>
    <definedName name="hgdgdgf">TH!$K$11:$K$225</definedName>
    <definedName name="KH">TH!$H$11:$H$225</definedName>
    <definedName name="KHC">TH!$K$11:$K$225</definedName>
    <definedName name="KHN">TH!$J$11:$J$225</definedName>
    <definedName name="Loai">OFFSET(TH!#REF!,,,COUNTA(TH!#REF!))</definedName>
    <definedName name="Loai1">OFFSET(TH!$L$5,,,COUNTA(TH!$L$5:$L$38535))</definedName>
    <definedName name="Loai2">OFFSET(TH!#REF!,,,COUNTA(TH!#REF!))</definedName>
    <definedName name="Loai3">OFFSET(TH!#REF!,,,COUNTA(TH!#REF!))</definedName>
    <definedName name="Loai4">OFFSET(TH!#REF!,,,COUNTA(TH!#REF!))</definedName>
    <definedName name="Loai5">OFFSET(TH!$O$5,,,COUNTA(TH!$O$5:$O$38535))</definedName>
    <definedName name="Loai6">OFFSET(TH!$P$5,,,COUNTA(TH!$P$5:$P$38535))</definedName>
    <definedName name="_xlnm.Print_Area" localSheetId="5">'10-12'!$A$6:$AW$33</definedName>
    <definedName name="_xlnm.Print_Area" localSheetId="8">'1111'!$A$1:$J$28</definedName>
    <definedName name="_xlnm.Print_Area" localSheetId="7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8">'1111'!$9:$11</definedName>
    <definedName name="TH">TH!$I$11:$I$225</definedName>
    <definedName name="THN">#REF!</definedName>
    <definedName name="TM">TH!$A$11:$K$225</definedName>
  </definedNames>
  <calcPr calcId="124519"/>
</workbook>
</file>

<file path=xl/calcChain.xml><?xml version="1.0" encoding="utf-8"?>
<calcChain xmlns="http://schemas.openxmlformats.org/spreadsheetml/2006/main">
  <c r="E11" i="34"/>
  <c r="E12"/>
  <c r="E13"/>
  <c r="E14"/>
  <c r="E15"/>
  <c r="E16"/>
  <c r="E10"/>
  <c r="D13" i="49"/>
  <c r="AW13"/>
  <c r="AV13"/>
  <c r="AU13"/>
  <c r="AT13"/>
  <c r="AS13"/>
  <c r="AR13"/>
  <c r="AQ13"/>
  <c r="AP13"/>
  <c r="AO13"/>
  <c r="AN13"/>
  <c r="AL13"/>
  <c r="AK13"/>
  <c r="AJ13"/>
  <c r="AH13"/>
  <c r="AG13"/>
  <c r="AE13"/>
  <c r="AD13"/>
  <c r="AC13"/>
  <c r="AB13"/>
  <c r="AA13"/>
  <c r="Z13"/>
  <c r="Y13"/>
  <c r="X13"/>
  <c r="W13"/>
  <c r="V13"/>
  <c r="U13"/>
  <c r="T13"/>
  <c r="S13"/>
  <c r="Q13"/>
  <c r="P13"/>
  <c r="O13"/>
  <c r="N13"/>
  <c r="M13"/>
  <c r="L13"/>
  <c r="K13"/>
  <c r="J13"/>
  <c r="M9" i="39" l="1"/>
  <c r="A30" i="48" l="1" a="1"/>
  <c r="A30" s="1"/>
  <c r="I30" s="1"/>
  <c r="A31" a="1"/>
  <c r="A31" s="1"/>
  <c r="I16" i="34"/>
  <c r="B16"/>
  <c r="A16" s="1"/>
  <c r="AK10" i="48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5" i="51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A25" a="1"/>
  <c r="A25" s="1"/>
  <c r="I25" s="1"/>
  <c r="AW24"/>
  <c r="AU24"/>
  <c r="AT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D24"/>
  <c r="AV23"/>
  <c r="AU23"/>
  <c r="AT23"/>
  <c r="AS23"/>
  <c r="AR23"/>
  <c r="AQ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D23"/>
  <c r="AV22"/>
  <c r="AU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D22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D21"/>
  <c r="AW20"/>
  <c r="AU20"/>
  <c r="AT20"/>
  <c r="AS20"/>
  <c r="AR20"/>
  <c r="AQ20"/>
  <c r="AP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D20"/>
  <c r="AW19"/>
  <c r="AU19"/>
  <c r="AT19"/>
  <c r="AS19"/>
  <c r="AR19"/>
  <c r="AQ19"/>
  <c r="AP19"/>
  <c r="AO19"/>
  <c r="AN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Q19"/>
  <c r="P19"/>
  <c r="O19"/>
  <c r="N19"/>
  <c r="M19"/>
  <c r="L19"/>
  <c r="K19"/>
  <c r="J19"/>
  <c r="D19"/>
  <c r="A10" a="1"/>
  <c r="A10" s="1"/>
  <c r="AV27" i="50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A19" a="1"/>
  <c r="A19" s="1"/>
  <c r="I19" s="1"/>
  <c r="AW18"/>
  <c r="AU18"/>
  <c r="AT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V17"/>
  <c r="AU17"/>
  <c r="AT17"/>
  <c r="AS17"/>
  <c r="AR17"/>
  <c r="AQ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D17"/>
  <c r="AV16"/>
  <c r="AU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D16"/>
  <c r="AV15"/>
  <c r="AU15"/>
  <c r="AT15"/>
  <c r="AS15"/>
  <c r="AR15"/>
  <c r="AQ15"/>
  <c r="AP15"/>
  <c r="AO15"/>
  <c r="AN15"/>
  <c r="AM15"/>
  <c r="AL15"/>
  <c r="AK15"/>
  <c r="AJ15"/>
  <c r="AI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D15"/>
  <c r="AW14"/>
  <c r="AU14"/>
  <c r="AT14"/>
  <c r="AS14"/>
  <c r="AR14"/>
  <c r="AQ14"/>
  <c r="AP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D14"/>
  <c r="AW13"/>
  <c r="AU13"/>
  <c r="AT13"/>
  <c r="AS13"/>
  <c r="AR13"/>
  <c r="AQ13"/>
  <c r="AP13"/>
  <c r="AO13"/>
  <c r="AN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Q13"/>
  <c r="P13"/>
  <c r="O13"/>
  <c r="N13"/>
  <c r="M13"/>
  <c r="L13"/>
  <c r="K13"/>
  <c r="J13"/>
  <c r="D13"/>
  <c r="A10" a="1"/>
  <c r="A10" s="1"/>
  <c r="AV28" i="49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A20" a="1"/>
  <c r="A20" s="1"/>
  <c r="I20" s="1"/>
  <c r="AW19"/>
  <c r="AU19"/>
  <c r="AT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D19"/>
  <c r="AV18"/>
  <c r="AU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V17"/>
  <c r="AU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D17"/>
  <c r="AV16"/>
  <c r="AU16"/>
  <c r="AT16"/>
  <c r="AS16"/>
  <c r="AR16"/>
  <c r="AQ16"/>
  <c r="AP16"/>
  <c r="AO16"/>
  <c r="AN16"/>
  <c r="AM16"/>
  <c r="AL16"/>
  <c r="AK16"/>
  <c r="AJ16"/>
  <c r="AI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D16"/>
  <c r="AW15"/>
  <c r="AU15"/>
  <c r="AT15"/>
  <c r="AS15"/>
  <c r="AR15"/>
  <c r="AQ15"/>
  <c r="AP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D15"/>
  <c r="AW14"/>
  <c r="AU14"/>
  <c r="AT14"/>
  <c r="AS14"/>
  <c r="AR14"/>
  <c r="AQ14"/>
  <c r="AP14"/>
  <c r="AO14"/>
  <c r="AN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Q14"/>
  <c r="P14"/>
  <c r="O14"/>
  <c r="N14"/>
  <c r="M14"/>
  <c r="L14"/>
  <c r="K14"/>
  <c r="J14"/>
  <c r="D14"/>
  <c r="A10" a="1"/>
  <c r="A10" s="1"/>
  <c r="AV38" i="48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AW29"/>
  <c r="AU29"/>
  <c r="AT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D29"/>
  <c r="AV28"/>
  <c r="AU28"/>
  <c r="AT28"/>
  <c r="AS28"/>
  <c r="AR28"/>
  <c r="AQ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D28"/>
  <c r="AV27"/>
  <c r="AU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D27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D26"/>
  <c r="AW25"/>
  <c r="AU25"/>
  <c r="AT25"/>
  <c r="AS25"/>
  <c r="AR25"/>
  <c r="AQ25"/>
  <c r="AP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D25"/>
  <c r="AW24"/>
  <c r="AU24"/>
  <c r="AT24"/>
  <c r="AS24"/>
  <c r="AR24"/>
  <c r="AQ24"/>
  <c r="AP24"/>
  <c r="AO24"/>
  <c r="AN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Q24"/>
  <c r="P24"/>
  <c r="O24"/>
  <c r="N24"/>
  <c r="M24"/>
  <c r="L24"/>
  <c r="K24"/>
  <c r="J24"/>
  <c r="D24"/>
  <c r="AW23"/>
  <c r="AV23"/>
  <c r="AU23"/>
  <c r="AT23"/>
  <c r="AS23"/>
  <c r="AR23"/>
  <c r="AQ23"/>
  <c r="AP23"/>
  <c r="AO23"/>
  <c r="AN23"/>
  <c r="AM23"/>
  <c r="AL23"/>
  <c r="AK23"/>
  <c r="AJ23"/>
  <c r="AG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AH23"/>
  <c r="D23"/>
  <c r="A10" a="1"/>
  <c r="A10" s="1"/>
  <c r="O7" i="34"/>
  <c r="R13" i="49" l="1"/>
  <c r="AM13"/>
  <c r="O13" i="34"/>
  <c r="O15"/>
  <c r="O17"/>
  <c r="O19"/>
  <c r="O21"/>
  <c r="O23"/>
  <c r="O25"/>
  <c r="O27"/>
  <c r="O29"/>
  <c r="O31"/>
  <c r="O33"/>
  <c r="O35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54"/>
  <c r="O56"/>
  <c r="O58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AI23" i="48"/>
  <c r="AF23"/>
  <c r="O10" i="34"/>
  <c r="O11"/>
  <c r="AV24" i="48" l="1"/>
  <c r="AV19" i="51"/>
  <c r="AV13" i="50"/>
  <c r="AV14" i="49"/>
  <c r="D16" i="47"/>
  <c r="E17"/>
  <c r="B18"/>
  <c r="F18"/>
  <c r="C16"/>
  <c r="G16"/>
  <c r="D17"/>
  <c r="A18"/>
  <c r="E18"/>
  <c r="B16"/>
  <c r="D18"/>
  <c r="A16"/>
  <c r="E16"/>
  <c r="B17"/>
  <c r="B15"/>
  <c r="D15"/>
  <c r="F15"/>
  <c r="E15"/>
  <c r="I14" l="1"/>
  <c r="H14"/>
  <c r="E8"/>
  <c r="B59" i="34" l="1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10" i="42"/>
  <c r="I22" s="1"/>
  <c r="N10"/>
  <c r="P39" i="34" l="1"/>
  <c r="A39"/>
  <c r="P36"/>
  <c r="A36"/>
  <c r="P33"/>
  <c r="A33"/>
  <c r="P31"/>
  <c r="A31"/>
  <c r="P29"/>
  <c r="A29"/>
  <c r="P27"/>
  <c r="A27"/>
  <c r="P25"/>
  <c r="A25"/>
  <c r="P23"/>
  <c r="A23"/>
  <c r="P21"/>
  <c r="A21"/>
  <c r="P19"/>
  <c r="A19"/>
  <c r="P82"/>
  <c r="A82"/>
  <c r="P79"/>
  <c r="A79"/>
  <c r="P77"/>
  <c r="A77"/>
  <c r="P75"/>
  <c r="A75"/>
  <c r="P72"/>
  <c r="A72"/>
  <c r="P70"/>
  <c r="A70"/>
  <c r="P66"/>
  <c r="A66"/>
  <c r="P63"/>
  <c r="A63"/>
  <c r="P61"/>
  <c r="A61"/>
  <c r="P59"/>
  <c r="A59"/>
  <c r="P38"/>
  <c r="A38"/>
  <c r="P35"/>
  <c r="A35"/>
  <c r="P32"/>
  <c r="A32"/>
  <c r="P30"/>
  <c r="A30"/>
  <c r="P28"/>
  <c r="A28"/>
  <c r="P26"/>
  <c r="A26"/>
  <c r="P24"/>
  <c r="A24"/>
  <c r="P22"/>
  <c r="A22"/>
  <c r="P20"/>
  <c r="A20"/>
  <c r="P18"/>
  <c r="A18"/>
  <c r="P80"/>
  <c r="A80"/>
  <c r="P78"/>
  <c r="A78"/>
  <c r="P76"/>
  <c r="A76"/>
  <c r="P73"/>
  <c r="A73"/>
  <c r="P71"/>
  <c r="A71"/>
  <c r="P67"/>
  <c r="A67"/>
  <c r="P64"/>
  <c r="A64"/>
  <c r="P62"/>
  <c r="A62"/>
  <c r="P60"/>
  <c r="A60"/>
  <c r="L16"/>
  <c r="M16"/>
  <c r="N16"/>
  <c r="M39"/>
  <c r="N39"/>
  <c r="L39"/>
  <c r="L36"/>
  <c r="N36"/>
  <c r="M36"/>
  <c r="M33"/>
  <c r="N33"/>
  <c r="L33"/>
  <c r="M31"/>
  <c r="N31"/>
  <c r="L31"/>
  <c r="M29"/>
  <c r="N29"/>
  <c r="L29"/>
  <c r="M27"/>
  <c r="N27"/>
  <c r="L27"/>
  <c r="M25"/>
  <c r="N25"/>
  <c r="L25"/>
  <c r="M23"/>
  <c r="N23"/>
  <c r="L23"/>
  <c r="M21"/>
  <c r="N21"/>
  <c r="L21"/>
  <c r="M19"/>
  <c r="N19"/>
  <c r="L19"/>
  <c r="L82"/>
  <c r="N82"/>
  <c r="M82"/>
  <c r="M79"/>
  <c r="N79"/>
  <c r="L79"/>
  <c r="M77"/>
  <c r="N77"/>
  <c r="L77"/>
  <c r="M75"/>
  <c r="N75"/>
  <c r="L75"/>
  <c r="L72"/>
  <c r="N72"/>
  <c r="M72"/>
  <c r="L70"/>
  <c r="N70"/>
  <c r="M70"/>
  <c r="L66"/>
  <c r="N66"/>
  <c r="M66"/>
  <c r="M63"/>
  <c r="N63"/>
  <c r="L63"/>
  <c r="M61"/>
  <c r="N61"/>
  <c r="L61"/>
  <c r="M59"/>
  <c r="N59"/>
  <c r="L59"/>
  <c r="L38"/>
  <c r="N38"/>
  <c r="M38"/>
  <c r="M35"/>
  <c r="N35"/>
  <c r="L35"/>
  <c r="L32"/>
  <c r="N32"/>
  <c r="M32"/>
  <c r="L30"/>
  <c r="N30"/>
  <c r="M30"/>
  <c r="L28"/>
  <c r="N28"/>
  <c r="M28"/>
  <c r="L26"/>
  <c r="N26"/>
  <c r="M26"/>
  <c r="L24"/>
  <c r="N24"/>
  <c r="M24"/>
  <c r="L22"/>
  <c r="N22"/>
  <c r="M22"/>
  <c r="L20"/>
  <c r="N20"/>
  <c r="M20"/>
  <c r="L18"/>
  <c r="N18"/>
  <c r="M18"/>
  <c r="L80"/>
  <c r="N80"/>
  <c r="M80"/>
  <c r="L78"/>
  <c r="N78"/>
  <c r="M78"/>
  <c r="L76"/>
  <c r="N76"/>
  <c r="M76"/>
  <c r="M73"/>
  <c r="N73"/>
  <c r="L73"/>
  <c r="M71"/>
  <c r="N71"/>
  <c r="L71"/>
  <c r="M67"/>
  <c r="N67"/>
  <c r="L67"/>
  <c r="L64"/>
  <c r="N64"/>
  <c r="M64"/>
  <c r="L62"/>
  <c r="N62"/>
  <c r="M62"/>
  <c r="L60"/>
  <c r="N60"/>
  <c r="M60"/>
  <c r="C41" i="15"/>
  <c r="D41" l="1"/>
  <c r="L1" i="39" l="1"/>
  <c r="L3"/>
  <c r="L2"/>
  <c r="M17" l="1"/>
  <c r="H17"/>
  <c r="C11"/>
  <c r="M7"/>
  <c r="L7"/>
  <c r="H4" l="1"/>
  <c r="A17" i="47" l="1"/>
  <c r="C18"/>
  <c r="I11" i="34"/>
  <c r="I15"/>
  <c r="I14"/>
  <c r="I13"/>
  <c r="I12"/>
  <c r="G18" i="47" l="1"/>
  <c r="G17"/>
  <c r="F17"/>
  <c r="F16"/>
  <c r="B15" i="34"/>
  <c r="A15" s="1"/>
  <c r="B95"/>
  <c r="B94"/>
  <c r="F20" i="47" l="1"/>
  <c r="P94" i="34"/>
  <c r="A94"/>
  <c r="P95"/>
  <c r="A95"/>
  <c r="A12" i="48" a="1"/>
  <c r="A12" s="1"/>
  <c r="I12" s="1"/>
  <c r="M95" i="34"/>
  <c r="N95"/>
  <c r="L95"/>
  <c r="L94"/>
  <c r="N94"/>
  <c r="M94"/>
  <c r="M15"/>
  <c r="N15"/>
  <c r="L15"/>
  <c r="A20" i="48" l="1" a="1"/>
  <c r="A20" s="1"/>
  <c r="I20" s="1"/>
  <c r="A16" a="1"/>
  <c r="A16" s="1"/>
  <c r="I16" s="1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19" a="1"/>
  <c r="A19" s="1"/>
  <c r="I19" s="1"/>
  <c r="A15" a="1"/>
  <c r="A15" s="1"/>
  <c r="I15" s="1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22" a="1"/>
  <c r="A22" s="1"/>
  <c r="I22" s="1"/>
  <c r="A18" a="1"/>
  <c r="A18" s="1"/>
  <c r="I18" s="1"/>
  <c r="A14" a="1"/>
  <c r="A14" s="1"/>
  <c r="I14" s="1"/>
  <c r="A21" a="1"/>
  <c r="A21" s="1"/>
  <c r="I21" s="1"/>
  <c r="A17" a="1"/>
  <c r="A17" s="1"/>
  <c r="I17" s="1"/>
  <c r="A13" a="1"/>
  <c r="A13" s="1"/>
  <c r="I13" s="1"/>
  <c r="AW18" i="51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17" a="1"/>
  <c r="A17" s="1"/>
  <c r="I17" s="1"/>
  <c r="A13" a="1"/>
  <c r="A13" s="1"/>
  <c r="I13" s="1"/>
  <c r="A16" a="1"/>
  <c r="A16" s="1"/>
  <c r="I16" s="1"/>
  <c r="A12" a="1"/>
  <c r="A12" s="1"/>
  <c r="I12" s="1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15" a="1"/>
  <c r="A15" s="1"/>
  <c r="I15" s="1"/>
  <c r="A18" a="1"/>
  <c r="A18" s="1"/>
  <c r="I18" s="1"/>
  <c r="A14" a="1"/>
  <c r="A14" s="1"/>
  <c r="I14" s="1"/>
  <c r="B12" i="34" l="1"/>
  <c r="A12" s="1"/>
  <c r="B10"/>
  <c r="A10" s="1"/>
  <c r="B13"/>
  <c r="A13" s="1"/>
  <c r="B14"/>
  <c r="A14" s="1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97"/>
  <c r="B11"/>
  <c r="A11" s="1"/>
  <c r="P91" l="1"/>
  <c r="A91"/>
  <c r="P89"/>
  <c r="A89"/>
  <c r="P87"/>
  <c r="A87"/>
  <c r="P93"/>
  <c r="A93"/>
  <c r="P84"/>
  <c r="A84"/>
  <c r="P83"/>
  <c r="A83"/>
  <c r="P57"/>
  <c r="A57"/>
  <c r="P55"/>
  <c r="A55"/>
  <c r="P53"/>
  <c r="A53"/>
  <c r="P51"/>
  <c r="A51"/>
  <c r="P49"/>
  <c r="A49"/>
  <c r="P47"/>
  <c r="A47"/>
  <c r="P45"/>
  <c r="A45"/>
  <c r="P43"/>
  <c r="A43"/>
  <c r="P42"/>
  <c r="A42"/>
  <c r="P97"/>
  <c r="A97"/>
  <c r="P99"/>
  <c r="A99"/>
  <c r="P90"/>
  <c r="A90"/>
  <c r="P88"/>
  <c r="A88"/>
  <c r="P86"/>
  <c r="A86"/>
  <c r="P92"/>
  <c r="A92"/>
  <c r="P85"/>
  <c r="A85"/>
  <c r="P58"/>
  <c r="A58"/>
  <c r="P56"/>
  <c r="A56"/>
  <c r="P54"/>
  <c r="A54"/>
  <c r="P52"/>
  <c r="A52"/>
  <c r="P50"/>
  <c r="A50"/>
  <c r="P48"/>
  <c r="A48"/>
  <c r="P46"/>
  <c r="A46"/>
  <c r="P44"/>
  <c r="A44"/>
  <c r="P41"/>
  <c r="A41"/>
  <c r="M91"/>
  <c r="N91"/>
  <c r="L91"/>
  <c r="M89"/>
  <c r="N89"/>
  <c r="L89"/>
  <c r="M87"/>
  <c r="N87"/>
  <c r="L87"/>
  <c r="M93"/>
  <c r="N93"/>
  <c r="L93"/>
  <c r="L84"/>
  <c r="N84"/>
  <c r="M84"/>
  <c r="M83"/>
  <c r="N83"/>
  <c r="L83"/>
  <c r="M57"/>
  <c r="N57"/>
  <c r="L57"/>
  <c r="M55"/>
  <c r="N55"/>
  <c r="L55"/>
  <c r="M53"/>
  <c r="N53"/>
  <c r="L53"/>
  <c r="M51"/>
  <c r="N51"/>
  <c r="L51"/>
  <c r="M49"/>
  <c r="N49"/>
  <c r="L49"/>
  <c r="M47"/>
  <c r="N47"/>
  <c r="L47"/>
  <c r="M45"/>
  <c r="N45"/>
  <c r="L45"/>
  <c r="M43"/>
  <c r="N43"/>
  <c r="L43"/>
  <c r="L42"/>
  <c r="N42"/>
  <c r="M42"/>
  <c r="M13"/>
  <c r="N13"/>
  <c r="L13"/>
  <c r="L12"/>
  <c r="N12"/>
  <c r="M12"/>
  <c r="M97"/>
  <c r="N97"/>
  <c r="L97"/>
  <c r="L99"/>
  <c r="N99"/>
  <c r="M99"/>
  <c r="L90"/>
  <c r="N90"/>
  <c r="M90"/>
  <c r="L88"/>
  <c r="N88"/>
  <c r="M88"/>
  <c r="L86"/>
  <c r="N86"/>
  <c r="M86"/>
  <c r="L92"/>
  <c r="N92"/>
  <c r="M92"/>
  <c r="M85"/>
  <c r="N85"/>
  <c r="L85"/>
  <c r="L58"/>
  <c r="N58"/>
  <c r="M58"/>
  <c r="L56"/>
  <c r="N56"/>
  <c r="M56"/>
  <c r="L54"/>
  <c r="N54"/>
  <c r="M54"/>
  <c r="L52"/>
  <c r="N52"/>
  <c r="M52"/>
  <c r="L50"/>
  <c r="N50"/>
  <c r="M50"/>
  <c r="L48"/>
  <c r="N48"/>
  <c r="M48"/>
  <c r="L46"/>
  <c r="N46"/>
  <c r="M46"/>
  <c r="L44"/>
  <c r="N44"/>
  <c r="M44"/>
  <c r="M41"/>
  <c r="N41"/>
  <c r="L41"/>
  <c r="L14"/>
  <c r="N14"/>
  <c r="M14"/>
  <c r="M11"/>
  <c r="N11"/>
  <c r="L11"/>
  <c r="L10"/>
  <c r="N10"/>
  <c r="M10"/>
  <c r="A15" i="47"/>
  <c r="C17"/>
  <c r="C15"/>
  <c r="B65" i="34" l="1"/>
  <c r="B68"/>
  <c r="B81"/>
  <c r="B69"/>
  <c r="B74"/>
  <c r="B37"/>
  <c r="B34"/>
  <c r="B17"/>
  <c r="B98"/>
  <c r="B40"/>
  <c r="B96"/>
  <c r="P40" l="1"/>
  <c r="A40"/>
  <c r="P96"/>
  <c r="A96"/>
  <c r="P98"/>
  <c r="A98"/>
  <c r="P34"/>
  <c r="A34"/>
  <c r="P74"/>
  <c r="A74"/>
  <c r="P81"/>
  <c r="A81"/>
  <c r="P65"/>
  <c r="A65"/>
  <c r="P17"/>
  <c r="A17"/>
  <c r="P37"/>
  <c r="A37"/>
  <c r="P69"/>
  <c r="A69"/>
  <c r="P68"/>
  <c r="A68"/>
  <c r="L96"/>
  <c r="N96"/>
  <c r="M96"/>
  <c r="M98"/>
  <c r="N98"/>
  <c r="L98"/>
  <c r="L34"/>
  <c r="N34"/>
  <c r="M34"/>
  <c r="L74"/>
  <c r="N74"/>
  <c r="M74"/>
  <c r="M81"/>
  <c r="N81"/>
  <c r="L81"/>
  <c r="M65"/>
  <c r="N65"/>
  <c r="L65"/>
  <c r="L40"/>
  <c r="N40"/>
  <c r="M40"/>
  <c r="M17"/>
  <c r="N17"/>
  <c r="L17"/>
  <c r="M37"/>
  <c r="N37"/>
  <c r="L37"/>
  <c r="M69"/>
  <c r="N69"/>
  <c r="L69"/>
  <c r="L68"/>
  <c r="N68"/>
  <c r="M68"/>
  <c r="B12" i="50" l="1"/>
  <c r="D12"/>
  <c r="F12"/>
  <c r="H12"/>
  <c r="B12" i="49"/>
  <c r="D12"/>
  <c r="F12"/>
  <c r="C12" i="50"/>
  <c r="E12"/>
  <c r="G12"/>
  <c r="C12" i="49"/>
  <c r="E12"/>
  <c r="G12"/>
  <c r="H12"/>
  <c r="M8" i="39"/>
  <c r="AT12" i="49" l="1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T12" i="50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I10" i="34"/>
  <c r="G15" i="47" l="1"/>
  <c r="F25" i="15" a="1"/>
  <c r="F25" s="1"/>
  <c r="F26" s="1"/>
  <c r="E34" a="1"/>
  <c r="E34" s="1"/>
  <c r="E10" a="1"/>
  <c r="E10" s="1"/>
  <c r="E11" s="1"/>
  <c r="F27" a="1"/>
  <c r="F27" s="1"/>
  <c r="F28" s="1"/>
  <c r="E14" a="1"/>
  <c r="E14" s="1"/>
  <c r="E15" s="1"/>
  <c r="E21" a="1"/>
  <c r="E21" s="1"/>
  <c r="E29" a="1"/>
  <c r="E29" s="1"/>
  <c r="E30" s="1"/>
  <c r="F21" a="1"/>
  <c r="F21" s="1"/>
  <c r="H21" s="1"/>
  <c r="F12" a="1"/>
  <c r="F12" s="1"/>
  <c r="F13" s="1"/>
  <c r="E40" a="1"/>
  <c r="E40" s="1"/>
  <c r="E25" a="1"/>
  <c r="E25" s="1"/>
  <c r="E35" a="1"/>
  <c r="E35" s="1"/>
  <c r="F22" a="1"/>
  <c r="F22" s="1"/>
  <c r="F14" a="1"/>
  <c r="F14" s="1"/>
  <c r="F15" s="1"/>
  <c r="F29" a="1"/>
  <c r="F29" s="1"/>
  <c r="G29" s="1"/>
  <c r="E39" a="1"/>
  <c r="E39" s="1"/>
  <c r="E27" a="1"/>
  <c r="E27" s="1"/>
  <c r="G27" s="1"/>
  <c r="G28" s="1"/>
  <c r="E37" a="1"/>
  <c r="E37" s="1"/>
  <c r="E38" a="1"/>
  <c r="E38" s="1"/>
  <c r="F36" a="1"/>
  <c r="F36" s="1"/>
  <c r="F35" a="1"/>
  <c r="F35" s="1"/>
  <c r="F37" a="1"/>
  <c r="F37" s="1"/>
  <c r="E18" a="1"/>
  <c r="E18" s="1"/>
  <c r="F18" a="1"/>
  <c r="F18" s="1"/>
  <c r="E12" a="1"/>
  <c r="E12" s="1"/>
  <c r="G12" s="1"/>
  <c r="F31" a="1"/>
  <c r="F31" s="1"/>
  <c r="E22" a="1"/>
  <c r="E22" s="1"/>
  <c r="F16" a="1"/>
  <c r="F16" s="1"/>
  <c r="F17" s="1"/>
  <c r="F10" a="1"/>
  <c r="F10" s="1"/>
  <c r="F11" s="1"/>
  <c r="E20" a="1"/>
  <c r="E20" s="1"/>
  <c r="F20" a="1"/>
  <c r="F20" s="1"/>
  <c r="E31" a="1"/>
  <c r="E31" s="1"/>
  <c r="E16" a="1"/>
  <c r="E16" s="1"/>
  <c r="H16" s="1"/>
  <c r="F39" a="1"/>
  <c r="F39" s="1"/>
  <c r="I39" s="1"/>
  <c r="F34" a="1"/>
  <c r="F34" s="1"/>
  <c r="I34" s="1"/>
  <c r="E36" a="1"/>
  <c r="E36" s="1"/>
  <c r="I36" s="1"/>
  <c r="E32" a="1"/>
  <c r="E32" s="1"/>
  <c r="F32" a="1"/>
  <c r="F32" s="1"/>
  <c r="F40" a="1"/>
  <c r="F40" s="1"/>
  <c r="I40" s="1"/>
  <c r="E13"/>
  <c r="G21"/>
  <c r="F23"/>
  <c r="F24" s="1"/>
  <c r="H14" l="1"/>
  <c r="H15" s="1"/>
  <c r="G10"/>
  <c r="G11" s="1"/>
  <c r="I35"/>
  <c r="I21"/>
  <c r="F33"/>
  <c r="G22"/>
  <c r="G23" s="1"/>
  <c r="G24" s="1"/>
  <c r="I37"/>
  <c r="H27"/>
  <c r="H28" s="1"/>
  <c r="H29"/>
  <c r="G31"/>
  <c r="E17"/>
  <c r="G17" s="1"/>
  <c r="F38" a="1"/>
  <c r="F38" s="1"/>
  <c r="I38" s="1"/>
  <c r="G25"/>
  <c r="G26" s="1"/>
  <c r="H25"/>
  <c r="H26" s="1"/>
  <c r="F30"/>
  <c r="G30" s="1"/>
  <c r="H22"/>
  <c r="H23" s="1"/>
  <c r="H24" s="1"/>
  <c r="H10"/>
  <c r="H11" s="1"/>
  <c r="G14"/>
  <c r="G15" s="1"/>
  <c r="E26"/>
  <c r="E28"/>
  <c r="I22"/>
  <c r="H20"/>
  <c r="H12"/>
  <c r="E23"/>
  <c r="E24" s="1"/>
  <c r="I24" s="1"/>
  <c r="E33"/>
  <c r="G16"/>
  <c r="G20"/>
  <c r="G20" i="47"/>
  <c r="H15"/>
  <c r="I15"/>
  <c r="H18" i="15"/>
  <c r="F19"/>
  <c r="H31"/>
  <c r="G18"/>
  <c r="E19"/>
  <c r="H32"/>
  <c r="G32"/>
  <c r="G33" s="1"/>
  <c r="H13"/>
  <c r="G13"/>
  <c r="H17" l="1"/>
  <c r="H30"/>
  <c r="F41"/>
  <c r="E41"/>
  <c r="I23"/>
  <c r="H33"/>
  <c r="G19"/>
  <c r="I16" i="47"/>
  <c r="I21"/>
  <c r="H21"/>
  <c r="H16"/>
  <c r="H19" i="15"/>
  <c r="G41"/>
  <c r="E43" l="1"/>
  <c r="H41"/>
  <c r="H43" s="1"/>
  <c r="H17" i="47"/>
  <c r="I17"/>
  <c r="I18" l="1"/>
  <c r="H18"/>
  <c r="B11" i="51" l="1"/>
  <c r="D13" i="39"/>
  <c r="G11" i="48"/>
  <c r="D11" i="51"/>
  <c r="E11" i="50"/>
  <c r="C11" i="51"/>
  <c r="D11" i="50"/>
  <c r="G11"/>
  <c r="H11" i="48"/>
  <c r="C14" i="39"/>
  <c r="F11" i="48" l="1"/>
  <c r="G11" i="51"/>
  <c r="AT11" s="1"/>
  <c r="AT26" s="1"/>
  <c r="C11" i="49"/>
  <c r="A13" s="1" a="1"/>
  <c r="A13" s="1"/>
  <c r="I13" s="1"/>
  <c r="D11" i="48"/>
  <c r="C11" i="50"/>
  <c r="G11" i="49"/>
  <c r="AV11" s="1"/>
  <c r="B11" i="50"/>
  <c r="F11" i="49"/>
  <c r="R11" s="1"/>
  <c r="H11"/>
  <c r="H11" i="51"/>
  <c r="AW11" s="1"/>
  <c r="D11" i="49"/>
  <c r="C11" i="48"/>
  <c r="A23" s="1" a="1"/>
  <c r="A23" s="1"/>
  <c r="I23" s="1"/>
  <c r="F11" i="50"/>
  <c r="F11" i="51"/>
  <c r="AN11" s="1"/>
  <c r="AN26" s="1"/>
  <c r="F20" s="1"/>
  <c r="B11" i="48"/>
  <c r="E11" i="49"/>
  <c r="E11" i="51"/>
  <c r="E11" i="48"/>
  <c r="H11" i="50"/>
  <c r="AW11" s="1"/>
  <c r="B11" i="49"/>
  <c r="AW11"/>
  <c r="AS11"/>
  <c r="AO11"/>
  <c r="AK11"/>
  <c r="AK21" s="1"/>
  <c r="F17" s="1"/>
  <c r="AG11"/>
  <c r="AG21" s="1"/>
  <c r="AC11"/>
  <c r="AC21" s="1"/>
  <c r="Y11"/>
  <c r="Y21" s="1"/>
  <c r="U11"/>
  <c r="U21" s="1"/>
  <c r="Q11"/>
  <c r="Q21" s="1"/>
  <c r="M11"/>
  <c r="M21" s="1"/>
  <c r="AU11"/>
  <c r="AU21" s="1"/>
  <c r="AQ11"/>
  <c r="AQ21" s="1"/>
  <c r="F18" s="1"/>
  <c r="AM11"/>
  <c r="AI11"/>
  <c r="AE11"/>
  <c r="AE21" s="1"/>
  <c r="AA11"/>
  <c r="AA21" s="1"/>
  <c r="W11"/>
  <c r="W21" s="1"/>
  <c r="S11"/>
  <c r="S21" s="1"/>
  <c r="O11"/>
  <c r="O21" s="1"/>
  <c r="K11"/>
  <c r="K21" s="1"/>
  <c r="AK11" i="51"/>
  <c r="AK26" s="1"/>
  <c r="F22" s="1"/>
  <c r="U11"/>
  <c r="U26" s="1"/>
  <c r="AQ11"/>
  <c r="AQ26" s="1"/>
  <c r="F23" s="1"/>
  <c r="AA11"/>
  <c r="AA26" s="1"/>
  <c r="K11"/>
  <c r="K26" s="1"/>
  <c r="A28" i="48" a="1"/>
  <c r="A28" s="1"/>
  <c r="I28" s="1"/>
  <c r="A11" a="1"/>
  <c r="A11" s="1"/>
  <c r="I11" s="1"/>
  <c r="AW11"/>
  <c r="AS11"/>
  <c r="AO11"/>
  <c r="AK11"/>
  <c r="AK31" s="1"/>
  <c r="AG11"/>
  <c r="AG31" s="1"/>
  <c r="AC11"/>
  <c r="AC31" s="1"/>
  <c r="Y11"/>
  <c r="Y31" s="1"/>
  <c r="U11"/>
  <c r="U31" s="1"/>
  <c r="Q11"/>
  <c r="Q31" s="1"/>
  <c r="M11"/>
  <c r="M31" s="1"/>
  <c r="AU11"/>
  <c r="AU31" s="1"/>
  <c r="AQ11"/>
  <c r="AQ31" s="1"/>
  <c r="AM11"/>
  <c r="AI11"/>
  <c r="AI31" s="1"/>
  <c r="AE11"/>
  <c r="AE31" s="1"/>
  <c r="AA11"/>
  <c r="AA31" s="1"/>
  <c r="W11"/>
  <c r="W31" s="1"/>
  <c r="S11"/>
  <c r="S31" s="1"/>
  <c r="O11"/>
  <c r="O31" s="1"/>
  <c r="K11"/>
  <c r="K31" s="1"/>
  <c r="AT11" i="50"/>
  <c r="AT20" s="1"/>
  <c r="AP11"/>
  <c r="AL11"/>
  <c r="AL20" s="1"/>
  <c r="F13" s="1"/>
  <c r="AH11"/>
  <c r="AD11"/>
  <c r="AD20" s="1"/>
  <c r="Z11"/>
  <c r="Z20" s="1"/>
  <c r="V11"/>
  <c r="V20" s="1"/>
  <c r="R11"/>
  <c r="N11"/>
  <c r="N20" s="1"/>
  <c r="J11"/>
  <c r="J20" s="1"/>
  <c r="AV11"/>
  <c r="AR11"/>
  <c r="AR20" s="1"/>
  <c r="F18" s="1"/>
  <c r="AN11"/>
  <c r="AN20" s="1"/>
  <c r="F14" s="1"/>
  <c r="AJ11"/>
  <c r="AF11"/>
  <c r="AF20" s="1"/>
  <c r="AB11"/>
  <c r="AB20" s="1"/>
  <c r="X11"/>
  <c r="X20" s="1"/>
  <c r="T11"/>
  <c r="T20" s="1"/>
  <c r="P11"/>
  <c r="P20" s="1"/>
  <c r="L11"/>
  <c r="L20" s="1"/>
  <c r="AP11" i="51"/>
  <c r="AH11"/>
  <c r="AH26" s="1"/>
  <c r="Z11"/>
  <c r="Z26" s="1"/>
  <c r="R11"/>
  <c r="J11"/>
  <c r="J26" s="1"/>
  <c r="AR11"/>
  <c r="AR26" s="1"/>
  <c r="F24" s="1"/>
  <c r="AF11"/>
  <c r="AF26" s="1"/>
  <c r="X11"/>
  <c r="X26" s="1"/>
  <c r="P11"/>
  <c r="P26" s="1"/>
  <c r="A19" i="49" a="1"/>
  <c r="A19" s="1"/>
  <c r="I19" s="1"/>
  <c r="A17" a="1"/>
  <c r="A17" s="1"/>
  <c r="I17" s="1"/>
  <c r="A15" a="1"/>
  <c r="A15" s="1"/>
  <c r="I15" s="1"/>
  <c r="A11" a="1"/>
  <c r="A11" s="1"/>
  <c r="I11" s="1"/>
  <c r="A18" a="1"/>
  <c r="A18" s="1"/>
  <c r="I18" s="1"/>
  <c r="A16" a="1"/>
  <c r="A16" s="1"/>
  <c r="I16" s="1"/>
  <c r="A14" a="1"/>
  <c r="A14" s="1"/>
  <c r="I14" s="1"/>
  <c r="A24" i="51" a="1"/>
  <c r="A24" s="1"/>
  <c r="I24" s="1"/>
  <c r="A22" a="1"/>
  <c r="A22" s="1"/>
  <c r="I22" s="1"/>
  <c r="A20" a="1"/>
  <c r="A20" s="1"/>
  <c r="I20" s="1"/>
  <c r="A19" a="1"/>
  <c r="A19" s="1"/>
  <c r="I19" s="1"/>
  <c r="A23" a="1"/>
  <c r="A23" s="1"/>
  <c r="I23" s="1"/>
  <c r="A21" a="1"/>
  <c r="A21" s="1"/>
  <c r="I21" s="1"/>
  <c r="A11" a="1"/>
  <c r="A11" s="1"/>
  <c r="I11" s="1"/>
  <c r="A13" i="50" a="1"/>
  <c r="A13" s="1"/>
  <c r="I13" s="1"/>
  <c r="A17" a="1"/>
  <c r="A17" s="1"/>
  <c r="I17" s="1"/>
  <c r="A15" a="1"/>
  <c r="A15" s="1"/>
  <c r="I15" s="1"/>
  <c r="A11" a="1"/>
  <c r="A11" s="1"/>
  <c r="I11" s="1"/>
  <c r="A18" a="1"/>
  <c r="A18" s="1"/>
  <c r="I18" s="1"/>
  <c r="A16" a="1"/>
  <c r="A16" s="1"/>
  <c r="I16" s="1"/>
  <c r="A14" a="1"/>
  <c r="A14" s="1"/>
  <c r="I14" s="1"/>
  <c r="AR11" i="49"/>
  <c r="AR21" s="1"/>
  <c r="F19" s="1"/>
  <c r="AJ11"/>
  <c r="AB11"/>
  <c r="AB21" s="1"/>
  <c r="T11"/>
  <c r="T21" s="1"/>
  <c r="L11"/>
  <c r="L21" s="1"/>
  <c r="AP11"/>
  <c r="AH11"/>
  <c r="Z11"/>
  <c r="Z21" s="1"/>
  <c r="N11"/>
  <c r="N21" s="1"/>
  <c r="AV11" i="48"/>
  <c r="AR11"/>
  <c r="AR31" s="1"/>
  <c r="AN11"/>
  <c r="AN31" s="1"/>
  <c r="AJ11"/>
  <c r="AF11"/>
  <c r="AF31" s="1"/>
  <c r="AB11"/>
  <c r="AB31" s="1"/>
  <c r="X11"/>
  <c r="X31" s="1"/>
  <c r="T11"/>
  <c r="T31" s="1"/>
  <c r="P11"/>
  <c r="P31" s="1"/>
  <c r="L11"/>
  <c r="L31" s="1"/>
  <c r="AT11"/>
  <c r="AT31" s="1"/>
  <c r="AP11"/>
  <c r="AL11"/>
  <c r="AL31" s="1"/>
  <c r="AH11"/>
  <c r="AH31" s="1"/>
  <c r="AD11"/>
  <c r="AD31" s="1"/>
  <c r="Z11"/>
  <c r="Z31" s="1"/>
  <c r="V11"/>
  <c r="V31" s="1"/>
  <c r="R11"/>
  <c r="N11"/>
  <c r="N31" s="1"/>
  <c r="J11"/>
  <c r="J31" s="1"/>
  <c r="C12" i="39"/>
  <c r="C15"/>
  <c r="H5"/>
  <c r="M16" s="1"/>
  <c r="C10"/>
  <c r="I12" i="42"/>
  <c r="G13"/>
  <c r="H13"/>
  <c r="A15"/>
  <c r="B15"/>
  <c r="D14"/>
  <c r="F14"/>
  <c r="C15"/>
  <c r="E14"/>
  <c r="F13"/>
  <c r="H14"/>
  <c r="F15"/>
  <c r="A14"/>
  <c r="D15"/>
  <c r="G15"/>
  <c r="A13"/>
  <c r="A21" s="1"/>
  <c r="B14"/>
  <c r="C14"/>
  <c r="E13"/>
  <c r="E15"/>
  <c r="C13"/>
  <c r="D13"/>
  <c r="H15"/>
  <c r="G14"/>
  <c r="B13"/>
  <c r="AA11" i="50" l="1"/>
  <c r="AA20" s="1"/>
  <c r="U11"/>
  <c r="U20" s="1"/>
  <c r="K11"/>
  <c r="K20" s="1"/>
  <c r="AQ11"/>
  <c r="AQ20" s="1"/>
  <c r="F17" s="1"/>
  <c r="AK11"/>
  <c r="AK20" s="1"/>
  <c r="F16" s="1"/>
  <c r="S11"/>
  <c r="S20" s="1"/>
  <c r="AI11"/>
  <c r="AI20" s="1"/>
  <c r="M11"/>
  <c r="M20" s="1"/>
  <c r="AC11"/>
  <c r="AC20" s="1"/>
  <c r="AS11"/>
  <c r="O11"/>
  <c r="O20" s="1"/>
  <c r="W11"/>
  <c r="W20" s="1"/>
  <c r="AE11"/>
  <c r="AE20" s="1"/>
  <c r="AM11"/>
  <c r="AU11"/>
  <c r="AU20" s="1"/>
  <c r="Q11"/>
  <c r="Q20" s="1"/>
  <c r="Y11"/>
  <c r="Y20" s="1"/>
  <c r="AG11"/>
  <c r="AG20" s="1"/>
  <c r="AO11"/>
  <c r="A12" a="1"/>
  <c r="A12" s="1"/>
  <c r="I12" s="1"/>
  <c r="A12" i="49" a="1"/>
  <c r="A12" s="1"/>
  <c r="I12" s="1"/>
  <c r="J11"/>
  <c r="J21" s="1"/>
  <c r="V11"/>
  <c r="V21" s="1"/>
  <c r="AD11"/>
  <c r="AD21" s="1"/>
  <c r="AL11"/>
  <c r="AL21" s="1"/>
  <c r="F14" s="1"/>
  <c r="R14" s="1"/>
  <c r="R21" s="1"/>
  <c r="AT11"/>
  <c r="AT21" s="1"/>
  <c r="P11"/>
  <c r="P21" s="1"/>
  <c r="X11"/>
  <c r="X21" s="1"/>
  <c r="AF11"/>
  <c r="AN11"/>
  <c r="AN21" s="1"/>
  <c r="F15" s="1"/>
  <c r="L11" i="51"/>
  <c r="L26" s="1"/>
  <c r="T11"/>
  <c r="T26" s="1"/>
  <c r="AB11"/>
  <c r="AB26" s="1"/>
  <c r="AJ11"/>
  <c r="AV11"/>
  <c r="N11"/>
  <c r="N26" s="1"/>
  <c r="V11"/>
  <c r="V26" s="1"/>
  <c r="AD11"/>
  <c r="AD26" s="1"/>
  <c r="AL11"/>
  <c r="AL26" s="1"/>
  <c r="F19" s="1"/>
  <c r="AM19" s="1"/>
  <c r="A29" i="48" a="1"/>
  <c r="A29" s="1"/>
  <c r="I29" s="1"/>
  <c r="A27" a="1"/>
  <c r="A27" s="1"/>
  <c r="I27" s="1"/>
  <c r="S11" i="51"/>
  <c r="S26" s="1"/>
  <c r="AI11"/>
  <c r="AI26" s="1"/>
  <c r="M11"/>
  <c r="M26" s="1"/>
  <c r="AC11"/>
  <c r="AC26" s="1"/>
  <c r="AS11"/>
  <c r="A26" i="48" a="1"/>
  <c r="A26" s="1"/>
  <c r="I26" s="1"/>
  <c r="A25" a="1"/>
  <c r="A25" s="1"/>
  <c r="I25" s="1"/>
  <c r="A24" a="1"/>
  <c r="A24" s="1"/>
  <c r="I24" s="1"/>
  <c r="O11" i="51"/>
  <c r="O26" s="1"/>
  <c r="W11"/>
  <c r="W26" s="1"/>
  <c r="AE11"/>
  <c r="AE26" s="1"/>
  <c r="AM11"/>
  <c r="AU11"/>
  <c r="AU26" s="1"/>
  <c r="Q11"/>
  <c r="Q26" s="1"/>
  <c r="Y11"/>
  <c r="Y26" s="1"/>
  <c r="AG11"/>
  <c r="AG26" s="1"/>
  <c r="AO11"/>
  <c r="J32" i="48"/>
  <c r="J10" i="49" s="1"/>
  <c r="J33" i="48"/>
  <c r="Z32"/>
  <c r="Z10" i="49" s="1"/>
  <c r="Z33" i="48"/>
  <c r="Z23" i="49" s="1"/>
  <c r="Z22" i="50" s="1"/>
  <c r="Z28" i="51" s="1"/>
  <c r="AH33" i="48"/>
  <c r="AH32"/>
  <c r="AH10" i="49" s="1"/>
  <c r="L32" i="48"/>
  <c r="L10" i="49" s="1"/>
  <c r="L33" i="48"/>
  <c r="L23" i="49" s="1"/>
  <c r="L22" i="50" s="1"/>
  <c r="T32" i="48"/>
  <c r="T10" i="49" s="1"/>
  <c r="T33" i="48"/>
  <c r="T23" i="49" s="1"/>
  <c r="T22" i="50" s="1"/>
  <c r="AB33" i="48"/>
  <c r="AB23" i="49" s="1"/>
  <c r="AB22" i="50" s="1"/>
  <c r="AB32" i="48"/>
  <c r="AB10" i="49" s="1"/>
  <c r="F29" i="48"/>
  <c r="AR33"/>
  <c r="AR23" i="49" s="1"/>
  <c r="AR22" i="50" s="1"/>
  <c r="AR28" i="51" s="1"/>
  <c r="AS19" i="49"/>
  <c r="AS21" s="1"/>
  <c r="AV19"/>
  <c r="AO20" i="51"/>
  <c r="AO26" s="1"/>
  <c r="AV20"/>
  <c r="AV14" i="50"/>
  <c r="AO14"/>
  <c r="AO20" s="1"/>
  <c r="R13"/>
  <c r="R20" s="1"/>
  <c r="AM13"/>
  <c r="AM20" s="1"/>
  <c r="O33" i="48"/>
  <c r="O23" i="49" s="1"/>
  <c r="O22" i="50" s="1"/>
  <c r="O32" i="48"/>
  <c r="O10" i="49" s="1"/>
  <c r="W33" i="48"/>
  <c r="W32"/>
  <c r="W10" i="49" s="1"/>
  <c r="AE33" i="48"/>
  <c r="AE23" i="49" s="1"/>
  <c r="AE22" i="50" s="1"/>
  <c r="AE32" i="48"/>
  <c r="AE10" i="49" s="1"/>
  <c r="AU33" i="48"/>
  <c r="AU23" i="49" s="1"/>
  <c r="AU22" i="50" s="1"/>
  <c r="AU32" i="48"/>
  <c r="AU10" i="49" s="1"/>
  <c r="Q33" i="48"/>
  <c r="Q23" i="49" s="1"/>
  <c r="Q22" i="50" s="1"/>
  <c r="Q32" i="48"/>
  <c r="Q10" i="49" s="1"/>
  <c r="Y33" i="48"/>
  <c r="Y23" i="49" s="1"/>
  <c r="Y22" i="50" s="1"/>
  <c r="Y32" i="48"/>
  <c r="Y10" i="49" s="1"/>
  <c r="AG33" i="48"/>
  <c r="AG23" i="49" s="1"/>
  <c r="AG22" i="50" s="1"/>
  <c r="AG32" i="48"/>
  <c r="AG10" i="49" s="1"/>
  <c r="W23"/>
  <c r="W22" i="50" s="1"/>
  <c r="N33" i="48"/>
  <c r="N23" i="49" s="1"/>
  <c r="N22" i="50" s="1"/>
  <c r="N32" i="48"/>
  <c r="N10" i="49" s="1"/>
  <c r="V33" i="48"/>
  <c r="V32"/>
  <c r="V10" i="49" s="1"/>
  <c r="AD32" i="48"/>
  <c r="AD10" i="49" s="1"/>
  <c r="AD33" i="48"/>
  <c r="AL33"/>
  <c r="F24"/>
  <c r="AT32"/>
  <c r="AT10" i="49" s="1"/>
  <c r="AT33" i="48"/>
  <c r="P32"/>
  <c r="P10" i="49" s="1"/>
  <c r="P33" i="48"/>
  <c r="X33"/>
  <c r="X32"/>
  <c r="X10" i="49" s="1"/>
  <c r="AF32" i="48"/>
  <c r="AF10" i="49" s="1"/>
  <c r="F13" s="1"/>
  <c r="AF33" i="48"/>
  <c r="F25"/>
  <c r="AN33"/>
  <c r="AS24" i="51"/>
  <c r="AV24"/>
  <c r="AV18" i="50"/>
  <c r="AS18"/>
  <c r="AS20" s="1"/>
  <c r="K33" i="48"/>
  <c r="K23" i="49" s="1"/>
  <c r="K22" i="50" s="1"/>
  <c r="K28" i="51" s="1"/>
  <c r="K32" i="48"/>
  <c r="K10" i="49" s="1"/>
  <c r="S33" i="48"/>
  <c r="S23" i="49" s="1"/>
  <c r="S22" i="50" s="1"/>
  <c r="AA33" i="48"/>
  <c r="AA23" i="49" s="1"/>
  <c r="AA22" i="50" s="1"/>
  <c r="AA28" i="51" s="1"/>
  <c r="AA32" i="48"/>
  <c r="AA10" i="49" s="1"/>
  <c r="AI33" i="48"/>
  <c r="AI32"/>
  <c r="AI10" i="49" s="1"/>
  <c r="F28" i="48"/>
  <c r="AQ33"/>
  <c r="AQ23" i="49" s="1"/>
  <c r="AQ22" i="50" s="1"/>
  <c r="AQ28" i="51" s="1"/>
  <c r="M33" i="48"/>
  <c r="M23" i="49" s="1"/>
  <c r="M22" i="50" s="1"/>
  <c r="M32" i="48"/>
  <c r="M10" i="49" s="1"/>
  <c r="U33" i="48"/>
  <c r="U23" i="49" s="1"/>
  <c r="U22" i="50" s="1"/>
  <c r="U28" i="51" s="1"/>
  <c r="U32" i="48"/>
  <c r="U10" i="49" s="1"/>
  <c r="AC33" i="48"/>
  <c r="AC23" i="49" s="1"/>
  <c r="AC22" i="50" s="1"/>
  <c r="AC32" i="48"/>
  <c r="AC10" i="49" s="1"/>
  <c r="AC22" s="1"/>
  <c r="AC10" i="50" s="1"/>
  <c r="AK33" i="48"/>
  <c r="AK23" i="49" s="1"/>
  <c r="AK22" i="50" s="1"/>
  <c r="AK28" i="51" s="1"/>
  <c r="F27" i="48"/>
  <c r="AW17" i="50"/>
  <c r="AP17"/>
  <c r="AP20" s="1"/>
  <c r="AJ16"/>
  <c r="AJ20" s="1"/>
  <c r="AW16"/>
  <c r="AP23" i="51"/>
  <c r="AP26" s="1"/>
  <c r="AW23"/>
  <c r="AJ22"/>
  <c r="AW22"/>
  <c r="AW26" s="1"/>
  <c r="AP18" i="49"/>
  <c r="AP21" s="1"/>
  <c r="AW18"/>
  <c r="AJ17"/>
  <c r="AJ21" s="1"/>
  <c r="AW17"/>
  <c r="G17" i="42"/>
  <c r="H17"/>
  <c r="I13"/>
  <c r="I14" s="1"/>
  <c r="I15" s="1"/>
  <c r="E29"/>
  <c r="AI13" i="49" l="1"/>
  <c r="AI21" s="1"/>
  <c r="AI23" s="1"/>
  <c r="AI22" i="50" s="1"/>
  <c r="AI28" i="51" s="1"/>
  <c r="AF13" i="49"/>
  <c r="AF21"/>
  <c r="AF22" s="1"/>
  <c r="AF10" i="50" s="1"/>
  <c r="L28" i="51"/>
  <c r="X23" i="49"/>
  <c r="X22" i="50" s="1"/>
  <c r="X28" i="51" s="1"/>
  <c r="AT22" i="49"/>
  <c r="AT10" i="50" s="1"/>
  <c r="AD22" i="49"/>
  <c r="AD10" i="50" s="1"/>
  <c r="N28" i="51"/>
  <c r="AM14" i="49"/>
  <c r="AM21" s="1"/>
  <c r="P22"/>
  <c r="P10" i="50" s="1"/>
  <c r="AL23" i="49"/>
  <c r="AL22" i="50" s="1"/>
  <c r="AL28" i="51" s="1"/>
  <c r="V23" i="49"/>
  <c r="V22" i="50" s="1"/>
  <c r="V28" i="51" s="1"/>
  <c r="R19"/>
  <c r="R26" s="1"/>
  <c r="AJ26"/>
  <c r="M28"/>
  <c r="K22" i="49"/>
  <c r="K10" i="50" s="1"/>
  <c r="AN23" i="49"/>
  <c r="AN22" i="50" s="1"/>
  <c r="AN28" i="51" s="1"/>
  <c r="S28"/>
  <c r="AS26"/>
  <c r="AT23" i="49"/>
  <c r="AT22" i="50" s="1"/>
  <c r="AT28" i="51" s="1"/>
  <c r="AD23" i="49"/>
  <c r="AD22" i="50" s="1"/>
  <c r="AD28" i="51" s="1"/>
  <c r="Y28"/>
  <c r="AU28"/>
  <c r="AE28"/>
  <c r="O28"/>
  <c r="T28"/>
  <c r="J23" i="49"/>
  <c r="J22" i="50" s="1"/>
  <c r="J28" i="51" s="1"/>
  <c r="AC28"/>
  <c r="AF23" i="49"/>
  <c r="AF22" i="50" s="1"/>
  <c r="AF28" i="51" s="1"/>
  <c r="P23" i="49"/>
  <c r="P22" i="50" s="1"/>
  <c r="P28" i="51" s="1"/>
  <c r="AB28"/>
  <c r="W28"/>
  <c r="AG28"/>
  <c r="Q28"/>
  <c r="AM26"/>
  <c r="U22" i="49"/>
  <c r="U10" i="50" s="1"/>
  <c r="M22" i="49"/>
  <c r="M10" i="50" s="1"/>
  <c r="AA22" i="49"/>
  <c r="AA10" i="50" s="1"/>
  <c r="AV20"/>
  <c r="F15" s="1"/>
  <c r="AV26" i="51"/>
  <c r="X22" i="49"/>
  <c r="X10" i="50" s="1"/>
  <c r="V22" i="49"/>
  <c r="V10" i="50" s="1"/>
  <c r="N22" i="49"/>
  <c r="N10" i="50" s="1"/>
  <c r="AV25" i="48"/>
  <c r="AO25"/>
  <c r="AO31" s="1"/>
  <c r="AM24"/>
  <c r="AM31" s="1"/>
  <c r="R24"/>
  <c r="R31" s="1"/>
  <c r="AS29"/>
  <c r="AS31" s="1"/>
  <c r="AV29"/>
  <c r="AG22" i="49"/>
  <c r="AG10" i="50" s="1"/>
  <c r="Y22" i="49"/>
  <c r="Y10" i="50" s="1"/>
  <c r="Y21" s="1"/>
  <c r="Y10" i="51" s="1"/>
  <c r="Q22" i="49"/>
  <c r="Q10" i="50" s="1"/>
  <c r="AU22" i="49"/>
  <c r="AU10" i="50" s="1"/>
  <c r="AE22" i="49"/>
  <c r="AE10" i="50" s="1"/>
  <c r="W22" i="49"/>
  <c r="W10" i="50" s="1"/>
  <c r="O22" i="49"/>
  <c r="O10" i="50" s="1"/>
  <c r="T22" i="49"/>
  <c r="T10" i="50" s="1"/>
  <c r="T21" s="1"/>
  <c r="T10" i="51" s="1"/>
  <c r="L22" i="49"/>
  <c r="L10" i="50" s="1"/>
  <c r="L21" s="1"/>
  <c r="L10" i="51" s="1"/>
  <c r="Z22" i="49"/>
  <c r="Z10" i="50" s="1"/>
  <c r="Z21" s="1"/>
  <c r="Z10" i="51" s="1"/>
  <c r="J22" i="49"/>
  <c r="J10" i="50" s="1"/>
  <c r="AW27" i="48"/>
  <c r="AJ27"/>
  <c r="AJ31" s="1"/>
  <c r="AW28"/>
  <c r="AP28"/>
  <c r="AP31" s="1"/>
  <c r="AV15" i="49"/>
  <c r="AV21" s="1"/>
  <c r="F16" s="1"/>
  <c r="AO15"/>
  <c r="AO21" s="1"/>
  <c r="U21" i="50"/>
  <c r="U10" i="51" s="1"/>
  <c r="U27" s="1"/>
  <c r="M21" i="50"/>
  <c r="M10" i="51" s="1"/>
  <c r="M27" s="1"/>
  <c r="X21" i="50"/>
  <c r="X10" i="51" s="1"/>
  <c r="X27" s="1"/>
  <c r="AB22" i="49"/>
  <c r="AB10" i="50" s="1"/>
  <c r="AB21" s="1"/>
  <c r="AB10" i="51" s="1"/>
  <c r="I18" i="42"/>
  <c r="AW15" i="50" l="1"/>
  <c r="AW20" s="1"/>
  <c r="AH15"/>
  <c r="AH20" s="1"/>
  <c r="AG21"/>
  <c r="AG10" i="51" s="1"/>
  <c r="AW16" i="49"/>
  <c r="AW21" s="1"/>
  <c r="AH16"/>
  <c r="AH21" s="1"/>
  <c r="AU21" i="50"/>
  <c r="AU10" i="51" s="1"/>
  <c r="AD21" i="50"/>
  <c r="AD10" i="51" s="1"/>
  <c r="AE21" i="50"/>
  <c r="AE10" i="51" s="1"/>
  <c r="Q21" i="50"/>
  <c r="Q10" i="51" s="1"/>
  <c r="J21" i="50"/>
  <c r="J10" i="51" s="1"/>
  <c r="O21" i="50"/>
  <c r="O10" i="51" s="1"/>
  <c r="W21" i="50"/>
  <c r="W10" i="51" s="1"/>
  <c r="AF21" i="50"/>
  <c r="AF10" i="51" s="1"/>
  <c r="R33" i="48"/>
  <c r="R23" i="49" s="1"/>
  <c r="R22" i="50" s="1"/>
  <c r="R28" i="51" s="1"/>
  <c r="R32" i="48"/>
  <c r="R10" i="49" s="1"/>
  <c r="S32" i="48"/>
  <c r="S10" i="49" s="1"/>
  <c r="AO33" i="48"/>
  <c r="AO23" i="49" s="1"/>
  <c r="AO22" i="50" s="1"/>
  <c r="AO28" i="51" s="1"/>
  <c r="AO32" i="48"/>
  <c r="AO10" i="49" s="1"/>
  <c r="AN32" i="48"/>
  <c r="AN10" i="49" s="1"/>
  <c r="AC21" i="50"/>
  <c r="AC10" i="51" s="1"/>
  <c r="AC27" s="1"/>
  <c r="AW31" i="48"/>
  <c r="T27" i="51"/>
  <c r="Y27"/>
  <c r="N21" i="50"/>
  <c r="N10" i="51" s="1"/>
  <c r="AT21" i="50"/>
  <c r="AT10" i="51" s="1"/>
  <c r="AT27" s="1"/>
  <c r="AA21" i="50"/>
  <c r="AA10" i="51" s="1"/>
  <c r="AA27" s="1"/>
  <c r="AP33" i="48"/>
  <c r="AP23" i="49" s="1"/>
  <c r="AP22" i="50" s="1"/>
  <c r="AP28" i="51" s="1"/>
  <c r="AP32" i="48"/>
  <c r="AP10" i="49" s="1"/>
  <c r="AQ32" i="48"/>
  <c r="AQ10" i="49" s="1"/>
  <c r="AJ33" i="48"/>
  <c r="AJ23" i="49" s="1"/>
  <c r="AJ22" i="50" s="1"/>
  <c r="AJ28" i="51" s="1"/>
  <c r="AJ32" i="48"/>
  <c r="AJ10" i="49" s="1"/>
  <c r="AK32" i="48"/>
  <c r="AK10" i="49" s="1"/>
  <c r="AS33" i="48"/>
  <c r="AS23" i="49" s="1"/>
  <c r="AS22" i="50" s="1"/>
  <c r="AS28" i="51" s="1"/>
  <c r="AS32" i="48"/>
  <c r="AS10" i="49" s="1"/>
  <c r="AR32" i="48"/>
  <c r="AR10" i="49" s="1"/>
  <c r="AM32" i="48"/>
  <c r="AM10" i="49" s="1"/>
  <c r="AM33" i="48"/>
  <c r="AM23" i="49" s="1"/>
  <c r="AM22" i="50" s="1"/>
  <c r="AM28" i="51" s="1"/>
  <c r="AL32" i="48"/>
  <c r="AL10" i="49" s="1"/>
  <c r="AL22" s="1"/>
  <c r="AL10" i="50" s="1"/>
  <c r="L27" i="51"/>
  <c r="L33" s="1"/>
  <c r="V21" i="50"/>
  <c r="V10" i="51" s="1"/>
  <c r="P21" i="50"/>
  <c r="P10" i="51" s="1"/>
  <c r="K21" i="50"/>
  <c r="K10" i="51" s="1"/>
  <c r="AV31" i="48"/>
  <c r="P27" i="51" l="1"/>
  <c r="AF27"/>
  <c r="AH23" i="49"/>
  <c r="AH22" i="50" s="1"/>
  <c r="AH28" i="51" s="1"/>
  <c r="AI22" i="49"/>
  <c r="AI10" i="50" s="1"/>
  <c r="AH22" i="49"/>
  <c r="AH10" i="50" s="1"/>
  <c r="K27" i="51"/>
  <c r="AE27"/>
  <c r="AD27"/>
  <c r="V27"/>
  <c r="O27"/>
  <c r="N27"/>
  <c r="AN22" i="49"/>
  <c r="AN10" i="50" s="1"/>
  <c r="R22" i="49"/>
  <c r="R10" i="50" s="1"/>
  <c r="AG27" i="51"/>
  <c r="AS22" i="49"/>
  <c r="AS10" i="50" s="1"/>
  <c r="AK22" i="49"/>
  <c r="AK10" i="50" s="1"/>
  <c r="AP22" i="49"/>
  <c r="AP10" i="50" s="1"/>
  <c r="S22" i="49"/>
  <c r="S10" i="50" s="1"/>
  <c r="AW33" i="48"/>
  <c r="AW23" i="49" s="1"/>
  <c r="AW22" i="50" s="1"/>
  <c r="AW28" i="51" s="1"/>
  <c r="AW32" i="48"/>
  <c r="AW10" i="49" s="1"/>
  <c r="AM22"/>
  <c r="AM10" i="50" s="1"/>
  <c r="AM21" s="1"/>
  <c r="AM10" i="51" s="1"/>
  <c r="AU27"/>
  <c r="AB27"/>
  <c r="AO22" i="49"/>
  <c r="AO10" i="50" s="1"/>
  <c r="AV33" i="48"/>
  <c r="AV23" i="49" s="1"/>
  <c r="AV22" i="50" s="1"/>
  <c r="AV28" i="51" s="1"/>
  <c r="AV32" i="48"/>
  <c r="AV10" i="49" s="1"/>
  <c r="AV22" s="1"/>
  <c r="AV10" i="50" s="1"/>
  <c r="Q27" i="51"/>
  <c r="J27"/>
  <c r="AR22" i="49"/>
  <c r="AR10" i="50" s="1"/>
  <c r="AR21" s="1"/>
  <c r="AR10" i="51" s="1"/>
  <c r="AJ22" i="49"/>
  <c r="AJ10" i="50" s="1"/>
  <c r="AJ21" s="1"/>
  <c r="AJ10" i="51" s="1"/>
  <c r="AQ22" i="49"/>
  <c r="AQ10" i="50" s="1"/>
  <c r="AQ21" s="1"/>
  <c r="AQ10" i="51" s="1"/>
  <c r="W27"/>
  <c r="Z27"/>
  <c r="AH21" i="50" l="1"/>
  <c r="AH10" i="51" s="1"/>
  <c r="AI21" i="50"/>
  <c r="AI10" i="51" s="1"/>
  <c r="AO21" i="50"/>
  <c r="AO10" i="51" s="1"/>
  <c r="AN21" i="50"/>
  <c r="AN10" i="51" s="1"/>
  <c r="S21" i="50"/>
  <c r="S10" i="51" s="1"/>
  <c r="R21" i="50"/>
  <c r="R10" i="51" s="1"/>
  <c r="AP21" i="50"/>
  <c r="AP10" i="51" s="1"/>
  <c r="AP27" s="1"/>
  <c r="AS21" i="50"/>
  <c r="AS10" i="51" s="1"/>
  <c r="AS27" s="1"/>
  <c r="AL21" i="50"/>
  <c r="AL10" i="51" s="1"/>
  <c r="AL27" s="1"/>
  <c r="AK21" i="50"/>
  <c r="AK10" i="51" s="1"/>
  <c r="AK27" s="1"/>
  <c r="AW22" i="49"/>
  <c r="AW10" i="50" s="1"/>
  <c r="AW21" s="1"/>
  <c r="AW10" i="51" s="1"/>
  <c r="AI27" l="1"/>
  <c r="AH27"/>
  <c r="AN27"/>
  <c r="AR27"/>
  <c r="AM27"/>
  <c r="AO27"/>
  <c r="R27"/>
  <c r="S27"/>
  <c r="AV21" i="50"/>
  <c r="AV10" i="51" s="1"/>
  <c r="AV27" s="1"/>
  <c r="AQ27"/>
  <c r="AJ27"/>
  <c r="AW27" l="1"/>
</calcChain>
</file>

<file path=xl/sharedStrings.xml><?xml version="1.0" encoding="utf-8"?>
<sst xmlns="http://schemas.openxmlformats.org/spreadsheetml/2006/main" count="712" uniqueCount="212">
  <si>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</si>
  <si>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</si>
  <si>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</si>
  <si>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</si>
  <si>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</si>
  <si>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</si>
  <si>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</si>
  <si>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</si>
  <si>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</si>
  <si>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</si>
  <si>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</si>
  <si>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</si>
  <si>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</si>
  <si>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</si>
  <si>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</si>
  <si>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</si>
  <si>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</si>
  <si>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</si>
  <si>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</si>
  <si>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</si>
  <si>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</si>
  <si>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</si>
  <si>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</si>
  <si>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</si>
  <si>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</si>
  <si>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</si>
  <si>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Loại tiền: VNĐ</t>
  </si>
  <si>
    <t>Số dư</t>
  </si>
  <si>
    <t>Ngày tháng</t>
  </si>
  <si>
    <t>C01</t>
  </si>
  <si>
    <t>CTGS</t>
  </si>
  <si>
    <t>STT</t>
  </si>
  <si>
    <t>C02</t>
  </si>
  <si>
    <t>341</t>
  </si>
  <si>
    <t>515</t>
  </si>
  <si>
    <t>Khách Hàng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</si>
  <si>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</si>
  <si>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</si>
  <si>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</si>
  <si>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</si>
  <si>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</si>
  <si>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</si>
  <si>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</si>
  <si>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</si>
  <si>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</si>
  <si>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</si>
  <si>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</si>
  <si>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</si>
  <si>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</si>
  <si>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</si>
  <si>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</si>
  <si>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</si>
  <si>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</si>
  <si>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</si>
  <si>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</si>
  <si>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</si>
  <si>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</si>
  <si>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</si>
  <si>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</si>
  <si>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</si>
  <si>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</si>
  <si>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</si>
  <si>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</si>
  <si>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</si>
  <si>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</si>
  <si>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</si>
  <si>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</si>
  <si>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</si>
  <si>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</si>
  <si>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</si>
  <si>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</si>
  <si>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</si>
  <si>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</si>
  <si>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</si>
  <si>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</si>
  <si>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</si>
  <si>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</si>
  <si>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</si>
  <si>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</si>
  <si>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</si>
  <si>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</si>
  <si>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</si>
  <si>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</si>
  <si>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</si>
  <si>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</si>
  <si>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</si>
  <si>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</si>
  <si>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</si>
  <si>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</si>
  <si>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</si>
  <si>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</si>
  <si>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</si>
  <si>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</si>
  <si>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</si>
  <si>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</si>
  <si>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</si>
  <si>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</si>
  <si>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</si>
  <si>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</si>
  <si>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</si>
  <si>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</si>
  <si>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</si>
  <si>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</si>
  <si>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</si>
  <si>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</si>
  <si>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</si>
  <si>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</si>
  <si>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</si>
  <si>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</si>
  <si>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</si>
  <si>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</si>
  <si>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</si>
  <si>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</si>
  <si>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</si>
  <si>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</si>
  <si>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</si>
  <si>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</si>
  <si>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</si>
  <si>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</si>
  <si>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</si>
  <si>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</si>
  <si>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</si>
  <si>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</si>
  <si>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</si>
  <si>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</si>
  <si>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</si>
  <si>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</si>
  <si>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</si>
  <si>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</si>
  <si>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</si>
  <si>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</si>
  <si>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</si>
  <si>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</si>
  <si>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</si>
  <si>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</si>
  <si>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</si>
  <si>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</si>
  <si>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</si>
  <si>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</si>
  <si>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</si>
  <si>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</si>
  <si>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</si>
  <si>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</si>
  <si>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</si>
  <si>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</si>
  <si>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</si>
  <si>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</si>
  <si>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</si>
  <si>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</si>
  <si>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</si>
  <si>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</si>
  <si>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</si>
  <si>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</si>
  <si>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</si>
  <si>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Số dư đầu kỳ</t>
  </si>
  <si>
    <t>Cộng số phát sinh</t>
  </si>
  <si>
    <t>Địa chỉ: 20 Lô E KCN Long Đức Tp.Trà Vinh Tỉnh Trà Vinh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</si>
  <si>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</si>
  <si>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</si>
  <si>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</si>
  <si>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</si>
  <si>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</si>
  <si>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</si>
  <si>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</si>
  <si>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</si>
  <si>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</si>
  <si>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</si>
  <si>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</si>
  <si>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</si>
  <si>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</si>
  <si>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</si>
  <si>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</si>
  <si>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</si>
  <si>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</si>
  <si>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</si>
  <si>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</si>
  <si>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</si>
  <si>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</si>
  <si>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</si>
  <si>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</si>
  <si>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</si>
  <si>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</si>
  <si>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</si>
  <si>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</si>
  <si>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</si>
  <si>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</si>
  <si>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</si>
  <si>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</si>
  <si>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</si>
  <si>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</si>
  <si>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</si>
  <si>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</si>
  <si>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</si>
  <si>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</si>
  <si>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</si>
  <si>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</si>
  <si>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</si>
  <si>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</si>
  <si>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</si>
  <si>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</si>
  <si>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</si>
  <si>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</si>
  <si>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</si>
  <si>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</si>
  <si>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NK</t>
  </si>
  <si>
    <t>241</t>
  </si>
  <si>
    <t>Quý</t>
  </si>
  <si>
    <t>Nộp thuế môn bài 2010</t>
  </si>
  <si>
    <t>Lệ phí cục thuế Trà Vinh</t>
  </si>
  <si>
    <t>0020006</t>
  </si>
  <si>
    <t>Phí khắc dấu</t>
  </si>
  <si>
    <t>Quý III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</si>
</sst>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36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4" fillId="0" borderId="0">
      <alignment horizontal="center"/>
    </xf>
    <xf numFmtId="0" fontId="50" fillId="0" borderId="0"/>
    <xf numFmtId="0" fontId="3" fillId="0" borderId="0"/>
    <xf numFmtId="0" fontId="56" fillId="0" borderId="0" applyNumberFormat="0" applyFill="0" applyBorder="0" applyAlignment="0" applyProtection="0">
      <alignment vertical="top"/>
      <protection locked="0"/>
    </xf>
    <xf numFmtId="43" fontId="6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28">
    <xf numFmtId="0" fontId="0" fillId="0" borderId="0" xfId="0"/>
    <xf numFmtId="0" fontId="32" fillId="0" borderId="0" xfId="53" applyFont="1" applyAlignment="1">
      <alignment horizontal="left" vertical="center"/>
    </xf>
    <xf numFmtId="164" fontId="35" fillId="0" borderId="0" xfId="53" applyNumberFormat="1" applyFont="1" applyAlignment="1">
      <alignment vertical="center" wrapText="1"/>
    </xf>
    <xf numFmtId="164" fontId="32" fillId="0" borderId="0" xfId="53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0" fontId="32" fillId="0" borderId="0" xfId="52" applyFont="1" applyAlignment="1">
      <alignment vertical="center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vertical="center" wrapText="1"/>
    </xf>
    <xf numFmtId="0" fontId="22" fillId="0" borderId="0" xfId="72" applyFont="1"/>
    <xf numFmtId="164" fontId="25" fillId="0" borderId="0" xfId="73" applyNumberFormat="1" applyFont="1"/>
    <xf numFmtId="0" fontId="25" fillId="0" borderId="0" xfId="72"/>
    <xf numFmtId="0" fontId="27" fillId="0" borderId="0" xfId="57">
      <alignment horizontal="centerContinuous"/>
    </xf>
    <xf numFmtId="164" fontId="27" fillId="0" borderId="0" xfId="73" applyNumberFormat="1" applyFont="1" applyAlignment="1">
      <alignment horizontal="centerContinuous"/>
    </xf>
    <xf numFmtId="0" fontId="27" fillId="0" borderId="0" xfId="57" applyFont="1">
      <alignment horizontal="centerContinuous"/>
    </xf>
    <xf numFmtId="0" fontId="22" fillId="21" borderId="17" xfId="74" applyBorder="1">
      <alignment horizontal="centerContinuous" vertical="center" wrapText="1"/>
    </xf>
    <xf numFmtId="164" fontId="22" fillId="21" borderId="2" xfId="73" applyNumberFormat="1" applyFont="1" applyFill="1" applyBorder="1" applyAlignment="1">
      <alignment horizontal="centerContinuous" vertical="center" wrapText="1"/>
    </xf>
    <xf numFmtId="0" fontId="22" fillId="21" borderId="2" xfId="74">
      <alignment horizontal="centerContinuous" vertical="center" wrapText="1"/>
    </xf>
    <xf numFmtId="0" fontId="22" fillId="21" borderId="18" xfId="74" applyBorder="1">
      <alignment horizontal="centerContinuous" vertical="center" wrapText="1"/>
    </xf>
    <xf numFmtId="164" fontId="40" fillId="0" borderId="23" xfId="73" quotePrefix="1" applyNumberFormat="1" applyFont="1" applyBorder="1" applyAlignment="1">
      <alignment horizontal="center"/>
    </xf>
    <xf numFmtId="164" fontId="41" fillId="0" borderId="23" xfId="73" applyNumberFormat="1" applyFont="1" applyBorder="1" applyAlignment="1">
      <alignment horizontal="center"/>
    </xf>
    <xf numFmtId="164" fontId="40" fillId="0" borderId="23" xfId="73" applyNumberFormat="1" applyFont="1" applyBorder="1"/>
    <xf numFmtId="164" fontId="40" fillId="0" borderId="24" xfId="73" applyNumberFormat="1" applyFont="1" applyBorder="1"/>
    <xf numFmtId="164" fontId="25" fillId="0" borderId="0" xfId="73" applyNumberFormat="1" applyFont="1" applyFill="1"/>
    <xf numFmtId="164" fontId="22" fillId="0" borderId="10" xfId="73" applyNumberFormat="1" applyFont="1" applyBorder="1" applyAlignment="1">
      <alignment horizontal="left"/>
    </xf>
    <xf numFmtId="164" fontId="39" fillId="0" borderId="10" xfId="73" applyNumberFormat="1" applyFont="1" applyBorder="1" applyAlignment="1">
      <alignment horizontal="left"/>
    </xf>
    <xf numFmtId="164" fontId="22" fillId="0" borderId="10" xfId="73" applyNumberFormat="1" applyFont="1" applyBorder="1"/>
    <xf numFmtId="164" fontId="40" fillId="0" borderId="23" xfId="73" applyNumberFormat="1" applyFont="1" applyBorder="1" applyAlignment="1">
      <alignment horizontal="center"/>
    </xf>
    <xf numFmtId="164" fontId="22" fillId="0" borderId="10" xfId="73" quotePrefix="1" applyNumberFormat="1" applyFont="1" applyBorder="1" applyAlignment="1">
      <alignment horizontal="left"/>
    </xf>
    <xf numFmtId="164" fontId="25" fillId="0" borderId="25" xfId="73" applyNumberFormat="1" applyFont="1" applyBorder="1"/>
    <xf numFmtId="164" fontId="25" fillId="0" borderId="25" xfId="73" quotePrefix="1" applyNumberFormat="1" applyFont="1" applyBorder="1" applyAlignment="1">
      <alignment horizontal="right"/>
    </xf>
    <xf numFmtId="164" fontId="34" fillId="0" borderId="25" xfId="73" applyNumberFormat="1" applyFont="1" applyBorder="1" applyAlignment="1">
      <alignment horizontal="right"/>
    </xf>
    <xf numFmtId="164" fontId="22" fillId="0" borderId="2" xfId="73" applyNumberFormat="1" applyFont="1" applyBorder="1"/>
    <xf numFmtId="3" fontId="25" fillId="0" borderId="0" xfId="72" applyNumberFormat="1"/>
    <xf numFmtId="164" fontId="25" fillId="0" borderId="0" xfId="72" applyNumberFormat="1"/>
    <xf numFmtId="0" fontId="25" fillId="0" borderId="0" xfId="72" applyBorder="1"/>
    <xf numFmtId="0" fontId="33" fillId="0" borderId="0" xfId="75" applyFont="1" applyFill="1" applyAlignment="1">
      <alignment horizontal="left" vertical="center"/>
    </xf>
    <xf numFmtId="0" fontId="37" fillId="0" borderId="0" xfId="75" applyFont="1" applyFill="1" applyAlignment="1">
      <alignment horizontal="center" vertical="center" wrapText="1"/>
    </xf>
    <xf numFmtId="0" fontId="37" fillId="0" borderId="0" xfId="75" applyFont="1" applyFill="1" applyAlignment="1">
      <alignment vertical="center" wrapText="1"/>
    </xf>
    <xf numFmtId="1" fontId="33" fillId="0" borderId="0" xfId="75" applyNumberFormat="1" applyFont="1" applyFill="1" applyAlignment="1">
      <alignment horizontal="center" vertical="center"/>
    </xf>
    <xf numFmtId="1" fontId="33" fillId="0" borderId="0" xfId="75" applyNumberFormat="1" applyFont="1" applyFill="1" applyAlignment="1">
      <alignment horizontal="center" vertical="center" wrapText="1"/>
    </xf>
    <xf numFmtId="0" fontId="33" fillId="0" borderId="16" xfId="76" applyNumberFormat="1" applyFont="1" applyFill="1" applyBorder="1" applyAlignment="1">
      <alignment horizontal="center" vertical="center"/>
    </xf>
    <xf numFmtId="14" fontId="33" fillId="0" borderId="16" xfId="75" applyNumberFormat="1" applyFont="1" applyFill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vertical="center"/>
    </xf>
    <xf numFmtId="0" fontId="33" fillId="0" borderId="16" xfId="75" quotePrefix="1" applyNumberFormat="1" applyFont="1" applyFill="1" applyBorder="1" applyAlignment="1">
      <alignment horizontal="center" vertical="center"/>
    </xf>
    <xf numFmtId="164" fontId="33" fillId="0" borderId="16" xfId="75" applyNumberFormat="1" applyFont="1" applyFill="1" applyBorder="1" applyAlignment="1">
      <alignment horizontal="left" vertical="center"/>
    </xf>
    <xf numFmtId="0" fontId="33" fillId="0" borderId="16" xfId="75" applyNumberFormat="1" applyFont="1" applyFill="1" applyBorder="1" applyAlignment="1">
      <alignment horizontal="center" vertical="center"/>
    </xf>
    <xf numFmtId="1" fontId="33" fillId="0" borderId="16" xfId="75" quotePrefix="1" applyNumberFormat="1" applyFont="1" applyFill="1" applyBorder="1" applyAlignment="1">
      <alignment horizontal="center" vertical="center"/>
    </xf>
    <xf numFmtId="164" fontId="45" fillId="0" borderId="16" xfId="75" applyNumberFormat="1" applyFont="1" applyFill="1" applyBorder="1" applyAlignment="1">
      <alignment horizontal="left" vertical="center"/>
    </xf>
    <xf numFmtId="0" fontId="33" fillId="0" borderId="2" xfId="75" applyFont="1" applyFill="1" applyBorder="1" applyAlignment="1">
      <alignment horizontal="center" vertical="center" wrapText="1"/>
    </xf>
    <xf numFmtId="0" fontId="33" fillId="0" borderId="0" xfId="75" applyFont="1" applyFill="1" applyAlignment="1">
      <alignment horizontal="center" vertical="center" wrapText="1"/>
    </xf>
    <xf numFmtId="0" fontId="33" fillId="0" borderId="20" xfId="75" applyFont="1" applyFill="1" applyBorder="1" applyAlignment="1">
      <alignment horizontal="center" vertical="center" wrapText="1"/>
    </xf>
    <xf numFmtId="0" fontId="33" fillId="0" borderId="2" xfId="75" applyNumberFormat="1" applyFont="1" applyFill="1" applyBorder="1" applyAlignment="1">
      <alignment horizontal="center" vertical="center" wrapText="1"/>
    </xf>
    <xf numFmtId="0" fontId="33" fillId="0" borderId="0" xfId="75" applyFont="1" applyFill="1" applyAlignment="1">
      <alignment horizontal="center" vertical="center"/>
    </xf>
    <xf numFmtId="14" fontId="33" fillId="0" borderId="16" xfId="76" applyNumberFormat="1" applyFont="1" applyBorder="1" applyAlignment="1">
      <alignment horizontal="center" vertical="center"/>
    </xf>
    <xf numFmtId="0" fontId="0" fillId="0" borderId="0" xfId="0" applyAlignment="1"/>
    <xf numFmtId="49" fontId="33" fillId="0" borderId="0" xfId="75" applyNumberFormat="1" applyFont="1" applyFill="1" applyAlignment="1">
      <alignment horizontal="center" vertical="center"/>
    </xf>
    <xf numFmtId="49" fontId="45" fillId="0" borderId="16" xfId="75" applyNumberFormat="1" applyFont="1" applyFill="1" applyBorder="1" applyAlignment="1">
      <alignment horizontal="left" vertical="center"/>
    </xf>
    <xf numFmtId="49" fontId="33" fillId="0" borderId="16" xfId="75" applyNumberFormat="1" applyFont="1" applyFill="1" applyBorder="1" applyAlignment="1">
      <alignment horizontal="left" vertical="center"/>
    </xf>
    <xf numFmtId="0" fontId="46" fillId="0" borderId="16" xfId="76" applyNumberFormat="1" applyFont="1" applyFill="1" applyBorder="1" applyAlignment="1">
      <alignment horizontal="center" vertical="center"/>
    </xf>
    <xf numFmtId="14" fontId="46" fillId="0" borderId="16" xfId="75" applyNumberFormat="1" applyFont="1" applyFill="1" applyBorder="1" applyAlignment="1">
      <alignment horizontal="center" vertical="center"/>
    </xf>
    <xf numFmtId="164" fontId="46" fillId="0" borderId="16" xfId="75" applyNumberFormat="1" applyFont="1" applyFill="1" applyBorder="1" applyAlignment="1">
      <alignment horizontal="left" vertical="center"/>
    </xf>
    <xf numFmtId="49" fontId="46" fillId="0" borderId="16" xfId="75" applyNumberFormat="1" applyFont="1" applyFill="1" applyBorder="1" applyAlignment="1">
      <alignment horizontal="left" vertical="center"/>
    </xf>
    <xf numFmtId="164" fontId="46" fillId="0" borderId="16" xfId="76" applyNumberFormat="1" applyFont="1" applyFill="1" applyBorder="1" applyAlignment="1">
      <alignment vertical="center"/>
    </xf>
    <xf numFmtId="0" fontId="46" fillId="0" borderId="16" xfId="75" quotePrefix="1" applyNumberFormat="1" applyFont="1" applyFill="1" applyBorder="1" applyAlignment="1">
      <alignment horizontal="center" vertical="center"/>
    </xf>
    <xf numFmtId="0" fontId="47" fillId="0" borderId="0" xfId="0" applyFont="1" applyAlignment="1"/>
    <xf numFmtId="164" fontId="22" fillId="0" borderId="25" xfId="73" applyNumberFormat="1" applyFont="1" applyBorder="1"/>
    <xf numFmtId="164" fontId="22" fillId="0" borderId="26" xfId="73" applyNumberFormat="1" applyFont="1" applyBorder="1"/>
    <xf numFmtId="1" fontId="46" fillId="0" borderId="16" xfId="75" quotePrefix="1" applyNumberFormat="1" applyFont="1" applyFill="1" applyBorder="1" applyAlignment="1">
      <alignment horizontal="center" vertical="center"/>
    </xf>
    <xf numFmtId="49" fontId="46" fillId="0" borderId="16" xfId="75" quotePrefix="1" applyNumberFormat="1" applyFont="1" applyFill="1" applyBorder="1" applyAlignment="1">
      <alignment horizontal="left" vertical="center"/>
    </xf>
    <xf numFmtId="49" fontId="37" fillId="0" borderId="0" xfId="75" applyNumberFormat="1" applyFont="1" applyFill="1" applyAlignment="1">
      <alignment vertical="center"/>
    </xf>
    <xf numFmtId="49" fontId="37" fillId="0" borderId="0" xfId="75" applyNumberFormat="1" applyFont="1" applyFill="1" applyAlignment="1">
      <alignment horizontal="center" vertical="center"/>
    </xf>
    <xf numFmtId="49" fontId="0" fillId="0" borderId="0" xfId="0" applyNumberFormat="1" applyAlignment="1"/>
    <xf numFmtId="0" fontId="39" fillId="0" borderId="0" xfId="76" applyFont="1" applyFill="1" applyBorder="1" applyAlignment="1" applyProtection="1">
      <alignment horizontal="left" vertical="center"/>
      <protection hidden="1"/>
    </xf>
    <xf numFmtId="0" fontId="34" fillId="0" borderId="0" xfId="76" applyFont="1" applyFill="1" applyBorder="1" applyAlignment="1" applyProtection="1">
      <alignment horizontal="justify" vertical="center"/>
      <protection hidden="1"/>
    </xf>
    <xf numFmtId="0" fontId="32" fillId="0" borderId="0" xfId="76" applyFont="1" applyFill="1" applyBorder="1" applyAlignment="1" applyProtection="1">
      <alignment vertical="center"/>
      <protection hidden="1"/>
    </xf>
    <xf numFmtId="0" fontId="48" fillId="0" borderId="0" xfId="76" applyFont="1" applyFill="1" applyBorder="1" applyAlignment="1" applyProtection="1">
      <alignment vertical="center"/>
      <protection hidden="1"/>
    </xf>
    <xf numFmtId="0" fontId="49" fillId="0" borderId="0" xfId="76" applyFont="1" applyFill="1" applyBorder="1" applyAlignment="1" applyProtection="1">
      <alignment horizontal="center" vertical="center"/>
      <protection hidden="1"/>
    </xf>
    <xf numFmtId="0" fontId="49" fillId="0" borderId="0" xfId="76" applyFont="1" applyFill="1" applyBorder="1" applyAlignment="1" applyProtection="1">
      <alignment vertical="center"/>
      <protection hidden="1"/>
    </xf>
    <xf numFmtId="0" fontId="32" fillId="0" borderId="0" xfId="78" applyNumberFormat="1" applyFont="1" applyFill="1" applyBorder="1" applyAlignment="1" applyProtection="1">
      <alignment horizontal="center" vertical="center"/>
      <protection hidden="1"/>
    </xf>
    <xf numFmtId="0" fontId="51" fillId="0" borderId="0" xfId="76" applyFont="1" applyFill="1" applyBorder="1" applyAlignment="1" applyProtection="1">
      <alignment vertical="center"/>
      <protection hidden="1"/>
    </xf>
    <xf numFmtId="0" fontId="52" fillId="0" borderId="0" xfId="76" applyFont="1" applyFill="1" applyBorder="1" applyAlignment="1" applyProtection="1">
      <alignment vertical="center"/>
      <protection hidden="1"/>
    </xf>
    <xf numFmtId="14" fontId="32" fillId="0" borderId="0" xfId="76" applyNumberFormat="1" applyFont="1" applyFill="1" applyBorder="1" applyAlignment="1" applyProtection="1">
      <alignment vertical="center"/>
      <protection hidden="1"/>
    </xf>
    <xf numFmtId="0" fontId="34" fillId="0" borderId="0" xfId="76" applyFont="1" applyFill="1" applyBorder="1" applyAlignment="1" applyProtection="1">
      <alignment vertical="center"/>
      <protection hidden="1"/>
    </xf>
    <xf numFmtId="0" fontId="34" fillId="0" borderId="0" xfId="76" applyFont="1" applyFill="1" applyBorder="1" applyAlignment="1" applyProtection="1">
      <alignment horizontal="left" vertical="center"/>
      <protection hidden="1"/>
    </xf>
    <xf numFmtId="0" fontId="34" fillId="0" borderId="0" xfId="79" applyFont="1" applyAlignment="1" applyProtection="1">
      <alignment horizontal="center" vertical="center"/>
      <protection hidden="1"/>
    </xf>
    <xf numFmtId="0" fontId="53" fillId="0" borderId="0" xfId="76" applyFont="1" applyFill="1" applyBorder="1" applyAlignment="1" applyProtection="1">
      <alignment vertical="center"/>
      <protection hidden="1"/>
    </xf>
    <xf numFmtId="0" fontId="54" fillId="0" borderId="0" xfId="76" applyFont="1" applyFill="1" applyBorder="1" applyAlignment="1" applyProtection="1">
      <alignment vertical="center"/>
      <protection hidden="1"/>
    </xf>
    <xf numFmtId="0" fontId="39" fillId="0" borderId="0" xfId="79" applyFont="1" applyAlignment="1" applyProtection="1">
      <alignment horizontal="center" vertical="center"/>
      <protection hidden="1"/>
    </xf>
    <xf numFmtId="0" fontId="33" fillId="0" borderId="0" xfId="76" applyFont="1" applyFill="1" applyBorder="1" applyAlignment="1" applyProtection="1">
      <alignment vertical="center"/>
      <protection hidden="1"/>
    </xf>
    <xf numFmtId="10" fontId="32" fillId="0" borderId="0" xfId="78" applyNumberFormat="1" applyFont="1" applyFill="1" applyBorder="1" applyAlignment="1" applyProtection="1">
      <alignment vertical="center"/>
      <protection hidden="1"/>
    </xf>
    <xf numFmtId="171" fontId="55" fillId="0" borderId="0" xfId="76" applyNumberFormat="1" applyFont="1" applyFill="1" applyBorder="1" applyAlignment="1" applyProtection="1">
      <alignment vertical="center"/>
      <protection hidden="1"/>
    </xf>
    <xf numFmtId="0" fontId="48" fillId="0" borderId="0" xfId="76" applyFont="1" applyFill="1" applyBorder="1" applyAlignment="1" applyProtection="1">
      <alignment horizontal="center" vertical="center"/>
      <protection hidden="1"/>
    </xf>
    <xf numFmtId="0" fontId="53" fillId="0" borderId="0" xfId="76" applyFont="1" applyFill="1" applyBorder="1" applyAlignment="1" applyProtection="1">
      <alignment horizontal="center" vertical="center"/>
      <protection hidden="1"/>
    </xf>
    <xf numFmtId="10" fontId="57" fillId="0" borderId="0" xfId="80" applyNumberFormat="1" applyFont="1" applyFill="1" applyBorder="1" applyAlignment="1" applyProtection="1">
      <alignment horizontal="center" vertical="center"/>
      <protection hidden="1"/>
    </xf>
    <xf numFmtId="0" fontId="32" fillId="0" borderId="0" xfId="76" applyFont="1" applyFill="1" applyBorder="1" applyAlignment="1" applyProtection="1">
      <alignment vertical="center"/>
      <protection locked="0" hidden="1"/>
    </xf>
    <xf numFmtId="0" fontId="33" fillId="0" borderId="0" xfId="79" applyFont="1" applyAlignment="1" applyProtection="1">
      <alignment horizontal="center" vertical="center"/>
      <protection hidden="1"/>
    </xf>
    <xf numFmtId="0" fontId="58" fillId="0" borderId="0" xfId="76" applyFont="1" applyFill="1" applyBorder="1" applyAlignment="1" applyProtection="1">
      <alignment horizontal="left" vertical="center"/>
      <protection hidden="1"/>
    </xf>
    <xf numFmtId="0" fontId="58" fillId="0" borderId="0" xfId="76" applyFont="1" applyFill="1" applyBorder="1" applyAlignment="1" applyProtection="1">
      <alignment horizontal="justify" vertical="center"/>
      <protection hidden="1"/>
    </xf>
    <xf numFmtId="0" fontId="58" fillId="0" borderId="0" xfId="76" applyFont="1" applyFill="1" applyBorder="1" applyAlignment="1" applyProtection="1">
      <alignment vertical="center"/>
      <protection hidden="1"/>
    </xf>
    <xf numFmtId="171" fontId="59" fillId="0" borderId="0" xfId="76" applyNumberFormat="1" applyFont="1" applyFill="1" applyBorder="1" applyAlignment="1" applyProtection="1">
      <alignment vertical="center"/>
      <protection hidden="1"/>
    </xf>
    <xf numFmtId="0" fontId="37" fillId="0" borderId="0" xfId="76" applyFont="1" applyFill="1" applyBorder="1" applyAlignment="1" applyProtection="1">
      <alignment vertical="center"/>
      <protection hidden="1"/>
    </xf>
    <xf numFmtId="164" fontId="58" fillId="0" borderId="0" xfId="73" applyNumberFormat="1" applyFont="1" applyFill="1" applyBorder="1" applyAlignment="1" applyProtection="1">
      <alignment vertical="center"/>
      <protection hidden="1"/>
    </xf>
    <xf numFmtId="10" fontId="58" fillId="0" borderId="0" xfId="78" applyNumberFormat="1" applyFont="1" applyFill="1" applyBorder="1" applyAlignment="1" applyProtection="1">
      <alignment vertical="center"/>
      <protection hidden="1"/>
    </xf>
    <xf numFmtId="49" fontId="60" fillId="0" borderId="0" xfId="76" applyNumberFormat="1" applyFont="1" applyFill="1" applyBorder="1" applyAlignment="1" applyProtection="1">
      <alignment vertical="center"/>
      <protection hidden="1"/>
    </xf>
    <xf numFmtId="0" fontId="37" fillId="0" borderId="0" xfId="76" applyFont="1" applyFill="1" applyBorder="1" applyAlignment="1" applyProtection="1">
      <alignment horizontal="left" vertical="center"/>
      <protection hidden="1"/>
    </xf>
    <xf numFmtId="0" fontId="60" fillId="0" borderId="0" xfId="76" applyNumberFormat="1" applyFont="1" applyFill="1" applyBorder="1" applyAlignment="1" applyProtection="1">
      <alignment vertical="center"/>
      <protection hidden="1"/>
    </xf>
    <xf numFmtId="0" fontId="60" fillId="0" borderId="0" xfId="76" applyFont="1" applyFill="1" applyBorder="1" applyAlignment="1" applyProtection="1">
      <alignment horizontal="left" vertical="center"/>
      <protection hidden="1"/>
    </xf>
    <xf numFmtId="0" fontId="60" fillId="0" borderId="0" xfId="76" applyNumberFormat="1" applyFont="1" applyFill="1" applyBorder="1" applyAlignment="1" applyProtection="1">
      <alignment horizontal="left" vertical="center"/>
      <protection hidden="1"/>
    </xf>
    <xf numFmtId="10" fontId="58" fillId="0" borderId="0" xfId="78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6" applyFont="1" applyFill="1" applyBorder="1" applyAlignment="1" applyProtection="1">
      <alignment horizontal="left" vertical="center"/>
      <protection hidden="1"/>
    </xf>
    <xf numFmtId="10" fontId="32" fillId="0" borderId="0" xfId="76" applyNumberFormat="1" applyFont="1" applyFill="1" applyBorder="1" applyAlignment="1" applyProtection="1">
      <alignment vertical="center"/>
      <protection hidden="1"/>
    </xf>
    <xf numFmtId="164" fontId="35" fillId="0" borderId="0" xfId="73" applyNumberFormat="1" applyFont="1" applyFill="1" applyBorder="1" applyAlignment="1" applyProtection="1">
      <alignment vertical="center"/>
      <protection hidden="1"/>
    </xf>
    <xf numFmtId="37" fontId="32" fillId="0" borderId="0" xfId="78" applyNumberFormat="1" applyFont="1" applyFill="1" applyBorder="1" applyAlignment="1" applyProtection="1">
      <alignment vertical="center"/>
      <protection hidden="1"/>
    </xf>
    <xf numFmtId="172" fontId="55" fillId="0" borderId="0" xfId="76" applyNumberFormat="1" applyFont="1" applyFill="1" applyBorder="1" applyAlignment="1" applyProtection="1">
      <alignment vertical="center"/>
      <protection hidden="1"/>
    </xf>
    <xf numFmtId="0" fontId="35" fillId="0" borderId="0" xfId="76" applyFont="1" applyFill="1" applyBorder="1" applyAlignment="1" applyProtection="1">
      <alignment horizontal="center" vertical="center"/>
      <protection hidden="1"/>
    </xf>
    <xf numFmtId="0" fontId="35" fillId="0" borderId="0" xfId="76" applyFont="1" applyFill="1" applyBorder="1" applyAlignment="1" applyProtection="1">
      <alignment vertical="center"/>
      <protection hidden="1"/>
    </xf>
    <xf numFmtId="172" fontId="35" fillId="0" borderId="0" xfId="76" applyNumberFormat="1" applyFont="1" applyFill="1" applyBorder="1" applyAlignment="1" applyProtection="1">
      <alignment horizontal="center" vertical="center"/>
      <protection hidden="1"/>
    </xf>
    <xf numFmtId="172" fontId="35" fillId="0" borderId="0" xfId="76" applyNumberFormat="1" applyFont="1" applyFill="1" applyBorder="1" applyAlignment="1" applyProtection="1">
      <alignment vertical="center"/>
      <protection hidden="1"/>
    </xf>
    <xf numFmtId="0" fontId="32" fillId="0" borderId="0" xfId="76" applyFont="1" applyFill="1" applyBorder="1" applyAlignment="1" applyProtection="1">
      <alignment horizontal="center" vertical="center"/>
      <protection hidden="1"/>
    </xf>
    <xf numFmtId="0" fontId="36" fillId="0" borderId="0" xfId="76"/>
    <xf numFmtId="0" fontId="35" fillId="26" borderId="2" xfId="76" applyFont="1" applyFill="1" applyBorder="1" applyAlignment="1" applyProtection="1">
      <alignment vertical="center"/>
      <protection locked="0" hidden="1"/>
    </xf>
    <xf numFmtId="0" fontId="35" fillId="27" borderId="2" xfId="76" applyFont="1" applyFill="1" applyBorder="1" applyAlignment="1" applyProtection="1">
      <alignment vertical="center"/>
      <protection locked="0" hidden="1"/>
    </xf>
    <xf numFmtId="0" fontId="39" fillId="0" borderId="0" xfId="76" applyFont="1" applyFill="1" applyBorder="1" applyAlignment="1" applyProtection="1">
      <alignment vertical="center"/>
      <protection locked="0" hidden="1"/>
    </xf>
    <xf numFmtId="0" fontId="35" fillId="28" borderId="2" xfId="76" applyNumberFormat="1" applyFont="1" applyFill="1" applyBorder="1" applyAlignment="1" applyProtection="1">
      <alignment vertical="center"/>
      <protection locked="0" hidden="1"/>
    </xf>
    <xf numFmtId="0" fontId="33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172" fontId="59" fillId="0" borderId="0" xfId="76" applyNumberFormat="1" applyFont="1" applyFill="1" applyBorder="1" applyAlignment="1" applyProtection="1">
      <alignment horizontal="center" vertical="center"/>
      <protection hidden="1"/>
    </xf>
    <xf numFmtId="1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0" xfId="76" applyNumberFormat="1" applyFont="1" applyAlignment="1">
      <alignment vertical="center"/>
    </xf>
    <xf numFmtId="164" fontId="32" fillId="0" borderId="0" xfId="76" applyNumberFormat="1" applyFont="1" applyAlignment="1">
      <alignment horizontal="left" vertical="center"/>
    </xf>
    <xf numFmtId="164" fontId="32" fillId="0" borderId="2" xfId="76" applyNumberFormat="1" applyFont="1" applyBorder="1" applyAlignment="1">
      <alignment horizontal="center" vertical="center" wrapText="1"/>
    </xf>
    <xf numFmtId="164" fontId="34" fillId="0" borderId="0" xfId="76" applyNumberFormat="1" applyFont="1" applyAlignment="1">
      <alignment vertical="center"/>
    </xf>
    <xf numFmtId="164" fontId="34" fillId="0" borderId="2" xfId="76" applyNumberFormat="1" applyFont="1" applyBorder="1" applyAlignment="1">
      <alignment horizontal="center" vertical="center" wrapText="1"/>
    </xf>
    <xf numFmtId="164" fontId="35" fillId="0" borderId="0" xfId="76" applyNumberFormat="1" applyFont="1" applyAlignment="1">
      <alignment vertical="center"/>
    </xf>
    <xf numFmtId="164" fontId="35" fillId="0" borderId="21" xfId="76" applyNumberFormat="1" applyFont="1" applyBorder="1" applyAlignment="1">
      <alignment vertical="center" wrapText="1"/>
    </xf>
    <xf numFmtId="49" fontId="35" fillId="0" borderId="21" xfId="76" applyNumberFormat="1" applyFont="1" applyBorder="1" applyAlignment="1">
      <alignment vertical="center" wrapText="1"/>
    </xf>
    <xf numFmtId="164" fontId="35" fillId="0" borderId="21" xfId="76" applyNumberFormat="1" applyFont="1" applyBorder="1" applyAlignment="1">
      <alignment horizontal="left" vertical="center" wrapText="1"/>
    </xf>
    <xf numFmtId="14" fontId="32" fillId="0" borderId="16" xfId="76" applyNumberFormat="1" applyFont="1" applyBorder="1" applyAlignment="1">
      <alignment horizontal="center" vertical="center" wrapText="1"/>
    </xf>
    <xf numFmtId="164" fontId="32" fillId="0" borderId="16" xfId="76" applyNumberFormat="1" applyFont="1" applyBorder="1" applyAlignment="1">
      <alignment horizontal="center" vertical="center" wrapText="1"/>
    </xf>
    <xf numFmtId="164" fontId="32" fillId="0" borderId="16" xfId="76" applyNumberFormat="1" applyFont="1" applyBorder="1" applyAlignment="1">
      <alignment horizontal="center" vertical="center"/>
    </xf>
    <xf numFmtId="164" fontId="32" fillId="0" borderId="16" xfId="76" applyNumberFormat="1" applyFont="1" applyBorder="1" applyAlignment="1">
      <alignment horizontal="left" vertical="center" wrapText="1"/>
    </xf>
    <xf numFmtId="164" fontId="32" fillId="0" borderId="16" xfId="76" quotePrefix="1" applyNumberFormat="1" applyFont="1" applyBorder="1" applyAlignment="1">
      <alignment horizontal="center" vertical="center" wrapText="1"/>
    </xf>
    <xf numFmtId="164" fontId="32" fillId="0" borderId="16" xfId="73" applyNumberFormat="1" applyFont="1" applyBorder="1" applyAlignment="1">
      <alignment horizontal="left" vertical="center" wrapText="1"/>
    </xf>
    <xf numFmtId="164" fontId="32" fillId="0" borderId="16" xfId="76" applyNumberFormat="1" applyFont="1" applyBorder="1" applyAlignment="1">
      <alignment vertical="center" wrapText="1"/>
    </xf>
    <xf numFmtId="14" fontId="32" fillId="0" borderId="16" xfId="76" applyNumberFormat="1" applyFont="1" applyBorder="1" applyAlignment="1">
      <alignment vertical="center" wrapText="1"/>
    </xf>
    <xf numFmtId="49" fontId="62" fillId="0" borderId="16" xfId="73" applyNumberFormat="1" applyFont="1" applyBorder="1" applyAlignment="1">
      <alignment horizontal="center"/>
    </xf>
    <xf numFmtId="164" fontId="35" fillId="0" borderId="16" xfId="76" applyNumberFormat="1" applyFont="1" applyBorder="1" applyAlignment="1">
      <alignment vertical="center" wrapText="1"/>
    </xf>
    <xf numFmtId="164" fontId="35" fillId="0" borderId="16" xfId="76" applyNumberFormat="1" applyFont="1" applyBorder="1" applyAlignment="1">
      <alignment horizontal="center" vertical="center" wrapText="1"/>
    </xf>
    <xf numFmtId="164" fontId="35" fillId="0" borderId="19" xfId="76" applyNumberFormat="1" applyFont="1" applyBorder="1" applyAlignment="1">
      <alignment vertical="center" wrapText="1"/>
    </xf>
    <xf numFmtId="164" fontId="35" fillId="0" borderId="19" xfId="76" applyNumberFormat="1" applyFont="1" applyBorder="1" applyAlignment="1">
      <alignment horizontal="center" vertical="center" wrapText="1"/>
    </xf>
    <xf numFmtId="164" fontId="32" fillId="0" borderId="19" xfId="76" applyNumberFormat="1" applyFont="1" applyBorder="1" applyAlignment="1">
      <alignment vertical="center" wrapText="1"/>
    </xf>
    <xf numFmtId="164" fontId="32" fillId="0" borderId="0" xfId="76" quotePrefix="1" applyNumberFormat="1" applyFont="1" applyAlignment="1">
      <alignment vertical="center"/>
    </xf>
    <xf numFmtId="0" fontId="55" fillId="0" borderId="0" xfId="53" applyFont="1" applyAlignment="1">
      <alignment horizontal="center" vertical="center"/>
    </xf>
    <xf numFmtId="0" fontId="35" fillId="0" borderId="0" xfId="53" applyFont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35" fillId="0" borderId="0" xfId="76" applyFont="1" applyFill="1" applyBorder="1" applyAlignment="1" applyProtection="1">
      <alignment horizontal="left" vertical="center"/>
      <protection hidden="1"/>
    </xf>
    <xf numFmtId="164" fontId="35" fillId="0" borderId="0" xfId="76" applyNumberFormat="1" applyFont="1" applyAlignment="1">
      <alignment horizontal="center" vertical="center"/>
    </xf>
    <xf numFmtId="164" fontId="35" fillId="0" borderId="21" xfId="73" applyNumberFormat="1" applyFont="1" applyBorder="1" applyAlignment="1">
      <alignment horizontal="right" vertical="center" wrapText="1"/>
    </xf>
    <xf numFmtId="164" fontId="63" fillId="25" borderId="30" xfId="76" applyNumberFormat="1" applyFont="1" applyFill="1" applyBorder="1" applyAlignment="1">
      <alignment vertical="center"/>
    </xf>
    <xf numFmtId="164" fontId="63" fillId="0" borderId="33" xfId="76" applyNumberFormat="1" applyFont="1" applyBorder="1" applyAlignment="1" applyProtection="1">
      <alignment vertical="center"/>
      <protection hidden="1"/>
    </xf>
    <xf numFmtId="164" fontId="63" fillId="0" borderId="34" xfId="76" applyNumberFormat="1" applyFont="1" applyBorder="1" applyAlignment="1" applyProtection="1">
      <alignment vertical="center"/>
      <protection hidden="1"/>
    </xf>
    <xf numFmtId="0" fontId="32" fillId="0" borderId="0" xfId="52" applyFont="1" applyAlignment="1">
      <alignment horizontal="center" vertical="center"/>
    </xf>
    <xf numFmtId="14" fontId="32" fillId="0" borderId="16" xfId="52" applyNumberFormat="1" applyFont="1" applyBorder="1" applyAlignment="1">
      <alignment horizontal="center" vertical="center"/>
    </xf>
    <xf numFmtId="0" fontId="32" fillId="0" borderId="0" xfId="52" quotePrefix="1" applyFont="1" applyAlignment="1">
      <alignment horizontal="left" vertical="center"/>
    </xf>
    <xf numFmtId="0" fontId="33" fillId="0" borderId="0" xfId="86" quotePrefix="1" applyFont="1" applyAlignment="1">
      <alignment horizontal="left" vertical="center"/>
    </xf>
    <xf numFmtId="14" fontId="32" fillId="0" borderId="16" xfId="52" applyNumberFormat="1" applyFont="1" applyBorder="1" applyAlignment="1">
      <alignment horizontal="left" vertical="center"/>
    </xf>
    <xf numFmtId="0" fontId="32" fillId="0" borderId="16" xfId="52" applyFont="1" applyBorder="1" applyAlignment="1">
      <alignment horizontal="center" vertical="center"/>
    </xf>
    <xf numFmtId="14" fontId="33" fillId="0" borderId="16" xfId="53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2" fillId="0" borderId="0" xfId="52" applyFont="1" applyAlignment="1">
      <alignment horizontal="right" vertical="center"/>
    </xf>
    <xf numFmtId="49" fontId="32" fillId="0" borderId="0" xfId="52" applyNumberFormat="1" applyFont="1" applyAlignment="1">
      <alignment vertical="center"/>
    </xf>
    <xf numFmtId="0" fontId="32" fillId="0" borderId="17" xfId="52" applyFont="1" applyBorder="1" applyAlignment="1">
      <alignment horizontal="center" vertical="center" wrapText="1" shrinkToFit="1"/>
    </xf>
    <xf numFmtId="14" fontId="32" fillId="0" borderId="12" xfId="52" applyNumberFormat="1" applyFont="1" applyBorder="1" applyAlignment="1">
      <alignment horizontal="center" vertical="center"/>
    </xf>
    <xf numFmtId="0" fontId="32" fillId="0" borderId="12" xfId="52" applyFont="1" applyBorder="1" applyAlignment="1">
      <alignment horizontal="center" vertical="center"/>
    </xf>
    <xf numFmtId="0" fontId="32" fillId="0" borderId="12" xfId="52" quotePrefix="1" applyFont="1" applyBorder="1" applyAlignment="1">
      <alignment vertical="center"/>
    </xf>
    <xf numFmtId="164" fontId="32" fillId="0" borderId="16" xfId="53" applyNumberFormat="1" applyFont="1" applyBorder="1" applyAlignment="1">
      <alignment vertical="center"/>
    </xf>
    <xf numFmtId="164" fontId="32" fillId="0" borderId="16" xfId="73" applyNumberFormat="1" applyFont="1" applyBorder="1" applyAlignment="1">
      <alignment horizontal="left" vertical="center"/>
    </xf>
    <xf numFmtId="164" fontId="32" fillId="0" borderId="16" xfId="73" applyNumberFormat="1" applyFont="1" applyBorder="1" applyAlignment="1">
      <alignment horizontal="center" vertical="center"/>
    </xf>
    <xf numFmtId="0" fontId="32" fillId="0" borderId="16" xfId="52" applyFont="1" applyBorder="1" applyAlignment="1">
      <alignment vertical="center"/>
    </xf>
    <xf numFmtId="0" fontId="32" fillId="0" borderId="16" xfId="52" quotePrefix="1" applyFont="1" applyBorder="1" applyAlignment="1">
      <alignment vertical="center"/>
    </xf>
    <xf numFmtId="164" fontId="32" fillId="0" borderId="16" xfId="53" applyNumberFormat="1" applyFont="1" applyBorder="1" applyAlignment="1">
      <alignment horizontal="center" vertical="center"/>
    </xf>
    <xf numFmtId="14" fontId="32" fillId="0" borderId="19" xfId="52" applyNumberFormat="1" applyFont="1" applyBorder="1" applyAlignment="1">
      <alignment horizontal="center" vertical="center"/>
    </xf>
    <xf numFmtId="0" fontId="32" fillId="0" borderId="19" xfId="52" applyFont="1" applyBorder="1" applyAlignment="1">
      <alignment horizontal="center" vertical="center"/>
    </xf>
    <xf numFmtId="0" fontId="32" fillId="0" borderId="19" xfId="52" quotePrefix="1" applyFont="1" applyBorder="1" applyAlignment="1">
      <alignment vertical="center"/>
    </xf>
    <xf numFmtId="164" fontId="32" fillId="0" borderId="19" xfId="53" applyNumberFormat="1" applyFont="1" applyBorder="1" applyAlignment="1">
      <alignment horizontal="center" vertical="center"/>
    </xf>
    <xf numFmtId="164" fontId="32" fillId="0" borderId="19" xfId="73" applyNumberFormat="1" applyFont="1" applyBorder="1" applyAlignment="1">
      <alignment horizontal="center" vertical="center"/>
    </xf>
    <xf numFmtId="43" fontId="32" fillId="0" borderId="0" xfId="73" applyFont="1" applyAlignment="1">
      <alignment vertical="center"/>
    </xf>
    <xf numFmtId="164" fontId="32" fillId="0" borderId="0" xfId="52" applyNumberFormat="1" applyFont="1" applyAlignment="1">
      <alignment vertical="center"/>
    </xf>
    <xf numFmtId="0" fontId="33" fillId="0" borderId="0" xfId="53" applyFont="1" applyFill="1" applyAlignment="1">
      <alignment horizontal="left" vertical="center"/>
    </xf>
    <xf numFmtId="49" fontId="33" fillId="0" borderId="0" xfId="89" applyNumberFormat="1" applyFont="1" applyFill="1" applyAlignment="1">
      <alignment horizontal="left" vertical="center"/>
    </xf>
    <xf numFmtId="0" fontId="37" fillId="0" borderId="0" xfId="53" applyFont="1" applyFill="1" applyAlignment="1">
      <alignment horizontal="center" vertical="center" wrapText="1"/>
    </xf>
    <xf numFmtId="0" fontId="37" fillId="0" borderId="0" xfId="53" applyFont="1" applyFill="1" applyAlignment="1">
      <alignment vertical="center" wrapText="1"/>
    </xf>
    <xf numFmtId="0" fontId="33" fillId="0" borderId="0" xfId="53" applyFont="1" applyFill="1" applyAlignment="1">
      <alignment horizontal="center" vertical="center"/>
    </xf>
    <xf numFmtId="0" fontId="33" fillId="0" borderId="0" xfId="53" applyNumberFormat="1" applyFont="1" applyFill="1" applyAlignment="1">
      <alignment horizontal="center" vertical="center"/>
    </xf>
    <xf numFmtId="0" fontId="33" fillId="0" borderId="0" xfId="53" applyFont="1" applyFill="1" applyAlignment="1">
      <alignment horizontal="center" vertical="center" wrapText="1"/>
    </xf>
    <xf numFmtId="0" fontId="33" fillId="0" borderId="0" xfId="53" applyFont="1" applyFill="1" applyAlignment="1">
      <alignment vertical="center" wrapText="1"/>
    </xf>
    <xf numFmtId="0" fontId="33" fillId="0" borderId="0" xfId="53" applyNumberFormat="1" applyFont="1" applyFill="1" applyAlignment="1">
      <alignment horizontal="center" vertical="center" wrapText="1"/>
    </xf>
    <xf numFmtId="0" fontId="42" fillId="0" borderId="0" xfId="53" applyFont="1" applyFill="1" applyAlignment="1">
      <alignment vertical="center"/>
    </xf>
    <xf numFmtId="0" fontId="42" fillId="0" borderId="0" xfId="53" applyFont="1" applyFill="1" applyAlignment="1">
      <alignment horizontal="center" vertical="center"/>
    </xf>
    <xf numFmtId="0" fontId="37" fillId="0" borderId="0" xfId="53" applyFont="1" applyFill="1" applyAlignment="1">
      <alignment horizontal="center" vertical="center"/>
    </xf>
    <xf numFmtId="0" fontId="32" fillId="0" borderId="0" xfId="53" applyFont="1" applyFill="1" applyAlignment="1">
      <alignment vertical="center"/>
    </xf>
    <xf numFmtId="0" fontId="32" fillId="0" borderId="0" xfId="53" applyFont="1" applyFill="1" applyAlignment="1">
      <alignment horizontal="center" vertical="center"/>
    </xf>
    <xf numFmtId="0" fontId="33" fillId="0" borderId="2" xfId="53" applyFont="1" applyFill="1" applyBorder="1" applyAlignment="1">
      <alignment horizontal="center" vertical="center" wrapText="1"/>
    </xf>
    <xf numFmtId="0" fontId="33" fillId="0" borderId="20" xfId="53" applyFont="1" applyFill="1" applyBorder="1" applyAlignment="1">
      <alignment horizontal="center" vertical="center" wrapText="1"/>
    </xf>
    <xf numFmtId="0" fontId="33" fillId="0" borderId="2" xfId="53" applyNumberFormat="1" applyFont="1" applyFill="1" applyBorder="1" applyAlignment="1">
      <alignment horizontal="center" vertical="center" wrapText="1"/>
    </xf>
    <xf numFmtId="0" fontId="43" fillId="0" borderId="2" xfId="53" applyFont="1" applyFill="1" applyBorder="1" applyAlignment="1">
      <alignment horizontal="center" vertical="center"/>
    </xf>
    <xf numFmtId="0" fontId="43" fillId="0" borderId="0" xfId="53" applyFont="1" applyFill="1" applyAlignment="1">
      <alignment horizontal="center" vertical="center"/>
    </xf>
    <xf numFmtId="14" fontId="33" fillId="0" borderId="21" xfId="53" applyNumberFormat="1" applyFont="1" applyFill="1" applyBorder="1" applyAlignment="1">
      <alignment horizontal="center" vertical="center"/>
    </xf>
    <xf numFmtId="164" fontId="33" fillId="0" borderId="35" xfId="53" applyNumberFormat="1" applyFont="1" applyFill="1" applyBorder="1" applyAlignment="1">
      <alignment horizontal="center" vertical="center"/>
    </xf>
    <xf numFmtId="164" fontId="37" fillId="0" borderId="21" xfId="53" applyNumberFormat="1" applyFont="1" applyFill="1" applyBorder="1" applyAlignment="1">
      <alignment horizontal="left" vertical="center"/>
    </xf>
    <xf numFmtId="164" fontId="32" fillId="0" borderId="16" xfId="76" applyNumberFormat="1" applyFont="1" applyFill="1" applyBorder="1" applyAlignment="1">
      <alignment vertical="center"/>
    </xf>
    <xf numFmtId="0" fontId="33" fillId="0" borderId="12" xfId="53" applyNumberFormat="1" applyFont="1" applyFill="1" applyBorder="1" applyAlignment="1">
      <alignment horizontal="center" vertical="center"/>
    </xf>
    <xf numFmtId="164" fontId="33" fillId="0" borderId="21" xfId="53" applyNumberFormat="1" applyFont="1" applyFill="1" applyBorder="1" applyAlignment="1">
      <alignment horizontal="center" vertical="center"/>
    </xf>
    <xf numFmtId="164" fontId="33" fillId="0" borderId="21" xfId="73" applyNumberFormat="1" applyFont="1" applyFill="1" applyBorder="1" applyAlignment="1">
      <alignment horizontal="center" vertical="center"/>
    </xf>
    <xf numFmtId="164" fontId="33" fillId="0" borderId="0" xfId="53" applyNumberFormat="1" applyFont="1" applyFill="1" applyAlignment="1">
      <alignment horizontal="center" vertical="center"/>
    </xf>
    <xf numFmtId="14" fontId="33" fillId="0" borderId="16" xfId="76" applyNumberFormat="1" applyFont="1" applyBorder="1" applyAlignment="1">
      <alignment horizontal="center" vertical="center" wrapText="1"/>
    </xf>
    <xf numFmtId="164" fontId="33" fillId="0" borderId="16" xfId="53" applyNumberFormat="1" applyFont="1" applyFill="1" applyBorder="1" applyAlignment="1">
      <alignment horizontal="left" vertical="center"/>
    </xf>
    <xf numFmtId="164" fontId="33" fillId="0" borderId="16" xfId="73" applyNumberFormat="1" applyFont="1" applyFill="1" applyBorder="1" applyAlignment="1">
      <alignment horizontal="center" vertical="center"/>
    </xf>
    <xf numFmtId="14" fontId="46" fillId="0" borderId="16" xfId="53" applyNumberFormat="1" applyFont="1" applyFill="1" applyBorder="1" applyAlignment="1">
      <alignment horizontal="center" vertical="center"/>
    </xf>
    <xf numFmtId="164" fontId="46" fillId="0" borderId="16" xfId="53" applyNumberFormat="1" applyFont="1" applyFill="1" applyBorder="1" applyAlignment="1">
      <alignment horizontal="left" vertical="center"/>
    </xf>
    <xf numFmtId="0" fontId="46" fillId="0" borderId="16" xfId="53" quotePrefix="1" applyNumberFormat="1" applyFont="1" applyFill="1" applyBorder="1" applyAlignment="1">
      <alignment horizontal="center" vertical="center"/>
    </xf>
    <xf numFmtId="14" fontId="34" fillId="0" borderId="36" xfId="76" applyNumberFormat="1" applyFont="1" applyFill="1" applyBorder="1" applyAlignment="1">
      <alignment horizontal="center"/>
    </xf>
    <xf numFmtId="0" fontId="33" fillId="0" borderId="16" xfId="53" applyNumberFormat="1" applyFont="1" applyFill="1" applyBorder="1" applyAlignment="1">
      <alignment horizontal="center" vertical="center"/>
    </xf>
    <xf numFmtId="164" fontId="33" fillId="0" borderId="16" xfId="53" applyNumberFormat="1" applyFont="1" applyFill="1" applyBorder="1" applyAlignment="1">
      <alignment horizontal="center" vertical="center"/>
    </xf>
    <xf numFmtId="164" fontId="33" fillId="0" borderId="19" xfId="53" applyNumberFormat="1" applyFont="1" applyFill="1" applyBorder="1" applyAlignment="1">
      <alignment horizontal="center" vertical="center"/>
    </xf>
    <xf numFmtId="164" fontId="33" fillId="0" borderId="19" xfId="53" applyNumberFormat="1" applyFont="1" applyFill="1" applyBorder="1" applyAlignment="1">
      <alignment horizontal="left" vertical="center"/>
    </xf>
    <xf numFmtId="0" fontId="33" fillId="0" borderId="19" xfId="53" applyNumberFormat="1" applyFont="1" applyFill="1" applyBorder="1" applyAlignment="1">
      <alignment horizontal="center" vertical="center"/>
    </xf>
    <xf numFmtId="164" fontId="33" fillId="0" borderId="19" xfId="73" applyNumberFormat="1" applyFont="1" applyFill="1" applyBorder="1" applyAlignment="1">
      <alignment vertical="center"/>
    </xf>
    <xf numFmtId="164" fontId="33" fillId="0" borderId="2" xfId="53" applyNumberFormat="1" applyFont="1" applyFill="1" applyBorder="1" applyAlignment="1">
      <alignment horizontal="center" vertical="center"/>
    </xf>
    <xf numFmtId="164" fontId="33" fillId="0" borderId="20" xfId="53" applyNumberFormat="1" applyFont="1" applyFill="1" applyBorder="1" applyAlignment="1">
      <alignment horizontal="center" vertical="center"/>
    </xf>
    <xf numFmtId="164" fontId="37" fillId="0" borderId="2" xfId="53" applyNumberFormat="1" applyFont="1" applyFill="1" applyBorder="1" applyAlignment="1">
      <alignment horizontal="left" vertical="center"/>
    </xf>
    <xf numFmtId="0" fontId="33" fillId="0" borderId="2" xfId="53" applyNumberFormat="1" applyFont="1" applyFill="1" applyBorder="1" applyAlignment="1">
      <alignment horizontal="center" vertical="center"/>
    </xf>
    <xf numFmtId="164" fontId="33" fillId="0" borderId="2" xfId="73" applyNumberFormat="1" applyFont="1" applyFill="1" applyBorder="1" applyAlignment="1">
      <alignment horizontal="center" vertical="center"/>
    </xf>
    <xf numFmtId="0" fontId="33" fillId="0" borderId="0" xfId="53" applyFont="1" applyFill="1" applyBorder="1" applyAlignment="1">
      <alignment horizontal="left" vertical="center"/>
    </xf>
    <xf numFmtId="0" fontId="33" fillId="0" borderId="0" xfId="53" applyFont="1" applyFill="1" applyBorder="1" applyAlignment="1">
      <alignment horizontal="center" vertical="center"/>
    </xf>
    <xf numFmtId="0" fontId="33" fillId="0" borderId="0" xfId="53" applyNumberFormat="1" applyFont="1" applyFill="1" applyBorder="1" applyAlignment="1">
      <alignment horizontal="center" vertical="center"/>
    </xf>
    <xf numFmtId="164" fontId="33" fillId="0" borderId="0" xfId="73" applyNumberFormat="1" applyFont="1" applyFill="1" applyAlignment="1">
      <alignment horizontal="center" vertical="center"/>
    </xf>
    <xf numFmtId="0" fontId="33" fillId="0" borderId="0" xfId="89" applyFont="1" applyBorder="1" applyAlignment="1">
      <alignment horizontal="left" vertical="center"/>
    </xf>
    <xf numFmtId="0" fontId="33" fillId="0" borderId="0" xfId="89" applyFont="1" applyFill="1" applyAlignment="1">
      <alignment horizontal="center" vertical="center"/>
    </xf>
    <xf numFmtId="1" fontId="33" fillId="0" borderId="0" xfId="89" applyNumberFormat="1" applyFont="1" applyFill="1" applyAlignment="1">
      <alignment horizontal="center" vertical="center"/>
    </xf>
    <xf numFmtId="164" fontId="38" fillId="0" borderId="0" xfId="54" applyNumberFormat="1" applyFont="1" applyAlignment="1">
      <alignment vertical="center"/>
    </xf>
    <xf numFmtId="0" fontId="64" fillId="0" borderId="0" xfId="89" applyFont="1" applyAlignment="1">
      <alignment horizontal="center" vertical="center"/>
    </xf>
    <xf numFmtId="0" fontId="37" fillId="0" borderId="0" xfId="89" applyFont="1" applyAlignment="1">
      <alignment horizontal="center" vertical="center"/>
    </xf>
    <xf numFmtId="0" fontId="37" fillId="0" borderId="0" xfId="89" applyNumberFormat="1" applyFont="1" applyAlignment="1">
      <alignment horizontal="center" vertical="center"/>
    </xf>
    <xf numFmtId="0" fontId="33" fillId="0" borderId="0" xfId="89" applyFont="1" applyAlignment="1">
      <alignment horizontal="center" vertical="center"/>
    </xf>
    <xf numFmtId="0" fontId="33" fillId="0" borderId="0" xfId="89" applyNumberFormat="1" applyFont="1" applyAlignment="1">
      <alignment horizontal="center" vertical="center"/>
    </xf>
    <xf numFmtId="164" fontId="33" fillId="0" borderId="19" xfId="53" applyNumberFormat="1" applyFont="1" applyFill="1" applyBorder="1" applyAlignment="1">
      <alignment vertical="center"/>
    </xf>
    <xf numFmtId="43" fontId="33" fillId="0" borderId="0" xfId="73" applyFont="1" applyFill="1" applyAlignment="1">
      <alignment horizontal="center" vertical="center"/>
    </xf>
    <xf numFmtId="43" fontId="33" fillId="0" borderId="0" xfId="73" applyFont="1" applyFill="1" applyAlignment="1">
      <alignment horizontal="center" vertical="center" wrapText="1"/>
    </xf>
    <xf numFmtId="0" fontId="21" fillId="0" borderId="0" xfId="53" applyFont="1" applyFill="1" applyAlignment="1">
      <alignment vertical="center"/>
    </xf>
    <xf numFmtId="164" fontId="33" fillId="0" borderId="36" xfId="53" applyNumberFormat="1" applyFont="1" applyFill="1" applyBorder="1" applyAlignment="1">
      <alignment horizontal="center" vertical="center"/>
    </xf>
    <xf numFmtId="0" fontId="33" fillId="0" borderId="0" xfId="53" applyNumberFormat="1" applyFont="1" applyFill="1" applyBorder="1" applyAlignment="1">
      <alignment vertical="center"/>
    </xf>
    <xf numFmtId="164" fontId="38" fillId="0" borderId="0" xfId="53" applyNumberFormat="1" applyFont="1" applyFill="1" applyAlignment="1">
      <alignment horizontal="center" vertical="center"/>
    </xf>
    <xf numFmtId="14" fontId="33" fillId="0" borderId="36" xfId="53" applyNumberFormat="1" applyFont="1" applyFill="1" applyBorder="1" applyAlignment="1">
      <alignment horizontal="center" vertical="center"/>
    </xf>
    <xf numFmtId="0" fontId="64" fillId="0" borderId="0" xfId="53" applyFont="1" applyFill="1" applyAlignment="1">
      <alignment horizontal="center" vertical="center"/>
    </xf>
    <xf numFmtId="0" fontId="33" fillId="0" borderId="0" xfId="53" applyNumberFormat="1" applyFont="1" applyFill="1" applyAlignment="1">
      <alignment vertical="center"/>
    </xf>
    <xf numFmtId="43" fontId="37" fillId="0" borderId="0" xfId="73" applyFont="1" applyFill="1" applyAlignment="1">
      <alignment horizontal="center" vertical="center"/>
    </xf>
    <xf numFmtId="0" fontId="37" fillId="0" borderId="0" xfId="53" applyNumberFormat="1" applyFont="1" applyFill="1" applyAlignment="1">
      <alignment horizontal="center" vertical="center"/>
    </xf>
    <xf numFmtId="164" fontId="37" fillId="0" borderId="0" xfId="53" applyNumberFormat="1" applyFont="1" applyFill="1" applyAlignment="1">
      <alignment horizontal="center" vertical="center"/>
    </xf>
    <xf numFmtId="0" fontId="37" fillId="0" borderId="0" xfId="53" applyNumberFormat="1" applyFont="1" applyFill="1" applyAlignment="1">
      <alignment vertical="center"/>
    </xf>
    <xf numFmtId="164" fontId="33" fillId="0" borderId="16" xfId="75" applyNumberFormat="1" applyFont="1" applyFill="1" applyBorder="1" applyAlignment="1">
      <alignment horizontal="center" vertical="center" wrapText="1"/>
    </xf>
    <xf numFmtId="0" fontId="35" fillId="25" borderId="2" xfId="76" applyFont="1" applyFill="1" applyBorder="1" applyAlignment="1" applyProtection="1">
      <alignment vertical="center"/>
      <protection locked="0" hidden="1"/>
    </xf>
    <xf numFmtId="0" fontId="51" fillId="0" borderId="0" xfId="76" applyFont="1" applyFill="1" applyBorder="1" applyAlignment="1" applyProtection="1">
      <alignment horizontal="center" vertical="center"/>
      <protection hidden="1"/>
    </xf>
    <xf numFmtId="0" fontId="39" fillId="0" borderId="0" xfId="76" applyFont="1" applyFill="1" applyBorder="1" applyAlignment="1" applyProtection="1">
      <alignment horizontal="center" vertical="center"/>
      <protection hidden="1"/>
    </xf>
    <xf numFmtId="14" fontId="33" fillId="0" borderId="16" xfId="76" applyNumberFormat="1" applyFont="1" applyBorder="1" applyAlignment="1">
      <alignment horizontal="left" vertical="center" wrapText="1"/>
    </xf>
    <xf numFmtId="164" fontId="33" fillId="0" borderId="16" xfId="29" applyNumberFormat="1" applyFont="1" applyBorder="1" applyAlignment="1">
      <alignment horizontal="left" vertical="center" wrapText="1"/>
    </xf>
    <xf numFmtId="49" fontId="33" fillId="0" borderId="16" xfId="29" applyNumberFormat="1" applyFont="1" applyBorder="1" applyAlignment="1">
      <alignment horizontal="center" vertical="center" wrapText="1"/>
    </xf>
    <xf numFmtId="164" fontId="33" fillId="0" borderId="16" xfId="29" applyNumberFormat="1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/>
    </xf>
    <xf numFmtId="164" fontId="33" fillId="0" borderId="16" xfId="75" quotePrefix="1" applyNumberFormat="1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wrapText="1"/>
    </xf>
    <xf numFmtId="164" fontId="46" fillId="0" borderId="16" xfId="75" applyNumberFormat="1" applyFont="1" applyFill="1" applyBorder="1" applyAlignment="1">
      <alignment horizontal="center" vertical="center" wrapText="1"/>
    </xf>
    <xf numFmtId="164" fontId="46" fillId="0" borderId="16" xfId="75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33" fillId="0" borderId="2" xfId="75" applyNumberFormat="1" applyFont="1" applyFill="1" applyBorder="1" applyAlignment="1">
      <alignment horizontal="center" vertical="center" wrapText="1"/>
    </xf>
    <xf numFmtId="0" fontId="33" fillId="0" borderId="2" xfId="75" applyNumberFormat="1" applyFont="1" applyFill="1" applyBorder="1" applyAlignment="1">
      <alignment horizontal="center" vertical="center" wrapText="1"/>
    </xf>
    <xf numFmtId="0" fontId="42" fillId="0" borderId="0" xfId="75" applyFont="1" applyFill="1" applyAlignment="1">
      <alignment horizontal="center" vertical="center"/>
    </xf>
    <xf numFmtId="0" fontId="35" fillId="0" borderId="0" xfId="75" applyFont="1" applyFill="1" applyAlignment="1">
      <alignment horizontal="center" vertical="center"/>
    </xf>
    <xf numFmtId="0" fontId="33" fillId="0" borderId="2" xfId="75" applyFont="1" applyFill="1" applyBorder="1" applyAlignment="1">
      <alignment horizontal="center" vertical="center" wrapText="1"/>
    </xf>
    <xf numFmtId="0" fontId="33" fillId="0" borderId="5" xfId="75" applyFont="1" applyFill="1" applyBorder="1" applyAlignment="1">
      <alignment horizontal="center" vertical="center" wrapText="1"/>
    </xf>
    <xf numFmtId="0" fontId="33" fillId="0" borderId="20" xfId="75" applyFont="1" applyFill="1" applyBorder="1" applyAlignment="1">
      <alignment horizontal="center" vertical="center" wrapText="1"/>
    </xf>
    <xf numFmtId="0" fontId="33" fillId="0" borderId="17" xfId="75" applyFont="1" applyFill="1" applyBorder="1" applyAlignment="1">
      <alignment horizontal="center" vertical="center" wrapText="1"/>
    </xf>
    <xf numFmtId="0" fontId="33" fillId="0" borderId="18" xfId="75" applyFont="1" applyFill="1" applyBorder="1" applyAlignment="1">
      <alignment horizontal="center" vertical="center" wrapText="1"/>
    </xf>
    <xf numFmtId="14" fontId="33" fillId="0" borderId="17" xfId="0" applyNumberFormat="1" applyFont="1" applyBorder="1" applyAlignment="1">
      <alignment horizontal="center" vertical="center"/>
    </xf>
    <xf numFmtId="14" fontId="33" fillId="0" borderId="18" xfId="0" applyNumberFormat="1" applyFont="1" applyBorder="1" applyAlignment="1">
      <alignment horizontal="center" vertical="center"/>
    </xf>
    <xf numFmtId="0" fontId="33" fillId="0" borderId="17" xfId="75" applyFont="1" applyFill="1" applyBorder="1" applyAlignment="1">
      <alignment horizontal="center" vertical="center"/>
    </xf>
    <xf numFmtId="0" fontId="33" fillId="0" borderId="18" xfId="75" applyFont="1" applyFill="1" applyBorder="1" applyAlignment="1">
      <alignment horizontal="center" vertical="center"/>
    </xf>
    <xf numFmtId="49" fontId="33" fillId="0" borderId="2" xfId="75" applyNumberFormat="1" applyFont="1" applyFill="1" applyBorder="1" applyAlignment="1">
      <alignment horizontal="center" vertical="center"/>
    </xf>
    <xf numFmtId="49" fontId="33" fillId="0" borderId="2" xfId="75" quotePrefix="1" applyNumberFormat="1" applyFont="1" applyFill="1" applyBorder="1" applyAlignment="1">
      <alignment horizontal="center" vertical="center" wrapText="1"/>
    </xf>
    <xf numFmtId="0" fontId="33" fillId="0" borderId="27" xfId="75" quotePrefix="1" applyNumberFormat="1" applyFont="1" applyFill="1" applyBorder="1" applyAlignment="1">
      <alignment horizontal="center" vertical="center" wrapText="1"/>
    </xf>
    <xf numFmtId="0" fontId="33" fillId="0" borderId="29" xfId="75" quotePrefix="1" applyNumberFormat="1" applyFont="1" applyFill="1" applyBorder="1" applyAlignment="1">
      <alignment horizontal="center" vertical="center" wrapText="1"/>
    </xf>
    <xf numFmtId="0" fontId="33" fillId="0" borderId="28" xfId="75" quotePrefix="1" applyNumberFormat="1" applyFont="1" applyFill="1" applyBorder="1" applyAlignment="1">
      <alignment horizontal="center" vertical="center" wrapText="1"/>
    </xf>
    <xf numFmtId="0" fontId="33" fillId="0" borderId="31" xfId="75" quotePrefix="1" applyNumberFormat="1" applyFont="1" applyFill="1" applyBorder="1" applyAlignment="1">
      <alignment horizontal="center" vertical="center" wrapText="1"/>
    </xf>
    <xf numFmtId="0" fontId="33" fillId="0" borderId="22" xfId="75" quotePrefix="1" applyNumberFormat="1" applyFont="1" applyFill="1" applyBorder="1" applyAlignment="1">
      <alignment horizontal="center" vertical="center" wrapText="1"/>
    </xf>
    <xf numFmtId="0" fontId="33" fillId="0" borderId="32" xfId="75" quotePrefix="1" applyNumberFormat="1" applyFont="1" applyFill="1" applyBorder="1" applyAlignment="1">
      <alignment horizontal="center" vertical="center" wrapText="1"/>
    </xf>
    <xf numFmtId="0" fontId="33" fillId="0" borderId="2" xfId="53" applyFont="1" applyFill="1" applyBorder="1" applyAlignment="1">
      <alignment horizontal="center" vertical="center" wrapText="1"/>
    </xf>
    <xf numFmtId="0" fontId="33" fillId="0" borderId="2" xfId="53" applyFont="1" applyFill="1" applyBorder="1" applyAlignment="1">
      <alignment horizontal="center" vertical="center"/>
    </xf>
    <xf numFmtId="0" fontId="37" fillId="0" borderId="0" xfId="53" applyFont="1" applyFill="1" applyAlignment="1">
      <alignment horizontal="center" vertical="center" wrapText="1"/>
    </xf>
    <xf numFmtId="0" fontId="33" fillId="0" borderId="0" xfId="53" applyFont="1" applyFill="1" applyAlignment="1">
      <alignment horizontal="center" vertical="center" wrapText="1"/>
    </xf>
    <xf numFmtId="0" fontId="42" fillId="0" borderId="0" xfId="53" applyFont="1" applyFill="1" applyAlignment="1">
      <alignment horizontal="center" vertical="center"/>
    </xf>
    <xf numFmtId="0" fontId="35" fillId="0" borderId="0" xfId="53" applyFont="1" applyFill="1" applyAlignment="1">
      <alignment horizontal="center" vertical="center"/>
    </xf>
    <xf numFmtId="0" fontId="33" fillId="0" borderId="17" xfId="53" applyFont="1" applyFill="1" applyBorder="1" applyAlignment="1">
      <alignment horizontal="center" vertical="center"/>
    </xf>
    <xf numFmtId="0" fontId="33" fillId="0" borderId="18" xfId="53" applyFont="1" applyFill="1" applyBorder="1" applyAlignment="1">
      <alignment horizontal="center" vertical="center"/>
    </xf>
    <xf numFmtId="0" fontId="33" fillId="0" borderId="5" xfId="53" applyFont="1" applyFill="1" applyBorder="1" applyAlignment="1">
      <alignment horizontal="center" vertical="center" wrapText="1"/>
    </xf>
    <xf numFmtId="0" fontId="33" fillId="0" borderId="20" xfId="53" applyFont="1" applyFill="1" applyBorder="1" applyAlignment="1">
      <alignment horizontal="center" vertical="center" wrapText="1"/>
    </xf>
    <xf numFmtId="0" fontId="33" fillId="0" borderId="2" xfId="53" applyNumberFormat="1" applyFont="1" applyFill="1" applyBorder="1" applyAlignment="1">
      <alignment horizontal="center" vertical="center" wrapText="1"/>
    </xf>
    <xf numFmtId="43" fontId="42" fillId="0" borderId="0" xfId="73" applyFont="1" applyFill="1" applyAlignment="1">
      <alignment horizontal="center" vertical="center"/>
    </xf>
    <xf numFmtId="0" fontId="32" fillId="0" borderId="27" xfId="52" applyFont="1" applyBorder="1" applyAlignment="1">
      <alignment horizontal="center" vertical="center" wrapText="1"/>
    </xf>
    <xf numFmtId="0" fontId="62" fillId="0" borderId="28" xfId="52" applyFont="1" applyBorder="1" applyAlignment="1">
      <alignment horizontal="center" vertical="center" wrapText="1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0" fontId="65" fillId="0" borderId="0" xfId="52" applyFont="1" applyAlignment="1">
      <alignment horizontal="center" vertical="center"/>
    </xf>
    <xf numFmtId="0" fontId="32" fillId="0" borderId="0" xfId="52" applyFont="1" applyAlignment="1">
      <alignment horizontal="center" vertical="center" wrapText="1"/>
    </xf>
    <xf numFmtId="0" fontId="32" fillId="0" borderId="0" xfId="52" applyFont="1" applyAlignment="1">
      <alignment horizontal="center" vertical="center"/>
    </xf>
    <xf numFmtId="0" fontId="32" fillId="0" borderId="0" xfId="52" quotePrefix="1" applyFont="1" applyAlignment="1">
      <alignment horizontal="center" vertical="center"/>
    </xf>
    <xf numFmtId="0" fontId="32" fillId="0" borderId="22" xfId="52" applyFont="1" applyBorder="1" applyAlignment="1">
      <alignment horizontal="center" vertical="center"/>
    </xf>
    <xf numFmtId="0" fontId="32" fillId="0" borderId="22" xfId="52" applyFont="1" applyBorder="1" applyAlignment="1">
      <alignment horizontal="right" vertical="center"/>
    </xf>
    <xf numFmtId="0" fontId="32" fillId="0" borderId="2" xfId="52" applyFont="1" applyBorder="1" applyAlignment="1">
      <alignment horizontal="center" vertical="center" wrapText="1"/>
    </xf>
    <xf numFmtId="0" fontId="62" fillId="0" borderId="29" xfId="52" applyFont="1" applyBorder="1" applyAlignment="1">
      <alignment horizontal="center" vertical="center" wrapText="1"/>
    </xf>
    <xf numFmtId="164" fontId="21" fillId="0" borderId="0" xfId="76" applyNumberFormat="1" applyFont="1" applyAlignment="1">
      <alignment horizontal="center" vertical="center"/>
    </xf>
    <xf numFmtId="164" fontId="32" fillId="0" borderId="0" xfId="76" applyNumberFormat="1" applyFont="1" applyAlignment="1">
      <alignment horizontal="center" vertical="center"/>
    </xf>
    <xf numFmtId="164" fontId="32" fillId="0" borderId="17" xfId="76" applyNumberFormat="1" applyFont="1" applyBorder="1" applyAlignment="1">
      <alignment horizontal="center" vertical="center" wrapText="1"/>
    </xf>
    <xf numFmtId="164" fontId="32" fillId="0" borderId="18" xfId="76" applyNumberFormat="1" applyFont="1" applyBorder="1" applyAlignment="1">
      <alignment horizontal="center" vertical="center" wrapText="1"/>
    </xf>
    <xf numFmtId="164" fontId="32" fillId="0" borderId="2" xfId="76" applyNumberFormat="1" applyFont="1" applyBorder="1" applyAlignment="1">
      <alignment horizontal="center" vertical="center" wrapText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3" xfId="81"/>
    <cellStyle name="Comma 4" xfId="82"/>
    <cellStyle name="Comma 5" xfId="83"/>
    <cellStyle name="Comma 6" xfId="87"/>
    <cellStyle name="Comma 6 2" xfId="91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0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6"/>
    <cellStyle name="Normal 3" xfId="84"/>
    <cellStyle name="Normal 4" xfId="85"/>
    <cellStyle name="Normal 5" xfId="88"/>
    <cellStyle name="Normal 5 2" xfId="90"/>
    <cellStyle name="Normal_112 - 15" xfId="86"/>
    <cellStyle name="Normal_Bao cao" xfId="72"/>
    <cellStyle name="Normal_Copy of Ke-toan-mo-phong-mauso_ke_toan_NKC_excel-2" xfId="52"/>
    <cellStyle name="Normal_ketoanthucte_NhatKySoCai" xfId="53"/>
    <cellStyle name="Normal_ketoanthucte_NhatKySoCai 2" xfId="75"/>
    <cellStyle name="Normal_ketoanthucte_NhatKySoCai 2 2" xfId="89"/>
    <cellStyle name="Normal_NhatKy0403" xfId="78"/>
    <cellStyle name="Normal_PNKPXK" xfId="79"/>
    <cellStyle name="Normal_TM-14" xfId="54"/>
    <cellStyle name="Note" xfId="55" builtinId="10" customBuiltin="1"/>
    <cellStyle name="Output" xfId="56" builtinId="21" customBuiltin="1"/>
    <cellStyle name="TD1" xfId="57"/>
    <cellStyle name="Title" xfId="58" builtinId="15" customBuiltin="1"/>
    <cellStyle name="Total" xfId="59" builtinId="25" customBuiltin="1"/>
    <cellStyle name="Tua de so" xfId="77"/>
    <cellStyle name="Warning Text" xfId="60" builtinId="11" customBuiltin="1"/>
    <cellStyle name="똿뗦먛귟 [0.00]_PRODUCT DETAIL Q1" xfId="61"/>
    <cellStyle name="똿뗦먛귟_PRODUCT DETAIL Q1" xfId="62"/>
    <cellStyle name="믅됞 [0.00]_PRODUCT DETAIL Q1" xfId="63"/>
    <cellStyle name="믅됞_PRODUCT DETAIL Q1" xfId="64"/>
    <cellStyle name="백분율_HOBONG" xfId="65"/>
    <cellStyle name="뷭?_BOOKSHIP" xfId="66"/>
    <cellStyle name="콤마 [0]_1202" xfId="67"/>
    <cellStyle name="콤마_1202" xfId="68"/>
    <cellStyle name="통화 [0]_1202" xfId="69"/>
    <cellStyle name="통화_1202" xfId="70"/>
    <cellStyle name="표준_(정보부문)월별인원계획" xfId="71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331"/>
      <sheetName val="331-CT"/>
      <sheetName val="TH - TT"/>
      <sheetName val="tra vinh"/>
      <sheetName val="TH - TT (2)"/>
    </sheetNames>
    <sheetDataSet>
      <sheetData sheetId="0"/>
      <sheetData sheetId="1">
        <row r="7">
          <cell r="L7">
            <v>331</v>
          </cell>
        </row>
      </sheetData>
      <sheetData sheetId="2">
        <row r="4">
          <cell r="B4" t="str">
            <v>BQL Khu Kinh Tế Trà Vinh</v>
          </cell>
        </row>
      </sheetData>
      <sheetData sheetId="3">
        <row r="7">
          <cell r="E7" t="str">
            <v>Cty CP Cơ Khí Kim Loại Xây Dựng Hoàng Kim</v>
          </cell>
        </row>
      </sheetData>
      <sheetData sheetId="4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5000000</v>
          </cell>
          <cell r="K45" t="str">
            <v>Thanh toán TM</v>
          </cell>
        </row>
        <row r="46">
          <cell r="I46">
            <v>41490000</v>
          </cell>
          <cell r="K46" t="str">
            <v>Thanh toán TM</v>
          </cell>
        </row>
        <row r="47">
          <cell r="I47">
            <v>5000000</v>
          </cell>
          <cell r="K47" t="str">
            <v>Thanh toán TM</v>
          </cell>
        </row>
        <row r="48">
          <cell r="I48">
            <v>51490000</v>
          </cell>
          <cell r="K48" t="str">
            <v>x</v>
          </cell>
        </row>
        <row r="49">
          <cell r="I49">
            <v>0</v>
          </cell>
        </row>
        <row r="50">
          <cell r="I50">
            <v>20000000</v>
          </cell>
          <cell r="K50" t="str">
            <v>Thanh toán NH</v>
          </cell>
        </row>
        <row r="51">
          <cell r="I51">
            <v>20000000</v>
          </cell>
          <cell r="K51" t="str">
            <v>Thanh toán NH</v>
          </cell>
        </row>
        <row r="52">
          <cell r="I52">
            <v>50000000</v>
          </cell>
          <cell r="K52" t="str">
            <v>Thanh toán NH</v>
          </cell>
        </row>
        <row r="53">
          <cell r="I53">
            <v>50000000</v>
          </cell>
          <cell r="K53" t="str">
            <v>Thanh toán NH</v>
          </cell>
        </row>
        <row r="54">
          <cell r="I54">
            <v>50000000</v>
          </cell>
          <cell r="K54" t="str">
            <v>Thanh toán NH</v>
          </cell>
        </row>
        <row r="55">
          <cell r="I55">
            <v>50000000</v>
          </cell>
          <cell r="K55" t="str">
            <v>Thanh toán NH</v>
          </cell>
        </row>
        <row r="56">
          <cell r="I56">
            <v>49000000</v>
          </cell>
          <cell r="K56" t="str">
            <v>Thanh toán NH</v>
          </cell>
        </row>
        <row r="57">
          <cell r="I57">
            <v>289000000</v>
          </cell>
          <cell r="K57" t="str">
            <v>x</v>
          </cell>
        </row>
        <row r="58">
          <cell r="I58">
            <v>0</v>
          </cell>
        </row>
        <row r="59">
          <cell r="I59">
            <v>45000000</v>
          </cell>
          <cell r="K59" t="str">
            <v>Thanh toán NH</v>
          </cell>
        </row>
        <row r="60">
          <cell r="I60">
            <v>105126466</v>
          </cell>
          <cell r="K60" t="str">
            <v>Thanh toán NH</v>
          </cell>
        </row>
        <row r="62">
          <cell r="I62">
            <v>150126466</v>
          </cell>
          <cell r="K62" t="str">
            <v>x</v>
          </cell>
        </row>
        <row r="63">
          <cell r="I63">
            <v>0</v>
          </cell>
        </row>
        <row r="64">
          <cell r="I64">
            <v>53060000</v>
          </cell>
          <cell r="K64" t="str">
            <v>Thanh toán NH</v>
          </cell>
        </row>
        <row r="65">
          <cell r="I65">
            <v>53060000</v>
          </cell>
          <cell r="K65" t="str">
            <v>x</v>
          </cell>
        </row>
        <row r="66">
          <cell r="I66">
            <v>0</v>
          </cell>
        </row>
        <row r="67">
          <cell r="I67">
            <v>30000000</v>
          </cell>
          <cell r="K67" t="str">
            <v>Thanh toán NH</v>
          </cell>
        </row>
        <row r="68">
          <cell r="I68">
            <v>30000000</v>
          </cell>
          <cell r="K68" t="str">
            <v>Thanh toán NH</v>
          </cell>
        </row>
        <row r="69">
          <cell r="I69">
            <v>60000000</v>
          </cell>
          <cell r="K69" t="str">
            <v>x</v>
          </cell>
        </row>
        <row r="70">
          <cell r="I70">
            <v>40000000</v>
          </cell>
        </row>
        <row r="71">
          <cell r="I71">
            <v>27500000</v>
          </cell>
          <cell r="K71" t="str">
            <v>Thanh toán NH</v>
          </cell>
        </row>
        <row r="72">
          <cell r="I72">
            <v>33000000</v>
          </cell>
          <cell r="K72" t="str">
            <v>Thanh toán NH</v>
          </cell>
        </row>
        <row r="73">
          <cell r="I73">
            <v>60500000</v>
          </cell>
          <cell r="K73" t="str">
            <v>x</v>
          </cell>
        </row>
        <row r="74">
          <cell r="I74">
            <v>0</v>
          </cell>
        </row>
        <row r="75">
          <cell r="I75">
            <v>128400000</v>
          </cell>
          <cell r="K75" t="str">
            <v>Thanh toán NH</v>
          </cell>
        </row>
        <row r="77">
          <cell r="I77">
            <v>128400000</v>
          </cell>
          <cell r="K77" t="str">
            <v>x</v>
          </cell>
        </row>
        <row r="78">
          <cell r="I78">
            <v>299600000</v>
          </cell>
        </row>
        <row r="79">
          <cell r="I79">
            <v>100000000</v>
          </cell>
          <cell r="K79" t="str">
            <v>Thanh toán NH</v>
          </cell>
        </row>
        <row r="80">
          <cell r="I80">
            <v>50000000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100000000</v>
          </cell>
          <cell r="K82" t="str">
            <v>Thanh toán TM</v>
          </cell>
        </row>
        <row r="83">
          <cell r="I83">
            <v>200000000</v>
          </cell>
          <cell r="K83" t="str">
            <v>Thanh toán NH</v>
          </cell>
        </row>
        <row r="84">
          <cell r="I84">
            <v>-91500000</v>
          </cell>
          <cell r="K84" t="str">
            <v>Thu TM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100000000</v>
          </cell>
          <cell r="K86" t="str">
            <v>Thanh toán TM</v>
          </cell>
        </row>
        <row r="87">
          <cell r="I87">
            <v>100000000</v>
          </cell>
          <cell r="K87" t="str">
            <v>Thanh toán NH</v>
          </cell>
        </row>
        <row r="88">
          <cell r="I88">
            <v>50000000</v>
          </cell>
          <cell r="K88" t="str">
            <v>Thanh toán NH</v>
          </cell>
        </row>
        <row r="89">
          <cell r="I89">
            <v>100000000</v>
          </cell>
          <cell r="K89" t="str">
            <v>Thanh toán NH</v>
          </cell>
        </row>
        <row r="90">
          <cell r="I90">
            <v>100000000</v>
          </cell>
          <cell r="K90" t="str">
            <v>Thanh toán TM</v>
          </cell>
        </row>
        <row r="91">
          <cell r="I91">
            <v>50000000</v>
          </cell>
          <cell r="K91" t="str">
            <v>Thanh toán NH</v>
          </cell>
        </row>
        <row r="92">
          <cell r="I92">
            <v>800000000</v>
          </cell>
          <cell r="K92" t="str">
            <v>Thanh toán NH</v>
          </cell>
        </row>
        <row r="93">
          <cell r="I93">
            <v>1500000000</v>
          </cell>
          <cell r="K93" t="str">
            <v>Thanh toán NH</v>
          </cell>
        </row>
        <row r="94">
          <cell r="I94">
            <v>1000000000</v>
          </cell>
          <cell r="K94" t="str">
            <v>Thanh toán NH</v>
          </cell>
        </row>
        <row r="95">
          <cell r="I95">
            <v>1000000000</v>
          </cell>
          <cell r="K95" t="str">
            <v>Thanh toán NH</v>
          </cell>
        </row>
        <row r="96">
          <cell r="I96">
            <v>700000000</v>
          </cell>
          <cell r="K96" t="str">
            <v>Thanh toán NH</v>
          </cell>
        </row>
        <row r="97">
          <cell r="I97">
            <v>500000000</v>
          </cell>
          <cell r="K97" t="str">
            <v>Thanh toán NH</v>
          </cell>
        </row>
        <row r="98">
          <cell r="I98">
            <v>500000000</v>
          </cell>
          <cell r="K98" t="str">
            <v>Thanh toán NH</v>
          </cell>
        </row>
        <row r="99">
          <cell r="I99">
            <v>500000000</v>
          </cell>
          <cell r="K99" t="str">
            <v>Thanh toán NH</v>
          </cell>
        </row>
        <row r="100">
          <cell r="I100">
            <v>1000000000</v>
          </cell>
          <cell r="K100" t="str">
            <v>Thanh toán NH</v>
          </cell>
        </row>
        <row r="101">
          <cell r="I101">
            <v>300000000</v>
          </cell>
          <cell r="K101" t="str">
            <v>Thanh toán NH</v>
          </cell>
        </row>
        <row r="104">
          <cell r="I104">
            <v>8858500000</v>
          </cell>
          <cell r="K104" t="str">
            <v>x</v>
          </cell>
        </row>
        <row r="105">
          <cell r="I105">
            <v>2464055140</v>
          </cell>
        </row>
        <row r="106">
          <cell r="I106">
            <v>50000000</v>
          </cell>
          <cell r="K106" t="str">
            <v>Thanh toán NH</v>
          </cell>
        </row>
        <row r="107">
          <cell r="I107">
            <v>50000000</v>
          </cell>
          <cell r="K107" t="str">
            <v>Thanh toán NH</v>
          </cell>
        </row>
        <row r="108">
          <cell r="I108">
            <v>50000000</v>
          </cell>
          <cell r="K108" t="str">
            <v>Thanh toán NH</v>
          </cell>
        </row>
        <row r="110">
          <cell r="I110">
            <v>150000000</v>
          </cell>
          <cell r="K110" t="str">
            <v>x</v>
          </cell>
        </row>
        <row r="111">
          <cell r="I111">
            <v>50000000</v>
          </cell>
        </row>
        <row r="112">
          <cell r="I112">
            <v>752610000</v>
          </cell>
          <cell r="K112" t="str">
            <v>Thanh toán NH</v>
          </cell>
        </row>
        <row r="113">
          <cell r="I113">
            <v>-200000000</v>
          </cell>
          <cell r="K113" t="str">
            <v>Thu TM</v>
          </cell>
        </row>
        <row r="114">
          <cell r="I114">
            <v>500000000</v>
          </cell>
          <cell r="K114" t="str">
            <v>Thanh toán NH</v>
          </cell>
        </row>
        <row r="115">
          <cell r="I115">
            <v>-100000000</v>
          </cell>
          <cell r="K115" t="str">
            <v>Thu TM</v>
          </cell>
        </row>
        <row r="116">
          <cell r="I116">
            <v>500000000</v>
          </cell>
          <cell r="K116" t="str">
            <v>Thanh toán NH</v>
          </cell>
        </row>
        <row r="117">
          <cell r="I117">
            <v>-100000000</v>
          </cell>
          <cell r="K117" t="str">
            <v>Thu TM</v>
          </cell>
        </row>
        <row r="118">
          <cell r="I118">
            <v>251000000</v>
          </cell>
          <cell r="K118" t="str">
            <v>Thanh toán NH</v>
          </cell>
        </row>
        <row r="119">
          <cell r="I119">
            <v>200000000</v>
          </cell>
          <cell r="K119" t="str">
            <v>Thanh toán NH</v>
          </cell>
        </row>
        <row r="120">
          <cell r="I120">
            <v>400000000</v>
          </cell>
          <cell r="K120" t="str">
            <v>Thanh toán NH</v>
          </cell>
        </row>
        <row r="121">
          <cell r="I121">
            <v>-200000000</v>
          </cell>
          <cell r="K121" t="str">
            <v>Thu TM</v>
          </cell>
        </row>
        <row r="124">
          <cell r="I124">
            <v>2003610000</v>
          </cell>
          <cell r="K124" t="str">
            <v>x</v>
          </cell>
        </row>
        <row r="125">
          <cell r="I125">
            <v>245090000</v>
          </cell>
          <cell r="K125">
            <v>321230000</v>
          </cell>
        </row>
        <row r="126">
          <cell r="I126">
            <v>600000000</v>
          </cell>
          <cell r="K126" t="str">
            <v>Thanh toán NH</v>
          </cell>
        </row>
        <row r="127">
          <cell r="I127">
            <v>600000000</v>
          </cell>
          <cell r="K127" t="str">
            <v>Thanh toán NH</v>
          </cell>
        </row>
        <row r="128">
          <cell r="I128">
            <v>500000000</v>
          </cell>
          <cell r="K128" t="str">
            <v>Thanh toán NH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-500000000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500000000</v>
          </cell>
          <cell r="K132" t="str">
            <v>Thanh toán NH</v>
          </cell>
        </row>
        <row r="133">
          <cell r="I133">
            <v>-200000000</v>
          </cell>
          <cell r="K133" t="str">
            <v>Thu TM</v>
          </cell>
        </row>
        <row r="135">
          <cell r="I135">
            <v>2500000000</v>
          </cell>
          <cell r="K135" t="str">
            <v>x</v>
          </cell>
        </row>
        <row r="136">
          <cell r="I136">
            <v>410000000</v>
          </cell>
        </row>
        <row r="137">
          <cell r="I137">
            <v>360000000</v>
          </cell>
          <cell r="K137" t="str">
            <v>Thanh toán NH</v>
          </cell>
        </row>
        <row r="139">
          <cell r="I139">
            <v>360000000</v>
          </cell>
          <cell r="K139" t="str">
            <v>x</v>
          </cell>
        </row>
        <row r="140">
          <cell r="I140">
            <v>940000000</v>
          </cell>
        </row>
        <row r="141">
          <cell r="I141">
            <v>195195000</v>
          </cell>
          <cell r="K141" t="str">
            <v>Thanh toán NH</v>
          </cell>
        </row>
        <row r="142">
          <cell r="I142">
            <v>140000000</v>
          </cell>
          <cell r="K142" t="str">
            <v>Thanh toán NH</v>
          </cell>
        </row>
        <row r="144">
          <cell r="I144">
            <v>335195000</v>
          </cell>
          <cell r="K144" t="str">
            <v>x</v>
          </cell>
        </row>
        <row r="145">
          <cell r="I145">
            <v>150455000</v>
          </cell>
        </row>
        <row r="146">
          <cell r="I146">
            <v>100000000</v>
          </cell>
          <cell r="K146" t="str">
            <v>Thanh toán NH</v>
          </cell>
        </row>
        <row r="147">
          <cell r="I147">
            <v>100000000</v>
          </cell>
          <cell r="K147" t="str">
            <v>Thanh toán NH</v>
          </cell>
        </row>
        <row r="148">
          <cell r="I148">
            <v>55297700</v>
          </cell>
          <cell r="K148" t="str">
            <v>Thanh toán NH</v>
          </cell>
        </row>
        <row r="149">
          <cell r="I149">
            <v>255297700</v>
          </cell>
          <cell r="K149" t="str">
            <v>x</v>
          </cell>
        </row>
        <row r="150">
          <cell r="I150">
            <v>0</v>
          </cell>
        </row>
        <row r="151">
          <cell r="I151">
            <v>100000000</v>
          </cell>
          <cell r="K151" t="str">
            <v>Thanh toán NH</v>
          </cell>
        </row>
        <row r="152">
          <cell r="I152">
            <v>200000000</v>
          </cell>
          <cell r="K152" t="str">
            <v>Thanh toán NH</v>
          </cell>
        </row>
        <row r="153">
          <cell r="I153">
            <v>201012500</v>
          </cell>
          <cell r="K153" t="str">
            <v>Thanh toán NH</v>
          </cell>
        </row>
        <row r="155">
          <cell r="I155">
            <v>501012500</v>
          </cell>
          <cell r="K155" t="str">
            <v>x</v>
          </cell>
        </row>
        <row r="156">
          <cell r="I156">
            <v>114906620</v>
          </cell>
        </row>
        <row r="157">
          <cell r="I157">
            <v>100000000</v>
          </cell>
          <cell r="K157" t="str">
            <v>Thanh toán NH</v>
          </cell>
        </row>
        <row r="159">
          <cell r="I159">
            <v>100000000</v>
          </cell>
          <cell r="K159" t="str">
            <v>x</v>
          </cell>
        </row>
        <row r="160">
          <cell r="I160">
            <v>198500000</v>
          </cell>
        </row>
        <row r="161">
          <cell r="I161">
            <v>150000000</v>
          </cell>
          <cell r="K161" t="str">
            <v>Thanh toán NH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50000000</v>
          </cell>
          <cell r="K163" t="str">
            <v>Thanh toán NH</v>
          </cell>
        </row>
        <row r="164">
          <cell r="I164">
            <v>200000000</v>
          </cell>
          <cell r="K164" t="str">
            <v>Thanh toán NH</v>
          </cell>
        </row>
        <row r="165">
          <cell r="I165">
            <v>100000000</v>
          </cell>
          <cell r="K165" t="str">
            <v>Thanh toán NH</v>
          </cell>
        </row>
        <row r="166">
          <cell r="I166">
            <v>400000000</v>
          </cell>
          <cell r="K166" t="str">
            <v>Thanh toán NH</v>
          </cell>
        </row>
        <row r="167">
          <cell r="I167">
            <v>-200000000</v>
          </cell>
          <cell r="K167" t="str">
            <v>Thu TM</v>
          </cell>
        </row>
        <row r="169">
          <cell r="I169">
            <v>850000000</v>
          </cell>
          <cell r="K169" t="str">
            <v>x</v>
          </cell>
        </row>
        <row r="170">
          <cell r="I170">
            <v>117727768</v>
          </cell>
        </row>
        <row r="171">
          <cell r="I171">
            <v>200000000</v>
          </cell>
          <cell r="K171" t="str">
            <v>Thanh toán NH</v>
          </cell>
        </row>
        <row r="172">
          <cell r="I172">
            <v>250000000</v>
          </cell>
          <cell r="K172" t="str">
            <v>Thanh toán NH</v>
          </cell>
        </row>
        <row r="173">
          <cell r="I173">
            <v>300000000</v>
          </cell>
          <cell r="K173" t="str">
            <v>Thanh toán NH</v>
          </cell>
        </row>
        <row r="174">
          <cell r="I174">
            <v>-100000000</v>
          </cell>
          <cell r="K174" t="str">
            <v>Thu TM</v>
          </cell>
        </row>
        <row r="175">
          <cell r="I175">
            <v>150000000</v>
          </cell>
          <cell r="K175" t="str">
            <v>Thanh toán NH</v>
          </cell>
        </row>
        <row r="176">
          <cell r="I176">
            <v>150000000</v>
          </cell>
          <cell r="K176" t="str">
            <v>Thanh toán NH</v>
          </cell>
        </row>
        <row r="178">
          <cell r="I178">
            <v>950000000</v>
          </cell>
          <cell r="K178" t="str">
            <v>x</v>
          </cell>
        </row>
        <row r="179">
          <cell r="I179">
            <v>141279000</v>
          </cell>
        </row>
        <row r="180">
          <cell r="I180">
            <v>200000000</v>
          </cell>
          <cell r="K180" t="str">
            <v>Thanh toán NH</v>
          </cell>
        </row>
        <row r="181">
          <cell r="I181">
            <v>500000000</v>
          </cell>
          <cell r="K181" t="str">
            <v>Thanh toán NH</v>
          </cell>
        </row>
        <row r="182">
          <cell r="I182">
            <v>-300000000</v>
          </cell>
          <cell r="K182" t="str">
            <v>Thu TM</v>
          </cell>
        </row>
        <row r="183">
          <cell r="I183">
            <v>500000000</v>
          </cell>
          <cell r="K183" t="str">
            <v>Thanh toán NH</v>
          </cell>
        </row>
        <row r="184">
          <cell r="I184">
            <v>-300000000</v>
          </cell>
          <cell r="K184" t="str">
            <v>Thu TM</v>
          </cell>
        </row>
        <row r="185">
          <cell r="I185">
            <v>400000000</v>
          </cell>
          <cell r="K185" t="str">
            <v>Thanh toán NH</v>
          </cell>
        </row>
        <row r="188">
          <cell r="I188">
            <v>1000000000</v>
          </cell>
          <cell r="K188" t="str">
            <v>x</v>
          </cell>
        </row>
        <row r="189">
          <cell r="I189">
            <v>-131550000</v>
          </cell>
        </row>
        <row r="190">
          <cell r="I190">
            <v>171000000</v>
          </cell>
          <cell r="K190" t="str">
            <v>Thanh toán NH</v>
          </cell>
        </row>
        <row r="191">
          <cell r="I191">
            <v>228000000</v>
          </cell>
          <cell r="K191" t="str">
            <v>Thanh toán NH</v>
          </cell>
        </row>
        <row r="193">
          <cell r="I193">
            <v>399000000</v>
          </cell>
          <cell r="K193" t="str">
            <v>x</v>
          </cell>
        </row>
        <row r="194">
          <cell r="I194">
            <v>171000000</v>
          </cell>
        </row>
        <row r="195">
          <cell r="I195">
            <v>100000000</v>
          </cell>
          <cell r="K195" t="str">
            <v>Thanh toán NH</v>
          </cell>
        </row>
        <row r="196">
          <cell r="I196">
            <v>200000000</v>
          </cell>
          <cell r="K196" t="str">
            <v>Thanh toán NH</v>
          </cell>
        </row>
        <row r="197">
          <cell r="I197">
            <v>500000000</v>
          </cell>
          <cell r="K197" t="str">
            <v>Thanh toán NH</v>
          </cell>
        </row>
        <row r="198">
          <cell r="I198">
            <v>-300000000</v>
          </cell>
          <cell r="K198" t="str">
            <v>Thu TM</v>
          </cell>
        </row>
        <row r="199">
          <cell r="I199">
            <v>400000000</v>
          </cell>
          <cell r="K199" t="str">
            <v>Thanh toán NH</v>
          </cell>
        </row>
        <row r="200">
          <cell r="I200">
            <v>-200000000</v>
          </cell>
          <cell r="K200" t="str">
            <v>Thu TM</v>
          </cell>
        </row>
        <row r="201">
          <cell r="I201">
            <v>150000000</v>
          </cell>
          <cell r="K201" t="str">
            <v>Thanh toán NH</v>
          </cell>
        </row>
        <row r="202">
          <cell r="I202">
            <v>400000000</v>
          </cell>
          <cell r="K202" t="str">
            <v>Thanh toán NH</v>
          </cell>
        </row>
        <row r="207">
          <cell r="I207">
            <v>1250000000</v>
          </cell>
          <cell r="K207" t="str">
            <v>x</v>
          </cell>
        </row>
        <row r="208">
          <cell r="I208">
            <v>1005000000</v>
          </cell>
        </row>
        <row r="209">
          <cell r="I209">
            <v>90000000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50000000</v>
          </cell>
          <cell r="K212" t="str">
            <v>Thanh toán NH</v>
          </cell>
        </row>
        <row r="213">
          <cell r="I213">
            <v>30000000</v>
          </cell>
          <cell r="K213" t="str">
            <v>Thanh toán NH</v>
          </cell>
        </row>
        <row r="214">
          <cell r="I214">
            <v>10000000</v>
          </cell>
          <cell r="K214" t="str">
            <v>Thanh toán TM</v>
          </cell>
        </row>
        <row r="216">
          <cell r="I216">
            <v>280000000</v>
          </cell>
          <cell r="K216" t="str">
            <v>x</v>
          </cell>
        </row>
        <row r="217">
          <cell r="I217">
            <v>2530000</v>
          </cell>
        </row>
        <row r="218">
          <cell r="I218">
            <v>200000000</v>
          </cell>
          <cell r="K218" t="str">
            <v>Thanh toán NH</v>
          </cell>
        </row>
        <row r="220">
          <cell r="I220">
            <v>200000000</v>
          </cell>
          <cell r="K220" t="str">
            <v>x</v>
          </cell>
        </row>
        <row r="221">
          <cell r="I221">
            <v>399632000</v>
          </cell>
        </row>
        <row r="222">
          <cell r="I222">
            <v>47562486</v>
          </cell>
          <cell r="K222" t="str">
            <v>Thanh toán TM</v>
          </cell>
        </row>
        <row r="223">
          <cell r="I223">
            <v>1210608255</v>
          </cell>
          <cell r="K223" t="str">
            <v>Thanh toán TM</v>
          </cell>
        </row>
        <row r="224">
          <cell r="I224">
            <v>23000000</v>
          </cell>
          <cell r="K224" t="str">
            <v>Thanh toán TM</v>
          </cell>
        </row>
        <row r="225">
          <cell r="I225">
            <v>3740000</v>
          </cell>
          <cell r="K225" t="str">
            <v>Thanh toán TM</v>
          </cell>
        </row>
        <row r="226">
          <cell r="I226">
            <v>0</v>
          </cell>
        </row>
        <row r="227">
          <cell r="I227">
            <v>1284910741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G10" sqref="G10:H41"/>
    </sheetView>
  </sheetViews>
  <sheetFormatPr defaultColWidth="8" defaultRowHeight="13.5"/>
  <cols>
    <col min="1" max="1" width="7.42578125" style="10" customWidth="1"/>
    <col min="2" max="2" width="35.85546875" style="10" customWidth="1"/>
    <col min="3" max="3" width="14.5703125" style="9" customWidth="1"/>
    <col min="4" max="4" width="13.5703125" style="9" customWidth="1"/>
    <col min="5" max="5" width="15.140625" style="10" customWidth="1"/>
    <col min="6" max="6" width="17.28515625" style="10" customWidth="1"/>
    <col min="7" max="7" width="13.85546875" style="10" customWidth="1"/>
    <col min="8" max="8" width="14.7109375" style="10" customWidth="1"/>
    <col min="9" max="9" width="6.140625" style="10" customWidth="1"/>
    <col min="10" max="10" width="15.42578125" style="10" customWidth="1"/>
    <col min="11" max="11" width="13.7109375" style="10" customWidth="1"/>
    <col min="12" max="16384" width="8" style="10"/>
  </cols>
  <sheetData>
    <row r="1" spans="1:12">
      <c r="A1" s="8" t="s">
        <v>36</v>
      </c>
      <c r="B1" s="8"/>
    </row>
    <row r="2" spans="1:12">
      <c r="A2" s="8" t="s">
        <v>37</v>
      </c>
      <c r="B2" s="8"/>
    </row>
    <row r="3" spans="1:12">
      <c r="A3" s="8" t="s">
        <v>38</v>
      </c>
      <c r="B3" s="8"/>
    </row>
    <row r="5" spans="1:12" ht="15.75">
      <c r="A5" s="11" t="s">
        <v>39</v>
      </c>
      <c r="B5" s="11"/>
      <c r="C5" s="12"/>
      <c r="D5" s="12"/>
      <c r="E5" s="11"/>
      <c r="F5" s="11"/>
      <c r="G5" s="11"/>
      <c r="H5" s="11"/>
    </row>
    <row r="6" spans="1:12" ht="15.75">
      <c r="A6" s="13" t="s">
        <v>40</v>
      </c>
      <c r="B6" s="11"/>
      <c r="C6" s="12"/>
      <c r="D6" s="12"/>
      <c r="E6" s="11"/>
      <c r="F6" s="11"/>
      <c r="G6" s="11"/>
      <c r="H6" s="11"/>
    </row>
    <row r="8" spans="1:12">
      <c r="A8" s="14"/>
      <c r="B8" s="14" t="s">
        <v>41</v>
      </c>
      <c r="C8" s="15" t="s">
        <v>42</v>
      </c>
      <c r="D8" s="15"/>
      <c r="E8" s="16" t="s">
        <v>43</v>
      </c>
      <c r="F8" s="16"/>
      <c r="G8" s="16" t="s">
        <v>44</v>
      </c>
      <c r="H8" s="16"/>
    </row>
    <row r="9" spans="1:12">
      <c r="A9" s="17" t="s">
        <v>45</v>
      </c>
      <c r="B9" s="17"/>
      <c r="C9" s="15" t="s">
        <v>46</v>
      </c>
      <c r="D9" s="15" t="s">
        <v>47</v>
      </c>
      <c r="E9" s="16" t="s">
        <v>46</v>
      </c>
      <c r="F9" s="16" t="s">
        <v>47</v>
      </c>
      <c r="G9" s="16" t="s">
        <v>46</v>
      </c>
      <c r="H9" s="16" t="s">
        <v>47</v>
      </c>
    </row>
    <row r="10" spans="1:12" s="9" customFormat="1">
      <c r="A10" s="18" t="s">
        <v>48</v>
      </c>
      <c r="B10" s="19" t="s">
        <v>49</v>
      </c>
      <c r="C10" s="20">
        <v>3996700000</v>
      </c>
      <c r="D10" s="20">
        <v>0</v>
      </c>
      <c r="E10" s="20">
        <f t="array" ref="E10">SUM(IF(A10=KHN,TH))</f>
        <v>0</v>
      </c>
      <c r="F10" s="20">
        <f t="array" ref="F10">SUM(IF(A10=KHC,TH))</f>
        <v>1910000</v>
      </c>
      <c r="G10" s="21">
        <f>MAX(C10+E10-D10-F10,0)</f>
        <v>3994790000</v>
      </c>
      <c r="H10" s="21">
        <f>MAX(D10+F10-E10-C10,0)</f>
        <v>0</v>
      </c>
      <c r="K10" s="22"/>
      <c r="L10" s="22"/>
    </row>
    <row r="11" spans="1:12" s="9" customFormat="1">
      <c r="A11" s="23" t="s">
        <v>16</v>
      </c>
      <c r="B11" s="24" t="s">
        <v>50</v>
      </c>
      <c r="C11" s="25">
        <v>3996700000</v>
      </c>
      <c r="D11" s="25">
        <v>0</v>
      </c>
      <c r="E11" s="25">
        <f>E10</f>
        <v>0</v>
      </c>
      <c r="F11" s="25">
        <f>F10</f>
        <v>1910000</v>
      </c>
      <c r="G11" s="25">
        <f>G10</f>
        <v>3994790000</v>
      </c>
      <c r="H11" s="25">
        <f>H10</f>
        <v>0</v>
      </c>
    </row>
    <row r="12" spans="1:12" s="9" customFormat="1">
      <c r="A12" s="26" t="s">
        <v>24</v>
      </c>
      <c r="B12" s="19" t="s">
        <v>51</v>
      </c>
      <c r="C12" s="20">
        <v>0</v>
      </c>
      <c r="D12" s="20">
        <v>0</v>
      </c>
      <c r="E12" s="20">
        <f t="array" ref="E12">SUM(IF(A12=KHN,TH))</f>
        <v>0</v>
      </c>
      <c r="F12" s="20">
        <f t="array" ref="F12">SUM(IF(A12=KHC,TH))</f>
        <v>0</v>
      </c>
      <c r="G12" s="21">
        <f>MAX(C12+E12-D12-F12,0)</f>
        <v>0</v>
      </c>
      <c r="H12" s="21">
        <f>MAX(D12+F12-E12-C12,0)</f>
        <v>0</v>
      </c>
      <c r="K12" s="22"/>
      <c r="L12" s="22"/>
    </row>
    <row r="13" spans="1:12" s="9" customFormat="1">
      <c r="A13" s="23" t="s">
        <v>52</v>
      </c>
      <c r="B13" s="24" t="s">
        <v>53</v>
      </c>
      <c r="C13" s="25">
        <v>0</v>
      </c>
      <c r="D13" s="25">
        <v>0</v>
      </c>
      <c r="E13" s="25">
        <f>E12</f>
        <v>0</v>
      </c>
      <c r="F13" s="25">
        <f>F12</f>
        <v>0</v>
      </c>
      <c r="G13" s="25">
        <f>MAX(C13+E13-D13-F13,0)</f>
        <v>0</v>
      </c>
      <c r="H13" s="25">
        <f>MAX(D13+F13-E13-C13,0)</f>
        <v>0</v>
      </c>
    </row>
    <row r="14" spans="1:12" s="9" customFormat="1">
      <c r="A14" s="26" t="s">
        <v>9</v>
      </c>
      <c r="B14" s="19" t="s">
        <v>54</v>
      </c>
      <c r="C14" s="20">
        <v>0</v>
      </c>
      <c r="D14" s="20">
        <v>0</v>
      </c>
      <c r="E14" s="20">
        <f t="array" ref="E14">SUM(IF(A14=KHN,TH))</f>
        <v>0</v>
      </c>
      <c r="F14" s="20">
        <f t="array" ref="F14">SUM(IF(A14=KHC,TH))</f>
        <v>0</v>
      </c>
      <c r="G14" s="21">
        <f>MAX(C14+E14-D14-F14,0)</f>
        <v>0</v>
      </c>
      <c r="H14" s="21">
        <f>MAX(D14+F14-E14-C14,0)</f>
        <v>0</v>
      </c>
    </row>
    <row r="15" spans="1:12" s="9" customFormat="1">
      <c r="A15" s="23" t="s">
        <v>55</v>
      </c>
      <c r="B15" s="24" t="s">
        <v>56</v>
      </c>
      <c r="C15" s="25">
        <v>0</v>
      </c>
      <c r="D15" s="25">
        <v>0</v>
      </c>
      <c r="E15" s="25">
        <f t="shared" ref="E15:H15" si="0">E14</f>
        <v>0</v>
      </c>
      <c r="F15" s="25">
        <f t="shared" si="0"/>
        <v>0</v>
      </c>
      <c r="G15" s="25">
        <f t="shared" si="0"/>
        <v>0</v>
      </c>
      <c r="H15" s="25">
        <f t="shared" si="0"/>
        <v>0</v>
      </c>
    </row>
    <row r="16" spans="1:12" s="9" customFormat="1">
      <c r="A16" s="26" t="s">
        <v>57</v>
      </c>
      <c r="B16" s="19" t="s">
        <v>58</v>
      </c>
      <c r="C16" s="20">
        <v>0</v>
      </c>
      <c r="D16" s="20">
        <v>0</v>
      </c>
      <c r="E16" s="20">
        <f t="array" ref="E16">SUM(IF(A16=KHN,TH))</f>
        <v>0</v>
      </c>
      <c r="F16" s="20">
        <f t="array" ref="F16">SUM(IF(A16=KHC,TH))</f>
        <v>0</v>
      </c>
      <c r="G16" s="21">
        <f t="shared" ref="G16:G22" si="1">MAX(C16+E16-D16-F16,0)</f>
        <v>0</v>
      </c>
      <c r="H16" s="21">
        <f t="shared" ref="H16:H22" si="2">MAX(D16+F16-E16-C16,0)</f>
        <v>0</v>
      </c>
    </row>
    <row r="17" spans="1:9" s="9" customFormat="1">
      <c r="A17" s="23" t="s">
        <v>59</v>
      </c>
      <c r="B17" s="24" t="s">
        <v>60</v>
      </c>
      <c r="C17" s="25">
        <v>0</v>
      </c>
      <c r="D17" s="25">
        <v>0</v>
      </c>
      <c r="E17" s="25">
        <f>E16</f>
        <v>0</v>
      </c>
      <c r="F17" s="25">
        <f>F16</f>
        <v>0</v>
      </c>
      <c r="G17" s="25">
        <f t="shared" si="1"/>
        <v>0</v>
      </c>
      <c r="H17" s="25">
        <f t="shared" si="2"/>
        <v>0</v>
      </c>
    </row>
    <row r="18" spans="1:9" s="9" customFormat="1">
      <c r="A18" s="18" t="s">
        <v>151</v>
      </c>
      <c r="B18" s="19" t="s">
        <v>152</v>
      </c>
      <c r="C18" s="20">
        <v>0</v>
      </c>
      <c r="D18" s="20">
        <v>0</v>
      </c>
      <c r="E18" s="20">
        <f t="array" ref="E18">SUM(IF(A18=KHN,TH))</f>
        <v>0</v>
      </c>
      <c r="F18" s="20">
        <f t="array" ref="F18">SUM(IF(A18=KHC,TH))</f>
        <v>0</v>
      </c>
      <c r="G18" s="21">
        <f t="shared" si="1"/>
        <v>0</v>
      </c>
      <c r="H18" s="21">
        <f t="shared" si="2"/>
        <v>0</v>
      </c>
    </row>
    <row r="19" spans="1:9" s="9" customFormat="1">
      <c r="A19" s="27" t="s">
        <v>205</v>
      </c>
      <c r="B19" s="24" t="s">
        <v>153</v>
      </c>
      <c r="C19" s="25">
        <v>0</v>
      </c>
      <c r="D19" s="25">
        <v>0</v>
      </c>
      <c r="E19" s="25">
        <f>E18</f>
        <v>0</v>
      </c>
      <c r="F19" s="25">
        <f>F18</f>
        <v>0</v>
      </c>
      <c r="G19" s="25">
        <f t="shared" si="1"/>
        <v>0</v>
      </c>
      <c r="H19" s="25">
        <f t="shared" si="2"/>
        <v>0</v>
      </c>
    </row>
    <row r="20" spans="1:9" s="9" customFormat="1">
      <c r="A20" s="23" t="s">
        <v>8</v>
      </c>
      <c r="B20" s="24" t="s">
        <v>61</v>
      </c>
      <c r="C20" s="25">
        <v>0</v>
      </c>
      <c r="D20" s="25">
        <v>0</v>
      </c>
      <c r="E20" s="65">
        <f t="array" ref="E20">SUM(IF(A20=KHN,TH))</f>
        <v>0</v>
      </c>
      <c r="F20" s="65">
        <f t="array" ref="F20">SUM(IF(A20=KHC,TH))</f>
        <v>0</v>
      </c>
      <c r="G20" s="25">
        <f t="shared" si="1"/>
        <v>0</v>
      </c>
      <c r="H20" s="25">
        <f t="shared" si="2"/>
        <v>0</v>
      </c>
    </row>
    <row r="21" spans="1:9" s="9" customFormat="1">
      <c r="A21" s="26" t="s">
        <v>62</v>
      </c>
      <c r="B21" s="19" t="s">
        <v>63</v>
      </c>
      <c r="C21" s="20">
        <v>0</v>
      </c>
      <c r="D21" s="20">
        <v>0</v>
      </c>
      <c r="E21" s="20">
        <f t="array" ref="E21">SUM(IF(A21=KHN,TH))</f>
        <v>0</v>
      </c>
      <c r="F21" s="20">
        <f t="array" ref="F21">SUM(IF(A21=KHC,TH))</f>
        <v>0</v>
      </c>
      <c r="G21" s="20">
        <f t="shared" si="1"/>
        <v>0</v>
      </c>
      <c r="H21" s="20">
        <f t="shared" si="2"/>
        <v>0</v>
      </c>
      <c r="I21" s="9">
        <f t="shared" ref="I21:I24" si="3">E21-F21</f>
        <v>0</v>
      </c>
    </row>
    <row r="22" spans="1:9" s="9" customFormat="1">
      <c r="A22" s="29" t="s">
        <v>64</v>
      </c>
      <c r="B22" s="30" t="s">
        <v>65</v>
      </c>
      <c r="C22" s="28">
        <v>0</v>
      </c>
      <c r="D22" s="28">
        <v>0</v>
      </c>
      <c r="E22" s="28">
        <f t="array" ref="E22">SUM(IF(A22=KHN,TH))</f>
        <v>1500000</v>
      </c>
      <c r="F22" s="28">
        <f t="array" ref="F22">SUM(IF(A22=KHC,TH))</f>
        <v>1500000</v>
      </c>
      <c r="G22" s="28">
        <f t="shared" si="1"/>
        <v>0</v>
      </c>
      <c r="H22" s="28">
        <f t="shared" si="2"/>
        <v>0</v>
      </c>
      <c r="I22" s="9">
        <f t="shared" si="3"/>
        <v>0</v>
      </c>
    </row>
    <row r="23" spans="1:9" s="9" customFormat="1">
      <c r="A23" s="26" t="s">
        <v>18</v>
      </c>
      <c r="B23" s="19" t="s">
        <v>66</v>
      </c>
      <c r="C23" s="20">
        <v>0</v>
      </c>
      <c r="D23" s="20">
        <v>0</v>
      </c>
      <c r="E23" s="20">
        <f>E22</f>
        <v>1500000</v>
      </c>
      <c r="F23" s="20">
        <f>F22</f>
        <v>1500000</v>
      </c>
      <c r="G23" s="20">
        <f>G22</f>
        <v>0</v>
      </c>
      <c r="H23" s="20">
        <f>H22</f>
        <v>0</v>
      </c>
      <c r="I23" s="9">
        <f t="shared" si="3"/>
        <v>0</v>
      </c>
    </row>
    <row r="24" spans="1:9" s="9" customFormat="1">
      <c r="A24" s="23" t="s">
        <v>67</v>
      </c>
      <c r="B24" s="24" t="s">
        <v>68</v>
      </c>
      <c r="C24" s="25">
        <v>0</v>
      </c>
      <c r="D24" s="25">
        <v>0</v>
      </c>
      <c r="E24" s="25">
        <f>E21+E23</f>
        <v>1500000</v>
      </c>
      <c r="F24" s="25">
        <f>F21+F23</f>
        <v>1500000</v>
      </c>
      <c r="G24" s="25">
        <f>G21+G23</f>
        <v>0</v>
      </c>
      <c r="H24" s="25">
        <f>H21+H23</f>
        <v>0</v>
      </c>
      <c r="I24" s="9">
        <f t="shared" si="3"/>
        <v>0</v>
      </c>
    </row>
    <row r="25" spans="1:9" s="9" customFormat="1">
      <c r="A25" s="26" t="s">
        <v>17</v>
      </c>
      <c r="B25" s="19" t="s">
        <v>69</v>
      </c>
      <c r="C25" s="20">
        <v>0</v>
      </c>
      <c r="D25" s="20">
        <v>0</v>
      </c>
      <c r="E25" s="20">
        <f t="array" ref="E25">SUM(IF(A25=KHN,TH))</f>
        <v>0</v>
      </c>
      <c r="F25" s="20">
        <f t="array" ref="F25">SUM(IF(A25=KHC,TH))</f>
        <v>0</v>
      </c>
      <c r="G25" s="20">
        <f>MAX(C25+E25-D25-F25,0)</f>
        <v>0</v>
      </c>
      <c r="H25" s="20">
        <f>MAX(D25+F25-E25-C25,0)</f>
        <v>0</v>
      </c>
    </row>
    <row r="26" spans="1:9" s="9" customFormat="1">
      <c r="A26" s="23" t="s">
        <v>70</v>
      </c>
      <c r="B26" s="24" t="s">
        <v>71</v>
      </c>
      <c r="C26" s="25">
        <v>0</v>
      </c>
      <c r="D26" s="25">
        <v>0</v>
      </c>
      <c r="E26" s="25">
        <f>E25</f>
        <v>0</v>
      </c>
      <c r="F26" s="25">
        <f>F25</f>
        <v>0</v>
      </c>
      <c r="G26" s="25">
        <f>G25</f>
        <v>0</v>
      </c>
      <c r="H26" s="25">
        <f>H25</f>
        <v>0</v>
      </c>
    </row>
    <row r="27" spans="1:9" s="9" customFormat="1">
      <c r="A27" s="18" t="s">
        <v>72</v>
      </c>
      <c r="B27" s="19" t="s">
        <v>73</v>
      </c>
      <c r="C27" s="20">
        <v>0</v>
      </c>
      <c r="D27" s="20">
        <v>0</v>
      </c>
      <c r="E27" s="20">
        <f t="array" ref="E27">SUM(IF(A27=KHN,TH))</f>
        <v>0</v>
      </c>
      <c r="F27" s="20">
        <f t="array" ref="F27">SUM(IF(A27=KHC,TH))</f>
        <v>0</v>
      </c>
      <c r="G27" s="21">
        <f>MAX(C27+E27-D27-F27,0)</f>
        <v>0</v>
      </c>
      <c r="H27" s="21">
        <f>MAX(D27+F27-E27-C27,0)</f>
        <v>0</v>
      </c>
    </row>
    <row r="28" spans="1:9" s="9" customFormat="1">
      <c r="A28" s="27" t="s">
        <v>33</v>
      </c>
      <c r="B28" s="24" t="s">
        <v>74</v>
      </c>
      <c r="C28" s="25">
        <v>0</v>
      </c>
      <c r="D28" s="25">
        <v>0</v>
      </c>
      <c r="E28" s="25">
        <f>E27</f>
        <v>0</v>
      </c>
      <c r="F28" s="25">
        <f>F27</f>
        <v>0</v>
      </c>
      <c r="G28" s="25">
        <f>G27</f>
        <v>0</v>
      </c>
      <c r="H28" s="25">
        <f>H27</f>
        <v>0</v>
      </c>
    </row>
    <row r="29" spans="1:9" s="9" customFormat="1">
      <c r="A29" s="26" t="s">
        <v>25</v>
      </c>
      <c r="B29" s="19" t="s">
        <v>75</v>
      </c>
      <c r="C29" s="20">
        <v>0</v>
      </c>
      <c r="D29" s="20">
        <v>4000000000</v>
      </c>
      <c r="E29" s="20">
        <f t="array" ref="E29">SUM(IF(A29=KHN,TH))</f>
        <v>0</v>
      </c>
      <c r="F29" s="20">
        <f t="array" ref="F29">SUM(IF(A29=KHC,TH))</f>
        <v>0</v>
      </c>
      <c r="G29" s="21">
        <f>MAX(C29+E29-D29-F29,0)</f>
        <v>0</v>
      </c>
      <c r="H29" s="21">
        <f>MAX(D29+F29-E29-C29,0)</f>
        <v>4000000000</v>
      </c>
    </row>
    <row r="30" spans="1:9" s="9" customFormat="1">
      <c r="A30" s="23" t="s">
        <v>76</v>
      </c>
      <c r="B30" s="24" t="s">
        <v>77</v>
      </c>
      <c r="C30" s="25">
        <v>0</v>
      </c>
      <c r="D30" s="25">
        <v>4000000000</v>
      </c>
      <c r="E30" s="25">
        <f>E29</f>
        <v>0</v>
      </c>
      <c r="F30" s="25">
        <f>F29</f>
        <v>0</v>
      </c>
      <c r="G30" s="25">
        <f>MAX(C30+E30-D30-F30,0)</f>
        <v>0</v>
      </c>
      <c r="H30" s="25">
        <f>MAX(D30+F30-E30-C30,0)</f>
        <v>4000000000</v>
      </c>
    </row>
    <row r="31" spans="1:9" s="9" customFormat="1">
      <c r="A31" s="18" t="s">
        <v>78</v>
      </c>
      <c r="B31" s="19" t="s">
        <v>79</v>
      </c>
      <c r="C31" s="20">
        <v>0</v>
      </c>
      <c r="D31" s="20">
        <v>0</v>
      </c>
      <c r="E31" s="20">
        <f t="array" ref="E31">SUM(IF(A31=KHN,TH))</f>
        <v>3300000</v>
      </c>
      <c r="F31" s="20">
        <f t="array" ref="F31">SUM(IF(A31=KHC,TH))</f>
        <v>0</v>
      </c>
      <c r="G31" s="21">
        <f>MAX(C31+E31-D31-F31,0)</f>
        <v>3300000</v>
      </c>
      <c r="H31" s="21">
        <f>MAX(D31+F31-E31-C31,0)</f>
        <v>0</v>
      </c>
    </row>
    <row r="32" spans="1:9" s="9" customFormat="1">
      <c r="A32" s="26" t="s">
        <v>80</v>
      </c>
      <c r="B32" s="19" t="s">
        <v>81</v>
      </c>
      <c r="C32" s="20">
        <v>3300000</v>
      </c>
      <c r="D32" s="20">
        <v>0</v>
      </c>
      <c r="E32" s="20">
        <f t="array" ref="E32">SUM(IF(A32=TH!$J$10:$J$99,TH!$I$10:$I$99))</f>
        <v>1910000</v>
      </c>
      <c r="F32" s="20">
        <f t="array" ref="F32">SUM(IF(A32=TH!$K$10:$K$99,TH!$I$10:$I$99))</f>
        <v>3300000</v>
      </c>
      <c r="G32" s="20">
        <f>MAX(C32+E32-D32-F32,0)</f>
        <v>1910000</v>
      </c>
      <c r="H32" s="20">
        <f>MAX(D32+F32-E32-C32,0)</f>
        <v>0</v>
      </c>
    </row>
    <row r="33" spans="1:9" s="9" customFormat="1">
      <c r="A33" s="23" t="s">
        <v>82</v>
      </c>
      <c r="B33" s="24" t="s">
        <v>83</v>
      </c>
      <c r="C33" s="25">
        <v>3300000</v>
      </c>
      <c r="D33" s="25">
        <v>0</v>
      </c>
      <c r="E33" s="25">
        <f>E32+E31</f>
        <v>5210000</v>
      </c>
      <c r="F33" s="25">
        <f>F32+F31</f>
        <v>3300000</v>
      </c>
      <c r="G33" s="25">
        <f>G32+G31</f>
        <v>5210000</v>
      </c>
      <c r="H33" s="25">
        <f>H32+H31</f>
        <v>0</v>
      </c>
    </row>
    <row r="34" spans="1:9" s="9" customFormat="1">
      <c r="A34" s="23" t="s">
        <v>34</v>
      </c>
      <c r="B34" s="24" t="s">
        <v>84</v>
      </c>
      <c r="C34" s="25"/>
      <c r="D34" s="25"/>
      <c r="E34" s="65">
        <f t="array" ref="E34">SUM(IF(A34=KHN,TH))</f>
        <v>0</v>
      </c>
      <c r="F34" s="65">
        <f t="array" ref="F34">SUM(IF(A34=KHC,TH))</f>
        <v>0</v>
      </c>
      <c r="G34" s="25"/>
      <c r="H34" s="25"/>
      <c r="I34" s="9">
        <f t="shared" ref="I34:I40" si="4">E34-F34</f>
        <v>0</v>
      </c>
    </row>
    <row r="35" spans="1:9" s="9" customFormat="1" ht="12.75" customHeight="1">
      <c r="A35" s="23" t="s">
        <v>85</v>
      </c>
      <c r="B35" s="24" t="s">
        <v>86</v>
      </c>
      <c r="C35" s="25"/>
      <c r="D35" s="25"/>
      <c r="E35" s="65">
        <f t="array" ref="E35">SUM(IF(A35=KHN,TH))</f>
        <v>0</v>
      </c>
      <c r="F35" s="65">
        <f t="array" ref="F35">SUM(IF(A35=KHC,TH))</f>
        <v>0</v>
      </c>
      <c r="G35" s="25"/>
      <c r="H35" s="25"/>
      <c r="I35" s="9">
        <f t="shared" si="4"/>
        <v>0</v>
      </c>
    </row>
    <row r="36" spans="1:9" s="9" customFormat="1" ht="12.75" customHeight="1">
      <c r="A36" s="23" t="s">
        <v>87</v>
      </c>
      <c r="B36" s="24" t="s">
        <v>88</v>
      </c>
      <c r="C36" s="25"/>
      <c r="D36" s="25"/>
      <c r="E36" s="65">
        <f t="array" ref="E36">SUM(IF(A36=KHN,TH))</f>
        <v>1910000</v>
      </c>
      <c r="F36" s="65">
        <f t="array" ref="F36">SUM(IF(A36=KHC,TH))</f>
        <v>1910000</v>
      </c>
      <c r="G36" s="25"/>
      <c r="H36" s="25"/>
      <c r="I36" s="9">
        <f t="shared" si="4"/>
        <v>0</v>
      </c>
    </row>
    <row r="37" spans="1:9" s="9" customFormat="1" ht="12.75" customHeight="1">
      <c r="A37" s="27" t="s">
        <v>89</v>
      </c>
      <c r="B37" s="24" t="s">
        <v>90</v>
      </c>
      <c r="C37" s="25"/>
      <c r="D37" s="25"/>
      <c r="E37" s="65">
        <f t="array" ref="E37">SUM(IF(A37=KHN,TH))</f>
        <v>0</v>
      </c>
      <c r="F37" s="65">
        <f t="array" ref="F37">SUM(IF(A37=KHC,TH))</f>
        <v>0</v>
      </c>
      <c r="G37" s="25"/>
      <c r="H37" s="25"/>
      <c r="I37" s="9">
        <f t="shared" si="4"/>
        <v>0</v>
      </c>
    </row>
    <row r="38" spans="1:9" s="9" customFormat="1" ht="12.75" customHeight="1">
      <c r="A38" s="23" t="s">
        <v>91</v>
      </c>
      <c r="B38" s="24" t="s">
        <v>92</v>
      </c>
      <c r="C38" s="25"/>
      <c r="D38" s="25"/>
      <c r="E38" s="65">
        <f t="array" ref="E38">SUM(IF(A38=KHN,TH))</f>
        <v>0</v>
      </c>
      <c r="F38" s="65">
        <f t="array" ref="F38">SUM(IF(A38=KHC,TH))</f>
        <v>0</v>
      </c>
      <c r="G38" s="25"/>
      <c r="H38" s="25"/>
      <c r="I38" s="9">
        <f t="shared" si="4"/>
        <v>0</v>
      </c>
    </row>
    <row r="39" spans="1:9" s="9" customFormat="1" ht="12.75" customHeight="1">
      <c r="A39" s="27" t="s">
        <v>93</v>
      </c>
      <c r="B39" s="24" t="s">
        <v>94</v>
      </c>
      <c r="C39" s="25"/>
      <c r="D39" s="25"/>
      <c r="E39" s="65">
        <f t="array" ref="E39">SUM(IF(A39=KHN,TH))</f>
        <v>0</v>
      </c>
      <c r="F39" s="65">
        <f t="array" ref="F39">SUM(IF(A39=KHC,TH))</f>
        <v>0</v>
      </c>
      <c r="G39" s="25"/>
      <c r="H39" s="25"/>
      <c r="I39" s="9">
        <f t="shared" si="4"/>
        <v>0</v>
      </c>
    </row>
    <row r="40" spans="1:9" s="9" customFormat="1">
      <c r="A40" s="23" t="s">
        <v>95</v>
      </c>
      <c r="B40" s="24" t="s">
        <v>96</v>
      </c>
      <c r="C40" s="25"/>
      <c r="D40" s="25"/>
      <c r="E40" s="66">
        <f t="array" ref="E40">SUM(IF(A40=KHN,TH))</f>
        <v>1910000</v>
      </c>
      <c r="F40" s="66">
        <f t="array" ref="F40">SUM(IF(A40=TH!$K$10:$K$99,TH!$I$10:$I$99))</f>
        <v>1910000</v>
      </c>
      <c r="G40" s="25"/>
      <c r="H40" s="25"/>
      <c r="I40" s="9">
        <f t="shared" si="4"/>
        <v>0</v>
      </c>
    </row>
    <row r="41" spans="1:9" s="9" customFormat="1">
      <c r="A41" s="31" t="s">
        <v>97</v>
      </c>
      <c r="B41" s="31"/>
      <c r="C41" s="31">
        <f>C11+C13+C15+C17+C20+C24+C26+C28+C30+C33+C34+C35+C36+C37+C38+C39+C40+C19</f>
        <v>4000000000</v>
      </c>
      <c r="D41" s="31">
        <f t="shared" ref="D41:H41" si="5">D11+D13+D15+D17+D20+D24+D26+D28+D30+D33+D34+D35+D36+D37+D38+D39+D40+D19</f>
        <v>4000000000</v>
      </c>
      <c r="E41" s="31">
        <f t="shared" si="5"/>
        <v>10530000</v>
      </c>
      <c r="F41" s="31">
        <f t="shared" si="5"/>
        <v>10530000</v>
      </c>
      <c r="G41" s="31">
        <f t="shared" si="5"/>
        <v>4000000000</v>
      </c>
      <c r="H41" s="31">
        <f t="shared" si="5"/>
        <v>4000000000</v>
      </c>
    </row>
    <row r="42" spans="1:9">
      <c r="E42" s="32"/>
      <c r="F42" s="33"/>
    </row>
    <row r="43" spans="1:9">
      <c r="E43" s="33">
        <f>E41-F41</f>
        <v>0</v>
      </c>
      <c r="H43" s="33">
        <f>G41-H41</f>
        <v>0</v>
      </c>
    </row>
    <row r="44" spans="1:9">
      <c r="E44" s="34"/>
      <c r="F44" s="34"/>
    </row>
    <row r="45" spans="1:9">
      <c r="E45" s="34"/>
      <c r="F45" s="34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99"/>
  <sheetViews>
    <sheetView topLeftCell="A7" workbookViewId="0">
      <pane ySplit="3" topLeftCell="A10" activePane="bottomLeft" state="frozen"/>
      <selection activeCell="A7" sqref="A7"/>
      <selection pane="bottomLeft" activeCell="F28" sqref="F28"/>
    </sheetView>
  </sheetViews>
  <sheetFormatPr defaultRowHeight="12.75"/>
  <cols>
    <col min="1" max="1" width="4.5703125" style="124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277" customWidth="1"/>
    <col min="8" max="8" width="41.42578125" style="71" customWidth="1"/>
    <col min="9" max="9" width="13.140625" customWidth="1"/>
    <col min="10" max="11" width="7" customWidth="1"/>
    <col min="12" max="14" width="2.7109375" hidden="1" customWidth="1"/>
    <col min="15" max="15" width="4.42578125" hidden="1" customWidth="1"/>
    <col min="16" max="16" width="4.140625" hidden="1" customWidth="1"/>
  </cols>
  <sheetData>
    <row r="1" spans="1:16">
      <c r="B1" s="35"/>
      <c r="C1" s="35" t="s">
        <v>108</v>
      </c>
      <c r="D1" s="36"/>
      <c r="E1" s="36"/>
      <c r="F1" s="37"/>
      <c r="G1" s="36"/>
      <c r="H1" s="69"/>
      <c r="I1" s="52"/>
      <c r="J1" s="38"/>
      <c r="K1" s="38"/>
      <c r="L1" s="38"/>
      <c r="M1" s="38"/>
      <c r="N1" s="38"/>
      <c r="O1" s="38"/>
    </row>
    <row r="2" spans="1:16">
      <c r="B2" s="35"/>
      <c r="C2" s="35" t="s">
        <v>109</v>
      </c>
      <c r="D2" s="36"/>
      <c r="E2" s="36"/>
      <c r="F2" s="36"/>
      <c r="G2" s="36"/>
      <c r="H2" s="70"/>
      <c r="I2" s="52"/>
      <c r="J2" s="38"/>
      <c r="K2" s="38"/>
      <c r="L2" s="38"/>
      <c r="M2" s="38"/>
      <c r="N2" s="38"/>
      <c r="O2" s="38"/>
    </row>
    <row r="3" spans="1:16">
      <c r="B3" s="36"/>
      <c r="C3" s="36"/>
      <c r="D3" s="36"/>
      <c r="E3" s="36"/>
      <c r="F3" s="36"/>
      <c r="G3" s="36"/>
      <c r="H3" s="70"/>
      <c r="I3" s="49"/>
      <c r="J3" s="39"/>
      <c r="K3" s="39"/>
      <c r="L3" s="39"/>
      <c r="M3" s="39"/>
      <c r="N3" s="39"/>
      <c r="O3" s="39"/>
    </row>
    <row r="4" spans="1:16" ht="22.5">
      <c r="B4" s="52"/>
      <c r="C4" s="280" t="s">
        <v>98</v>
      </c>
      <c r="D4" s="280"/>
      <c r="E4" s="280"/>
      <c r="F4" s="280"/>
      <c r="G4" s="280"/>
      <c r="H4" s="280"/>
      <c r="I4" s="280"/>
      <c r="J4" s="280"/>
      <c r="K4" s="280"/>
    </row>
    <row r="5" spans="1:16" ht="14.25">
      <c r="B5" s="52"/>
      <c r="C5" s="281"/>
      <c r="D5" s="281"/>
      <c r="E5" s="281"/>
      <c r="F5" s="281"/>
      <c r="G5" s="281"/>
      <c r="H5" s="281"/>
      <c r="I5" s="281"/>
      <c r="J5" s="281"/>
      <c r="K5" s="281"/>
    </row>
    <row r="6" spans="1:16">
      <c r="B6" s="52"/>
      <c r="C6" s="52"/>
      <c r="D6" s="52"/>
      <c r="E6" s="52"/>
      <c r="F6" s="52"/>
      <c r="G6" s="49"/>
      <c r="H6" s="55"/>
      <c r="I6" s="52"/>
      <c r="J6" s="38"/>
      <c r="K6" s="38"/>
      <c r="L6" s="38"/>
      <c r="M6" s="38"/>
      <c r="N6" s="38"/>
      <c r="O6" s="38"/>
    </row>
    <row r="7" spans="1:16" ht="12.75" customHeight="1">
      <c r="A7" s="287" t="s">
        <v>129</v>
      </c>
      <c r="B7" s="289" t="s">
        <v>110</v>
      </c>
      <c r="C7" s="282" t="s">
        <v>20</v>
      </c>
      <c r="D7" s="283" t="s">
        <v>1</v>
      </c>
      <c r="E7" s="284"/>
      <c r="F7" s="282" t="s">
        <v>0</v>
      </c>
      <c r="G7" s="285" t="s">
        <v>127</v>
      </c>
      <c r="H7" s="291" t="s">
        <v>35</v>
      </c>
      <c r="I7" s="282" t="s">
        <v>99</v>
      </c>
      <c r="J7" s="279" t="s">
        <v>100</v>
      </c>
      <c r="K7" s="279"/>
      <c r="L7" s="293" t="s">
        <v>48</v>
      </c>
      <c r="M7" s="294"/>
      <c r="N7" s="295"/>
      <c r="O7" s="292" t="str">
        <f>CTTK!$E$7</f>
        <v>911</v>
      </c>
      <c r="P7" s="278" t="s">
        <v>204</v>
      </c>
    </row>
    <row r="8" spans="1:16" ht="25.5">
      <c r="A8" s="288"/>
      <c r="B8" s="290"/>
      <c r="C8" s="282"/>
      <c r="D8" s="50" t="s">
        <v>15</v>
      </c>
      <c r="E8" s="48" t="s">
        <v>28</v>
      </c>
      <c r="F8" s="282"/>
      <c r="G8" s="286"/>
      <c r="H8" s="291"/>
      <c r="I8" s="282"/>
      <c r="J8" s="51" t="s">
        <v>22</v>
      </c>
      <c r="K8" s="51" t="s">
        <v>23</v>
      </c>
      <c r="L8" s="296"/>
      <c r="M8" s="297"/>
      <c r="N8" s="298"/>
      <c r="O8" s="279"/>
      <c r="P8" s="279"/>
    </row>
    <row r="9" spans="1:16">
      <c r="A9" s="272">
        <v>1</v>
      </c>
      <c r="B9" s="125">
        <v>2</v>
      </c>
      <c r="C9" s="125">
        <v>3</v>
      </c>
      <c r="D9" s="125">
        <v>4</v>
      </c>
      <c r="E9" s="125">
        <v>5</v>
      </c>
      <c r="F9" s="125">
        <v>6</v>
      </c>
      <c r="G9" s="274">
        <v>7</v>
      </c>
      <c r="H9" s="125">
        <v>8</v>
      </c>
      <c r="I9" s="125">
        <v>9</v>
      </c>
      <c r="J9" s="125">
        <v>10</v>
      </c>
      <c r="K9" s="125">
        <v>11</v>
      </c>
      <c r="L9" s="125">
        <v>13</v>
      </c>
      <c r="M9" s="125">
        <v>14</v>
      </c>
      <c r="N9" s="125">
        <v>15</v>
      </c>
      <c r="O9" s="125">
        <v>23</v>
      </c>
      <c r="P9" s="125">
        <v>24</v>
      </c>
    </row>
    <row r="10" spans="1:16" s="54" customFormat="1" ht="15.75" customHeight="1">
      <c r="A10" s="126" t="str">
        <f>IF(B10&lt;&gt;"",IF(AND(B10&gt;=_TM1,B10&lt;=_TM2,OR(TH!J10="1111",TH!K10="1111")),TH!D10,""),"")</f>
        <v/>
      </c>
      <c r="B10" s="40">
        <f>IF(C10&lt;&gt;"",MONTH(C10),"")</f>
        <v>12</v>
      </c>
      <c r="C10" s="59">
        <v>40543</v>
      </c>
      <c r="D10" s="59" t="s">
        <v>101</v>
      </c>
      <c r="E10" s="59">
        <f>C10</f>
        <v>40543</v>
      </c>
      <c r="F10" s="60" t="s">
        <v>104</v>
      </c>
      <c r="G10" s="275"/>
      <c r="H10" s="61"/>
      <c r="I10" s="62">
        <f>MAX(SUMIF(KHN,"911",TH)-SUMIF(KHC,"911",TH),SUMIF(KHC,"911",TH)-SUMIF(KHN,"911",TH))</f>
        <v>1910000</v>
      </c>
      <c r="J10" s="63" t="s">
        <v>80</v>
      </c>
      <c r="K10" s="63" t="s">
        <v>95</v>
      </c>
      <c r="L10" s="63" t="str">
        <f>IF(AND($B10&gt;='1111'!$N$10,$B10&lt;='1111'!$O$10,OR($J10=$L$7,$K10=$L$7)),"x","")</f>
        <v/>
      </c>
      <c r="M10" s="63" t="str">
        <f>IF(AND($J10=$L$7,$B10&lt;'1111'!$N$10),"x","")</f>
        <v/>
      </c>
      <c r="N10" s="63" t="str">
        <f>IF(AND($K10=$L$7,$B10&lt;'1111'!$N$10),"x","")</f>
        <v/>
      </c>
      <c r="O10" s="63" t="str">
        <f>IF(OR(TH!J10=TH!$O$7,K10=TH!$O$7),"x","")</f>
        <v>x</v>
      </c>
      <c r="P10" s="63"/>
    </row>
    <row r="11" spans="1:16" s="54" customFormat="1" ht="15.75" customHeight="1">
      <c r="A11" s="126" t="str">
        <f>IF(B11&lt;&gt;"",IF(AND(B11&gt;=_TM1,B11&lt;=_TM2,OR(TH!J11="1111",TH!K11="1111")),TH!D11,""),"")</f>
        <v/>
      </c>
      <c r="B11" s="40">
        <f>IF(C11&lt;&gt;"",MONTH(C11),"")</f>
        <v>12</v>
      </c>
      <c r="C11" s="59">
        <v>40543</v>
      </c>
      <c r="D11" s="59" t="s">
        <v>101</v>
      </c>
      <c r="E11" s="59">
        <f t="shared" ref="E11:E16" si="0">C11</f>
        <v>40543</v>
      </c>
      <c r="F11" s="60" t="s">
        <v>102</v>
      </c>
      <c r="G11" s="275"/>
      <c r="H11" s="61"/>
      <c r="I11" s="62">
        <f>SUMIF(KHN,"635",TH)</f>
        <v>0</v>
      </c>
      <c r="J11" s="67" t="s">
        <v>151</v>
      </c>
      <c r="K11" s="63" t="s">
        <v>85</v>
      </c>
      <c r="L11" s="63" t="str">
        <f>IF(AND($B11&gt;='1111'!$N$10,$B11&lt;='1111'!$O$10,OR($J11=$L$7,$K11=$L$7)),"x","")</f>
        <v/>
      </c>
      <c r="M11" s="63" t="str">
        <f>IF(AND($J11=$L$7,$B11&lt;'1111'!$N$10),"x","")</f>
        <v/>
      </c>
      <c r="N11" s="63" t="str">
        <f>IF(AND($K11=$L$7,$B11&lt;'1111'!$N$10),"x","")</f>
        <v/>
      </c>
      <c r="O11" s="63" t="str">
        <f>IF(OR(TH!J11=TH!$O$7,K11=TH!$O$7),"x","")</f>
        <v/>
      </c>
      <c r="P11" s="63"/>
    </row>
    <row r="12" spans="1:16" s="54" customFormat="1" ht="15.75" customHeight="1">
      <c r="A12" s="126" t="str">
        <f>IF(B12&lt;&gt;"",IF(AND(B12&gt;=_TM1,B12&lt;=_TM2,OR(TH!J12="1111",TH!K12="1111")),TH!D12,""),"")</f>
        <v/>
      </c>
      <c r="B12" s="40">
        <f>IF(C12&lt;&gt;"",MONTH(C12),"")</f>
        <v>12</v>
      </c>
      <c r="C12" s="59">
        <v>40543</v>
      </c>
      <c r="D12" s="59" t="s">
        <v>101</v>
      </c>
      <c r="E12" s="59">
        <f t="shared" si="0"/>
        <v>40543</v>
      </c>
      <c r="F12" s="60" t="s">
        <v>103</v>
      </c>
      <c r="G12" s="275"/>
      <c r="H12" s="61"/>
      <c r="I12" s="62">
        <f>SUMIF(KHN,"642",TH)</f>
        <v>1910000</v>
      </c>
      <c r="J12" s="67" t="s">
        <v>95</v>
      </c>
      <c r="K12" s="63" t="s">
        <v>87</v>
      </c>
      <c r="L12" s="63" t="str">
        <f>IF(AND($B12&gt;='1111'!$N$10,$B12&lt;='1111'!$O$10,OR($J12=$L$7,$K12=$L$7)),"x","")</f>
        <v/>
      </c>
      <c r="M12" s="63" t="str">
        <f>IF(AND($J12=$L$7,$B12&lt;'1111'!$N$10),"x","")</f>
        <v/>
      </c>
      <c r="N12" s="63" t="str">
        <f>IF(AND($K12=$L$7,$B12&lt;'1111'!$N$10),"x","")</f>
        <v/>
      </c>
      <c r="O12" s="63" t="str">
        <f>IF(OR(TH!J12=TH!$O$7,K12=TH!$O$7),"x","")</f>
        <v>x</v>
      </c>
      <c r="P12" s="63"/>
    </row>
    <row r="13" spans="1:16" s="54" customFormat="1" ht="15.75" customHeight="1">
      <c r="A13" s="126" t="str">
        <f>IF(B13&lt;&gt;"",IF(AND(B13&gt;=_TM1,B13&lt;=_TM2,OR(TH!J13="1111",TH!K13="1111")),TH!D13,""),"")</f>
        <v/>
      </c>
      <c r="B13" s="40">
        <f t="shared" ref="B13:B14" si="1">IF(C13&lt;&gt;"",MONTH(C13),"")</f>
        <v>12</v>
      </c>
      <c r="C13" s="59">
        <v>40543</v>
      </c>
      <c r="D13" s="59" t="s">
        <v>101</v>
      </c>
      <c r="E13" s="59">
        <f t="shared" si="0"/>
        <v>40543</v>
      </c>
      <c r="F13" s="60" t="s">
        <v>105</v>
      </c>
      <c r="G13" s="275"/>
      <c r="H13" s="68"/>
      <c r="I13" s="62">
        <f>SUMIF(KHC,"515",TH)</f>
        <v>0</v>
      </c>
      <c r="J13" s="63" t="s">
        <v>34</v>
      </c>
      <c r="K13" s="63" t="s">
        <v>95</v>
      </c>
      <c r="L13" s="63" t="str">
        <f>IF(AND($B13&gt;='1111'!$N$10,$B13&lt;='1111'!$O$10,OR($J13=$L$7,$K13=$L$7)),"x","")</f>
        <v/>
      </c>
      <c r="M13" s="63" t="str">
        <f>IF(AND($J13=$L$7,$B13&lt;'1111'!$N$10),"x","")</f>
        <v/>
      </c>
      <c r="N13" s="63" t="str">
        <f>IF(AND($K13=$L$7,$B13&lt;'1111'!$N$10),"x","")</f>
        <v/>
      </c>
      <c r="O13" s="63" t="str">
        <f>IF(OR(TH!J13=TH!$O$7,K13=TH!$O$7),"x","")</f>
        <v>x</v>
      </c>
      <c r="P13" s="63"/>
    </row>
    <row r="14" spans="1:16" s="54" customFormat="1" ht="15.75" customHeight="1">
      <c r="A14" s="126" t="str">
        <f>IF(B14&lt;&gt;"",IF(AND(B14&gt;=_TM1,B14&lt;=_TM2,OR(TH!J14="1111",TH!K14="1111")),TH!D14,""),"")</f>
        <v/>
      </c>
      <c r="B14" s="40">
        <f t="shared" si="1"/>
        <v>12</v>
      </c>
      <c r="C14" s="59">
        <v>40543</v>
      </c>
      <c r="D14" s="59" t="s">
        <v>101</v>
      </c>
      <c r="E14" s="59">
        <f t="shared" si="0"/>
        <v>40543</v>
      </c>
      <c r="F14" s="60" t="s">
        <v>106</v>
      </c>
      <c r="G14" s="275"/>
      <c r="H14" s="61"/>
      <c r="I14" s="62">
        <f>SUMIF(KHC,"711",TH)</f>
        <v>0</v>
      </c>
      <c r="J14" s="63" t="s">
        <v>89</v>
      </c>
      <c r="K14" s="63" t="s">
        <v>95</v>
      </c>
      <c r="L14" s="63" t="str">
        <f>IF(AND($B14&gt;='1111'!$N$10,$B14&lt;='1111'!$O$10,OR($J14=$L$7,$K14=$L$7)),"x","")</f>
        <v/>
      </c>
      <c r="M14" s="63" t="str">
        <f>IF(AND($J14=$L$7,$B14&lt;'1111'!$N$10),"x","")</f>
        <v/>
      </c>
      <c r="N14" s="63" t="str">
        <f>IF(AND($K14=$L$7,$B14&lt;'1111'!$N$10),"x","")</f>
        <v/>
      </c>
      <c r="O14" s="63" t="str">
        <f>IF(OR(TH!J14=TH!$O$7,K14=TH!$O$7),"x","")</f>
        <v>x</v>
      </c>
      <c r="P14" s="63"/>
    </row>
    <row r="15" spans="1:16" s="54" customFormat="1" ht="15.75" customHeight="1">
      <c r="A15" s="126" t="str">
        <f>IF(B15&lt;&gt;"",IF(AND(B15&gt;=_TM1,B15&lt;=_TM2,OR(TH!J15="1111",TH!K15="1111")),TH!D15,""),"")</f>
        <v/>
      </c>
      <c r="B15" s="40">
        <f t="shared" ref="B15" si="2">IF(C15&lt;&gt;"",MONTH(C15),"")</f>
        <v>12</v>
      </c>
      <c r="C15" s="59">
        <v>40543</v>
      </c>
      <c r="D15" s="59" t="s">
        <v>101</v>
      </c>
      <c r="E15" s="59">
        <f t="shared" si="0"/>
        <v>40543</v>
      </c>
      <c r="F15" s="60" t="s">
        <v>107</v>
      </c>
      <c r="G15" s="275"/>
      <c r="H15" s="61"/>
      <c r="I15" s="62">
        <f>SUMIF(KHN,"811",TH)</f>
        <v>0</v>
      </c>
      <c r="J15" s="63" t="s">
        <v>95</v>
      </c>
      <c r="K15" s="63" t="s">
        <v>91</v>
      </c>
      <c r="L15" s="63" t="str">
        <f>IF(AND($B15&gt;='1111'!$N$10,$B15&lt;='1111'!$O$10,OR($J15=$L$7,$K15=$L$7)),"x","")</f>
        <v/>
      </c>
      <c r="M15" s="63" t="str">
        <f>IF(AND($J15=$L$7,$B15&lt;'1111'!$N$10),"x","")</f>
        <v/>
      </c>
      <c r="N15" s="63" t="str">
        <f>IF(AND($K15=$L$7,$B15&lt;'1111'!$N$10),"x","")</f>
        <v/>
      </c>
      <c r="O15" s="63" t="str">
        <f>IF(OR(TH!J15=TH!$O$7,K15=TH!$O$7),"x","")</f>
        <v>x</v>
      </c>
      <c r="P15" s="63"/>
    </row>
    <row r="16" spans="1:16" s="54" customFormat="1" ht="15.75" customHeight="1">
      <c r="A16" s="126" t="str">
        <f>IF(B16&lt;&gt;"",IF(AND(B16&gt;=_TM1,B16&lt;=_TM2,OR(TH!J16="1111",TH!K16="1111")),TH!D16,""),"")</f>
        <v/>
      </c>
      <c r="B16" s="40">
        <f t="shared" ref="B16:B78" si="3">IF(C16&lt;&gt;"",MONTH(C16),"")</f>
        <v>12</v>
      </c>
      <c r="C16" s="59">
        <v>40543</v>
      </c>
      <c r="D16" s="59" t="s">
        <v>101</v>
      </c>
      <c r="E16" s="59">
        <f t="shared" si="0"/>
        <v>40543</v>
      </c>
      <c r="F16" s="60" t="s">
        <v>191</v>
      </c>
      <c r="G16" s="275"/>
      <c r="H16" s="61"/>
      <c r="I16" s="62">
        <f>CDPS!$C$32</f>
        <v>3300000</v>
      </c>
      <c r="J16" s="67" t="s">
        <v>78</v>
      </c>
      <c r="K16" s="63" t="s">
        <v>80</v>
      </c>
      <c r="L16" s="63" t="str">
        <f>IF(AND($B16&gt;='1111'!$N$10,$B16&lt;='1111'!$O$10,OR($J16=$L$7,$K16=$L$7)),"x","")</f>
        <v/>
      </c>
      <c r="M16" s="63" t="str">
        <f>IF(AND($J16=$L$7,$B16&lt;'1111'!$N$10),"x","")</f>
        <v/>
      </c>
      <c r="N16" s="63" t="str">
        <f>IF(AND($K16=$L$7,$B16&lt;'1111'!$N$10),"x","")</f>
        <v/>
      </c>
      <c r="O16" s="63" t="str">
        <f>IF(OR(TH!J16=TH!$O$7,K16=TH!$O$7),"x","")</f>
        <v/>
      </c>
      <c r="P16" s="63"/>
    </row>
    <row r="17" spans="1:16" s="54" customFormat="1" ht="15.75" customHeight="1">
      <c r="A17" s="126" t="str">
        <f>IF(B17&lt;&gt;"",IF(AND(B17&gt;=_TM1,B17&lt;=_TM2,OR(TH!J17="1111",TH!K17="1111")),TH!D17,""),"")</f>
        <v>C01</v>
      </c>
      <c r="B17" s="40">
        <f t="shared" si="3"/>
        <v>5</v>
      </c>
      <c r="C17" s="53">
        <v>40317</v>
      </c>
      <c r="D17" s="41" t="s">
        <v>29</v>
      </c>
      <c r="E17" s="41">
        <v>40317</v>
      </c>
      <c r="F17" s="44" t="s">
        <v>207</v>
      </c>
      <c r="G17" s="264"/>
      <c r="H17" s="57" t="s">
        <v>111</v>
      </c>
      <c r="I17" s="42">
        <v>1500000</v>
      </c>
      <c r="J17" s="46" t="s">
        <v>64</v>
      </c>
      <c r="K17" s="43" t="s">
        <v>48</v>
      </c>
      <c r="L17" s="63" t="str">
        <f>IF(AND($B17&gt;='1111'!$N$10,$B17&lt;='1111'!$O$10,OR($J17=$L$7,$K17=$L$7)),"x","")</f>
        <v/>
      </c>
      <c r="M17" s="63" t="str">
        <f>IF(AND($J17=$L$7,$B17&lt;'1111'!$N$10),"x","")</f>
        <v/>
      </c>
      <c r="N17" s="63" t="str">
        <f>IF(AND($K17=$L$7,$B17&lt;'1111'!$N$10),"x","")</f>
        <v>x</v>
      </c>
      <c r="O17" s="63" t="str">
        <f>IF(OR(TH!J17=TH!$O$7,K17=TH!$O$7),"x","")</f>
        <v/>
      </c>
      <c r="P17" s="63" t="str">
        <f>IF(AND(1&lt;=$B17,$B17&lt;=3),"1",IF(AND(4&lt;=$B17,$B17&lt;=6),"2",IF(AND(7&lt;=$B17,$B17&lt;=9),"3",IF(AND(10&lt;=$B17,$B17&lt;=12),"4",""))))</f>
        <v>2</v>
      </c>
    </row>
    <row r="18" spans="1:16" s="54" customFormat="1" ht="15.75" customHeight="1">
      <c r="A18" s="126" t="str">
        <f>IF(B18&lt;&gt;"",IF(AND(B18&gt;=_TM1,B18&lt;=_TM2,OR(TH!J18="1111",TH!K18="1111")),TH!D18,""),"")</f>
        <v/>
      </c>
      <c r="B18" s="40">
        <f t="shared" si="3"/>
        <v>9</v>
      </c>
      <c r="C18" s="41">
        <v>40437</v>
      </c>
      <c r="D18" s="41" t="s">
        <v>29</v>
      </c>
      <c r="E18" s="41">
        <v>40437</v>
      </c>
      <c r="F18" s="44" t="s">
        <v>210</v>
      </c>
      <c r="G18" s="273" t="s">
        <v>209</v>
      </c>
      <c r="H18" s="57" t="s">
        <v>111</v>
      </c>
      <c r="I18" s="42">
        <v>390000</v>
      </c>
      <c r="J18" s="43" t="s">
        <v>87</v>
      </c>
      <c r="K18" s="43" t="s">
        <v>48</v>
      </c>
      <c r="L18" s="63" t="str">
        <f>IF(AND($B18&gt;='1111'!$N$10,$B18&lt;='1111'!$O$10,OR($J18=$L$7,$K18=$L$7)),"x","")</f>
        <v>x</v>
      </c>
      <c r="M18" s="63" t="str">
        <f>IF(AND($J18=$L$7,$B18&lt;'1111'!$N$10),"x","")</f>
        <v/>
      </c>
      <c r="N18" s="63" t="str">
        <f>IF(AND($K18=$L$7,$B18&lt;'1111'!$N$10),"x","")</f>
        <v/>
      </c>
      <c r="O18" s="63" t="str">
        <f>IF(OR(TH!J18=TH!$O$7,K18=TH!$O$7),"x","")</f>
        <v/>
      </c>
      <c r="P18" s="63" t="str">
        <f t="shared" ref="P18:P81" si="4">IF(AND(1&lt;=$B18,$B18&lt;=3),"1",IF(AND(4&lt;=$B18,$B18&lt;=6),"2",IF(AND(7&lt;=$B18,$B18&lt;=9),"3",IF(AND(10&lt;=$B18,$B18&lt;=12),"4",""))))</f>
        <v>3</v>
      </c>
    </row>
    <row r="19" spans="1:16" s="54" customFormat="1" ht="15.75" customHeight="1">
      <c r="A19" s="126" t="str">
        <f>IF(B19&lt;&gt;"",IF(AND(B19&gt;=_TM1,B19&lt;=_TM2,OR(TH!J19="1111",TH!K19="1111")),TH!D19,""),"")</f>
        <v/>
      </c>
      <c r="B19" s="40">
        <f t="shared" si="3"/>
        <v>9</v>
      </c>
      <c r="C19" s="41">
        <v>40451</v>
      </c>
      <c r="D19" s="41" t="s">
        <v>32</v>
      </c>
      <c r="E19" s="41">
        <v>40451</v>
      </c>
      <c r="F19" s="44" t="s">
        <v>208</v>
      </c>
      <c r="G19" s="264"/>
      <c r="H19" s="57" t="s">
        <v>111</v>
      </c>
      <c r="I19" s="42">
        <v>20000</v>
      </c>
      <c r="J19" s="43" t="s">
        <v>87</v>
      </c>
      <c r="K19" s="43" t="s">
        <v>48</v>
      </c>
      <c r="L19" s="63" t="str">
        <f>IF(AND($B19&gt;='1111'!$N$10,$B19&lt;='1111'!$O$10,OR($J19=$L$7,$K19=$L$7)),"x","")</f>
        <v>x</v>
      </c>
      <c r="M19" s="63" t="str">
        <f>IF(AND($J19=$L$7,$B19&lt;'1111'!$N$10),"x","")</f>
        <v/>
      </c>
      <c r="N19" s="63" t="str">
        <f>IF(AND($K19=$L$7,$B19&lt;'1111'!$N$10),"x","")</f>
        <v/>
      </c>
      <c r="O19" s="63" t="str">
        <f>IF(OR(TH!J19=TH!$O$7,K19=TH!$O$7),"x","")</f>
        <v/>
      </c>
      <c r="P19" s="63" t="str">
        <f t="shared" si="4"/>
        <v>3</v>
      </c>
    </row>
    <row r="20" spans="1:16" s="54" customFormat="1" ht="15.75" customHeight="1">
      <c r="A20" s="126" t="str">
        <f>IF(B20&lt;&gt;"",IF(AND(B20&gt;=_TM1,B20&lt;=_TM2,OR(TH!J20="1111",TH!K20="1111")),TH!D20,""),"")</f>
        <v/>
      </c>
      <c r="B20" s="40">
        <f t="shared" si="3"/>
        <v>5</v>
      </c>
      <c r="C20" s="53">
        <v>40317</v>
      </c>
      <c r="D20" s="41" t="s">
        <v>30</v>
      </c>
      <c r="E20" s="41">
        <v>40317</v>
      </c>
      <c r="F20" s="44" t="s">
        <v>207</v>
      </c>
      <c r="G20" s="264"/>
      <c r="H20" s="57"/>
      <c r="I20" s="42">
        <v>1500000</v>
      </c>
      <c r="J20" s="43" t="s">
        <v>87</v>
      </c>
      <c r="K20" s="46" t="s">
        <v>64</v>
      </c>
      <c r="L20" s="63" t="str">
        <f>IF(AND($B20&gt;='1111'!$N$10,$B20&lt;='1111'!$O$10,OR($J20=$L$7,$K20=$L$7)),"x","")</f>
        <v/>
      </c>
      <c r="M20" s="63" t="str">
        <f>IF(AND($J20=$L$7,$B20&lt;'1111'!$N$10),"x","")</f>
        <v/>
      </c>
      <c r="N20" s="63" t="str">
        <f>IF(AND($K20=$L$7,$B20&lt;'1111'!$N$10),"x","")</f>
        <v/>
      </c>
      <c r="O20" s="63" t="str">
        <f>IF(OR(TH!J20=TH!$O$7,K20=TH!$O$7),"x","")</f>
        <v/>
      </c>
      <c r="P20" s="63" t="str">
        <f t="shared" si="4"/>
        <v>2</v>
      </c>
    </row>
    <row r="21" spans="1:16" s="54" customFormat="1" ht="15.75" customHeight="1">
      <c r="A21" s="126" t="str">
        <f>IF(B21&lt;&gt;"",IF(AND(B21&gt;=_TM1,B21&lt;=_TM2,OR(TH!J21="1111",TH!K21="1111")),TH!D21,""),"")</f>
        <v/>
      </c>
      <c r="B21" s="40" t="str">
        <f t="shared" si="3"/>
        <v/>
      </c>
      <c r="C21" s="53"/>
      <c r="D21" s="41"/>
      <c r="E21" s="41"/>
      <c r="F21" s="44"/>
      <c r="G21" s="264"/>
      <c r="H21" s="56"/>
      <c r="I21" s="42"/>
      <c r="J21" s="43"/>
      <c r="K21" s="43"/>
      <c r="L21" s="63" t="str">
        <f>IF(AND($B21&gt;='1111'!$N$10,$B21&lt;='1111'!$O$10,OR($J21=$L$7,$K21=$L$7)),"x","")</f>
        <v/>
      </c>
      <c r="M21" s="63" t="str">
        <f>IF(AND($J21=$L$7,$B21&lt;'1111'!$N$10),"x","")</f>
        <v/>
      </c>
      <c r="N21" s="63" t="str">
        <f>IF(AND($K21=$L$7,$B21&lt;'1111'!$N$10),"x","")</f>
        <v/>
      </c>
      <c r="O21" s="63" t="str">
        <f>IF(OR(TH!J21=TH!$O$7,K21=TH!$O$7),"x","")</f>
        <v/>
      </c>
      <c r="P21" s="63" t="str">
        <f t="shared" si="4"/>
        <v/>
      </c>
    </row>
    <row r="22" spans="1:16" s="54" customFormat="1" ht="15.75" customHeight="1">
      <c r="A22" s="126" t="str">
        <f>IF(B22&lt;&gt;"",IF(AND(B22&gt;=_TM1,B22&lt;=_TM2,OR(TH!J22="1111",TH!K22="1111")),TH!D22,""),"")</f>
        <v/>
      </c>
      <c r="B22" s="40" t="str">
        <f t="shared" si="3"/>
        <v/>
      </c>
      <c r="C22" s="41"/>
      <c r="D22" s="41"/>
      <c r="E22" s="41"/>
      <c r="F22" s="44"/>
      <c r="G22" s="264"/>
      <c r="H22" s="57"/>
      <c r="I22" s="42"/>
      <c r="J22" s="43"/>
      <c r="K22" s="43"/>
      <c r="L22" s="63" t="str">
        <f>IF(AND($B22&gt;='1111'!$N$10,$B22&lt;='1111'!$O$10,OR($J22=$L$7,$K22=$L$7)),"x","")</f>
        <v/>
      </c>
      <c r="M22" s="63" t="str">
        <f>IF(AND($J22=$L$7,$B22&lt;'1111'!$N$10),"x","")</f>
        <v/>
      </c>
      <c r="N22" s="63" t="str">
        <f>IF(AND($K22=$L$7,$B22&lt;'1111'!$N$10),"x","")</f>
        <v/>
      </c>
      <c r="O22" s="63" t="str">
        <f>IF(OR(TH!J22=TH!$O$7,K22=TH!$O$7),"x","")</f>
        <v/>
      </c>
      <c r="P22" s="63" t="str">
        <f t="shared" si="4"/>
        <v/>
      </c>
    </row>
    <row r="23" spans="1:16" s="54" customFormat="1" ht="15.75" customHeight="1">
      <c r="A23" s="126" t="str">
        <f>IF(B23&lt;&gt;"",IF(AND(B23&gt;=_TM1,B23&lt;=_TM2,OR(TH!J23="1111",TH!K23="1111")),TH!D23,""),"")</f>
        <v/>
      </c>
      <c r="B23" s="40" t="str">
        <f t="shared" si="3"/>
        <v/>
      </c>
      <c r="C23" s="41"/>
      <c r="D23" s="41"/>
      <c r="E23" s="41"/>
      <c r="F23" s="44"/>
      <c r="G23" s="264"/>
      <c r="H23" s="57"/>
      <c r="I23" s="42"/>
      <c r="J23" s="43"/>
      <c r="K23" s="43"/>
      <c r="L23" s="63" t="str">
        <f>IF(AND($B23&gt;='1111'!$N$10,$B23&lt;='1111'!$O$10,OR($J23=$L$7,$K23=$L$7)),"x","")</f>
        <v/>
      </c>
      <c r="M23" s="63" t="str">
        <f>IF(AND($J23=$L$7,$B23&lt;'1111'!$N$10),"x","")</f>
        <v/>
      </c>
      <c r="N23" s="63" t="str">
        <f>IF(AND($K23=$L$7,$B23&lt;'1111'!$N$10),"x","")</f>
        <v/>
      </c>
      <c r="O23" s="63" t="str">
        <f>IF(OR(TH!J23=TH!$O$7,K23=TH!$O$7),"x","")</f>
        <v/>
      </c>
      <c r="P23" s="63" t="str">
        <f t="shared" si="4"/>
        <v/>
      </c>
    </row>
    <row r="24" spans="1:16" s="54" customFormat="1" ht="15.75" customHeight="1">
      <c r="A24" s="126" t="str">
        <f>IF(B24&lt;&gt;"",IF(AND(B24&gt;=_TM1,B24&lt;=_TM2,OR(TH!J24="1111",TH!K24="1111")),TH!D24,""),"")</f>
        <v/>
      </c>
      <c r="B24" s="40" t="str">
        <f t="shared" si="3"/>
        <v/>
      </c>
      <c r="C24" s="41"/>
      <c r="D24" s="41"/>
      <c r="E24" s="41"/>
      <c r="F24" s="44"/>
      <c r="G24" s="264"/>
      <c r="H24" s="57"/>
      <c r="I24" s="42"/>
      <c r="J24" s="43"/>
      <c r="K24" s="43"/>
      <c r="L24" s="63" t="str">
        <f>IF(AND($B24&gt;='1111'!$N$10,$B24&lt;='1111'!$O$10,OR($J24=$L$7,$K24=$L$7)),"x","")</f>
        <v/>
      </c>
      <c r="M24" s="63" t="str">
        <f>IF(AND($J24=$L$7,$B24&lt;'1111'!$N$10),"x","")</f>
        <v/>
      </c>
      <c r="N24" s="63" t="str">
        <f>IF(AND($K24=$L$7,$B24&lt;'1111'!$N$10),"x","")</f>
        <v/>
      </c>
      <c r="O24" s="63" t="str">
        <f>IF(OR(TH!J24=TH!$O$7,K24=TH!$O$7),"x","")</f>
        <v/>
      </c>
      <c r="P24" s="63" t="str">
        <f t="shared" si="4"/>
        <v/>
      </c>
    </row>
    <row r="25" spans="1:16" s="54" customFormat="1" ht="15.75" customHeight="1">
      <c r="A25" s="126" t="str">
        <f>IF(B25&lt;&gt;"",IF(AND(B25&gt;=_TM1,B25&lt;=_TM2,OR(TH!J25="1111",TH!K25="1111")),TH!D25,""),"")</f>
        <v/>
      </c>
      <c r="B25" s="40" t="str">
        <f t="shared" si="3"/>
        <v/>
      </c>
      <c r="C25" s="41"/>
      <c r="D25" s="41"/>
      <c r="E25" s="41"/>
      <c r="F25" s="44"/>
      <c r="G25" s="264"/>
      <c r="H25" s="57"/>
      <c r="I25" s="42"/>
      <c r="J25" s="43"/>
      <c r="K25" s="43"/>
      <c r="L25" s="63" t="str">
        <f>IF(AND($B25&gt;='1111'!$N$10,$B25&lt;='1111'!$O$10,OR($J25=$L$7,$K25=$L$7)),"x","")</f>
        <v/>
      </c>
      <c r="M25" s="63" t="str">
        <f>IF(AND($J25=$L$7,$B25&lt;'1111'!$N$10),"x","")</f>
        <v/>
      </c>
      <c r="N25" s="63" t="str">
        <f>IF(AND($K25=$L$7,$B25&lt;'1111'!$N$10),"x","")</f>
        <v/>
      </c>
      <c r="O25" s="63" t="str">
        <f>IF(OR(TH!J25=TH!$O$7,K25=TH!$O$7),"x","")</f>
        <v/>
      </c>
      <c r="P25" s="63" t="str">
        <f t="shared" si="4"/>
        <v/>
      </c>
    </row>
    <row r="26" spans="1:16" s="54" customFormat="1" ht="15.75" customHeight="1">
      <c r="A26" s="126" t="str">
        <f>IF(B26&lt;&gt;"",IF(AND(B26&gt;=_TM1,B26&lt;=_TM2,OR(TH!J26="1111",TH!K26="1111")),TH!D26,""),"")</f>
        <v/>
      </c>
      <c r="B26" s="40" t="str">
        <f t="shared" si="3"/>
        <v/>
      </c>
      <c r="C26" s="41"/>
      <c r="D26" s="41"/>
      <c r="E26" s="41"/>
      <c r="F26" s="47"/>
      <c r="G26" s="264"/>
      <c r="H26" s="57"/>
      <c r="I26" s="42"/>
      <c r="J26" s="43"/>
      <c r="K26" s="43"/>
      <c r="L26" s="63" t="str">
        <f>IF(AND($B26&gt;='1111'!$N$10,$B26&lt;='1111'!$O$10,OR($J26=$L$7,$K26=$L$7)),"x","")</f>
        <v/>
      </c>
      <c r="M26" s="63" t="str">
        <f>IF(AND($J26=$L$7,$B26&lt;'1111'!$N$10),"x","")</f>
        <v/>
      </c>
      <c r="N26" s="63" t="str">
        <f>IF(AND($K26=$L$7,$B26&lt;'1111'!$N$10),"x","")</f>
        <v/>
      </c>
      <c r="O26" s="63" t="str">
        <f>IF(OR(TH!J26=TH!$O$7,K26=TH!$O$7),"x","")</f>
        <v/>
      </c>
      <c r="P26" s="63" t="str">
        <f t="shared" si="4"/>
        <v/>
      </c>
    </row>
    <row r="27" spans="1:16" s="54" customFormat="1" ht="15.75" customHeight="1">
      <c r="A27" s="126" t="str">
        <f>IF(B27&lt;&gt;"",IF(AND(B27&gt;=_TM1,B27&lt;=_TM2,OR(TH!J27="1111",TH!K27="1111")),TH!D27,""),"")</f>
        <v/>
      </c>
      <c r="B27" s="40" t="str">
        <f t="shared" si="3"/>
        <v/>
      </c>
      <c r="C27" s="41"/>
      <c r="D27" s="41"/>
      <c r="E27" s="41"/>
      <c r="F27" s="44"/>
      <c r="G27" s="264"/>
      <c r="H27" s="57"/>
      <c r="I27" s="42"/>
      <c r="J27" s="43"/>
      <c r="K27" s="43"/>
      <c r="L27" s="63" t="str">
        <f>IF(AND($B27&gt;='1111'!$N$10,$B27&lt;='1111'!$O$10,OR($J27=$L$7,$K27=$L$7)),"x","")</f>
        <v/>
      </c>
      <c r="M27" s="63" t="str">
        <f>IF(AND($J27=$L$7,$B27&lt;'1111'!$N$10),"x","")</f>
        <v/>
      </c>
      <c r="N27" s="63" t="str">
        <f>IF(AND($K27=$L$7,$B27&lt;'1111'!$N$10),"x","")</f>
        <v/>
      </c>
      <c r="O27" s="63" t="str">
        <f>IF(OR(TH!J27=TH!$O$7,K27=TH!$O$7),"x","")</f>
        <v/>
      </c>
      <c r="P27" s="63" t="str">
        <f t="shared" si="4"/>
        <v/>
      </c>
    </row>
    <row r="28" spans="1:16" s="54" customFormat="1" ht="15.75" customHeight="1">
      <c r="A28" s="126" t="str">
        <f>IF(B28&lt;&gt;"",IF(AND(B28&gt;=_TM1,B28&lt;=_TM2,OR(TH!J28="1111",TH!K28="1111")),TH!D28,""),"")</f>
        <v/>
      </c>
      <c r="B28" s="40" t="str">
        <f t="shared" si="3"/>
        <v/>
      </c>
      <c r="C28" s="41"/>
      <c r="D28" s="41"/>
      <c r="E28" s="41"/>
      <c r="F28" s="44"/>
      <c r="G28" s="264"/>
      <c r="H28" s="57"/>
      <c r="I28" s="42"/>
      <c r="J28" s="43"/>
      <c r="K28" s="43"/>
      <c r="L28" s="63" t="str">
        <f>IF(AND($B28&gt;='1111'!$N$10,$B28&lt;='1111'!$O$10,OR($J28=$L$7,$K28=$L$7)),"x","")</f>
        <v/>
      </c>
      <c r="M28" s="63" t="str">
        <f>IF(AND($J28=$L$7,$B28&lt;'1111'!$N$10),"x","")</f>
        <v/>
      </c>
      <c r="N28" s="63" t="str">
        <f>IF(AND($K28=$L$7,$B28&lt;'1111'!$N$10),"x","")</f>
        <v/>
      </c>
      <c r="O28" s="63" t="str">
        <f>IF(OR(TH!J28=TH!$O$7,K28=TH!$O$7),"x","")</f>
        <v/>
      </c>
      <c r="P28" s="63" t="str">
        <f t="shared" si="4"/>
        <v/>
      </c>
    </row>
    <row r="29" spans="1:16" s="54" customFormat="1" ht="15.75" customHeight="1">
      <c r="A29" s="126" t="str">
        <f>IF(B29&lt;&gt;"",IF(AND(B29&gt;=_TM1,B29&lt;=_TM2,OR(TH!J29="1111",TH!K29="1111")),TH!D29,""),"")</f>
        <v/>
      </c>
      <c r="B29" s="40" t="str">
        <f t="shared" si="3"/>
        <v/>
      </c>
      <c r="C29" s="41"/>
      <c r="D29" s="41"/>
      <c r="E29" s="41"/>
      <c r="F29" s="44"/>
      <c r="G29" s="264"/>
      <c r="H29" s="57"/>
      <c r="I29" s="42"/>
      <c r="J29" s="43"/>
      <c r="K29" s="43"/>
      <c r="L29" s="63" t="str">
        <f>IF(AND($B29&gt;='1111'!$N$10,$B29&lt;='1111'!$O$10,OR($J29=$L$7,$K29=$L$7)),"x","")</f>
        <v/>
      </c>
      <c r="M29" s="63" t="str">
        <f>IF(AND($J29=$L$7,$B29&lt;'1111'!$N$10),"x","")</f>
        <v/>
      </c>
      <c r="N29" s="63" t="str">
        <f>IF(AND($K29=$L$7,$B29&lt;'1111'!$N$10),"x","")</f>
        <v/>
      </c>
      <c r="O29" s="63" t="str">
        <f>IF(OR(TH!J29=TH!$O$7,K29=TH!$O$7),"x","")</f>
        <v/>
      </c>
      <c r="P29" s="63" t="str">
        <f t="shared" si="4"/>
        <v/>
      </c>
    </row>
    <row r="30" spans="1:16" s="54" customFormat="1" ht="15.75" customHeight="1">
      <c r="A30" s="126" t="str">
        <f>IF(B30&lt;&gt;"",IF(AND(B30&gt;=_TM1,B30&lt;=_TM2,OR(TH!J30="1111",TH!K30="1111")),TH!D30,""),"")</f>
        <v/>
      </c>
      <c r="B30" s="40" t="str">
        <f t="shared" si="3"/>
        <v/>
      </c>
      <c r="C30" s="41"/>
      <c r="D30" s="41"/>
      <c r="E30" s="41"/>
      <c r="F30" s="44"/>
      <c r="G30" s="264"/>
      <c r="H30" s="57"/>
      <c r="I30" s="42"/>
      <c r="J30" s="43"/>
      <c r="K30" s="43"/>
      <c r="L30" s="63" t="str">
        <f>IF(AND($B30&gt;='1111'!$N$10,$B30&lt;='1111'!$O$10,OR($J30=$L$7,$K30=$L$7)),"x","")</f>
        <v/>
      </c>
      <c r="M30" s="63" t="str">
        <f>IF(AND($J30=$L$7,$B30&lt;'1111'!$N$10),"x","")</f>
        <v/>
      </c>
      <c r="N30" s="63" t="str">
        <f>IF(AND($K30=$L$7,$B30&lt;'1111'!$N$10),"x","")</f>
        <v/>
      </c>
      <c r="O30" s="63" t="str">
        <f>IF(OR(TH!J30=TH!$O$7,K30=TH!$O$7),"x","")</f>
        <v/>
      </c>
      <c r="P30" s="63" t="str">
        <f t="shared" si="4"/>
        <v/>
      </c>
    </row>
    <row r="31" spans="1:16" s="54" customFormat="1" ht="15.75" customHeight="1">
      <c r="A31" s="126" t="str">
        <f>IF(B31&lt;&gt;"",IF(AND(B31&gt;=_TM1,B31&lt;=_TM2,OR(TH!J31="1111",TH!K31="1111")),TH!D31,""),"")</f>
        <v/>
      </c>
      <c r="B31" s="40" t="str">
        <f t="shared" si="3"/>
        <v/>
      </c>
      <c r="C31" s="41"/>
      <c r="D31" s="41"/>
      <c r="E31" s="41"/>
      <c r="F31" s="44"/>
      <c r="G31" s="264"/>
      <c r="H31" s="57"/>
      <c r="I31" s="42"/>
      <c r="J31" s="43"/>
      <c r="K31" s="43"/>
      <c r="L31" s="63" t="str">
        <f>IF(AND($B31&gt;='1111'!$N$10,$B31&lt;='1111'!$O$10,OR($J31=$L$7,$K31=$L$7)),"x","")</f>
        <v/>
      </c>
      <c r="M31" s="63" t="str">
        <f>IF(AND($J31=$L$7,$B31&lt;'1111'!$N$10),"x","")</f>
        <v/>
      </c>
      <c r="N31" s="63" t="str">
        <f>IF(AND($K31=$L$7,$B31&lt;'1111'!$N$10),"x","")</f>
        <v/>
      </c>
      <c r="O31" s="63" t="str">
        <f>IF(OR(TH!J31=TH!$O$7,K31=TH!$O$7),"x","")</f>
        <v/>
      </c>
      <c r="P31" s="63" t="str">
        <f t="shared" si="4"/>
        <v/>
      </c>
    </row>
    <row r="32" spans="1:16" s="54" customFormat="1" ht="15.75" customHeight="1">
      <c r="A32" s="126" t="str">
        <f>IF(B32&lt;&gt;"",IF(AND(B32&gt;=_TM1,B32&lt;=_TM2,OR(TH!J32="1111",TH!K32="1111")),TH!D32,""),"")</f>
        <v/>
      </c>
      <c r="B32" s="40" t="str">
        <f t="shared" si="3"/>
        <v/>
      </c>
      <c r="C32" s="53"/>
      <c r="D32" s="41"/>
      <c r="E32" s="41"/>
      <c r="F32" s="44"/>
      <c r="G32" s="264"/>
      <c r="H32" s="57"/>
      <c r="I32" s="42"/>
      <c r="J32" s="43"/>
      <c r="K32" s="43"/>
      <c r="L32" s="63" t="str">
        <f>IF(AND($B32&gt;='1111'!$N$10,$B32&lt;='1111'!$O$10,OR($J32=$L$7,$K32=$L$7)),"x","")</f>
        <v/>
      </c>
      <c r="M32" s="63" t="str">
        <f>IF(AND($J32=$L$7,$B32&lt;'1111'!$N$10),"x","")</f>
        <v/>
      </c>
      <c r="N32" s="63" t="str">
        <f>IF(AND($K32=$L$7,$B32&lt;'1111'!$N$10),"x","")</f>
        <v/>
      </c>
      <c r="O32" s="63" t="str">
        <f>IF(OR(TH!J32=TH!$O$7,K32=TH!$O$7),"x","")</f>
        <v/>
      </c>
      <c r="P32" s="63" t="str">
        <f t="shared" si="4"/>
        <v/>
      </c>
    </row>
    <row r="33" spans="1:16" s="54" customFormat="1" ht="15.75" customHeight="1">
      <c r="A33" s="126" t="str">
        <f>IF(B33&lt;&gt;"",IF(AND(B33&gt;=_TM1,B33&lt;=_TM2,OR(TH!J33="1111",TH!K33="1111")),TH!D33,""),"")</f>
        <v/>
      </c>
      <c r="B33" s="40" t="str">
        <f t="shared" si="3"/>
        <v/>
      </c>
      <c r="C33" s="53"/>
      <c r="D33" s="41"/>
      <c r="E33" s="41"/>
      <c r="F33" s="44"/>
      <c r="G33" s="264"/>
      <c r="H33" s="57"/>
      <c r="I33" s="42"/>
      <c r="J33" s="43"/>
      <c r="K33" s="43"/>
      <c r="L33" s="63" t="str">
        <f>IF(AND($B33&gt;='1111'!$N$10,$B33&lt;='1111'!$O$10,OR($J33=$L$7,$K33=$L$7)),"x","")</f>
        <v/>
      </c>
      <c r="M33" s="63" t="str">
        <f>IF(AND($J33=$L$7,$B33&lt;'1111'!$N$10),"x","")</f>
        <v/>
      </c>
      <c r="N33" s="63" t="str">
        <f>IF(AND($K33=$L$7,$B33&lt;'1111'!$N$10),"x","")</f>
        <v/>
      </c>
      <c r="O33" s="63" t="str">
        <f>IF(OR(TH!J33=TH!$O$7,K33=TH!$O$7),"x","")</f>
        <v/>
      </c>
      <c r="P33" s="63" t="str">
        <f t="shared" si="4"/>
        <v/>
      </c>
    </row>
    <row r="34" spans="1:16" s="54" customFormat="1" ht="15.75" customHeight="1">
      <c r="A34" s="126" t="str">
        <f>IF(B34&lt;&gt;"",IF(AND(B34&gt;=_TM1,B34&lt;=_TM2,OR(TH!J34="1111",TH!K34="1111")),TH!D34,""),"")</f>
        <v/>
      </c>
      <c r="B34" s="40" t="str">
        <f t="shared" si="3"/>
        <v/>
      </c>
      <c r="C34" s="53"/>
      <c r="D34" s="41"/>
      <c r="E34" s="41"/>
      <c r="F34" s="44"/>
      <c r="G34" s="264"/>
      <c r="H34" s="57"/>
      <c r="I34" s="42"/>
      <c r="J34" s="43"/>
      <c r="K34" s="43"/>
      <c r="L34" s="63" t="str">
        <f>IF(AND($B34&gt;='1111'!$N$10,$B34&lt;='1111'!$O$10,OR($J34=$L$7,$K34=$L$7)),"x","")</f>
        <v/>
      </c>
      <c r="M34" s="63" t="str">
        <f>IF(AND($J34=$L$7,$B34&lt;'1111'!$N$10),"x","")</f>
        <v/>
      </c>
      <c r="N34" s="63" t="str">
        <f>IF(AND($K34=$L$7,$B34&lt;'1111'!$N$10),"x","")</f>
        <v/>
      </c>
      <c r="O34" s="63" t="str">
        <f>IF(OR(TH!J34=TH!$O$7,K34=TH!$O$7),"x","")</f>
        <v/>
      </c>
      <c r="P34" s="63" t="str">
        <f t="shared" si="4"/>
        <v/>
      </c>
    </row>
    <row r="35" spans="1:16" s="54" customFormat="1" ht="15.75" customHeight="1">
      <c r="A35" s="126" t="str">
        <f>IF(B35&lt;&gt;"",IF(AND(B35&gt;=_TM1,B35&lt;=_TM2,OR(TH!J35="1111",TH!K35="1111")),TH!D35,""),"")</f>
        <v/>
      </c>
      <c r="B35" s="40" t="str">
        <f t="shared" si="3"/>
        <v/>
      </c>
      <c r="C35" s="41"/>
      <c r="D35" s="41"/>
      <c r="E35" s="41"/>
      <c r="F35" s="44"/>
      <c r="G35" s="264"/>
      <c r="H35" s="57"/>
      <c r="I35" s="42"/>
      <c r="J35" s="43"/>
      <c r="K35" s="43"/>
      <c r="L35" s="63" t="str">
        <f>IF(AND($B35&gt;='1111'!$N$10,$B35&lt;='1111'!$O$10,OR($J35=$L$7,$K35=$L$7)),"x","")</f>
        <v/>
      </c>
      <c r="M35" s="63" t="str">
        <f>IF(AND($J35=$L$7,$B35&lt;'1111'!$N$10),"x","")</f>
        <v/>
      </c>
      <c r="N35" s="63" t="str">
        <f>IF(AND($K35=$L$7,$B35&lt;'1111'!$N$10),"x","")</f>
        <v/>
      </c>
      <c r="O35" s="63" t="str">
        <f>IF(OR(TH!J35=TH!$O$7,K35=TH!$O$7),"x","")</f>
        <v/>
      </c>
      <c r="P35" s="63" t="str">
        <f t="shared" si="4"/>
        <v/>
      </c>
    </row>
    <row r="36" spans="1:16" s="54" customFormat="1" ht="15.75" customHeight="1">
      <c r="A36" s="126" t="str">
        <f>IF(B36&lt;&gt;"",IF(AND(B36&gt;=_TM1,B36&lt;=_TM2,OR(TH!J36="1111",TH!K36="1111")),TH!D36,""),"")</f>
        <v/>
      </c>
      <c r="B36" s="40" t="str">
        <f t="shared" si="3"/>
        <v/>
      </c>
      <c r="C36" s="41"/>
      <c r="D36" s="41"/>
      <c r="E36" s="41"/>
      <c r="F36" s="44"/>
      <c r="G36" s="264"/>
      <c r="H36" s="57"/>
      <c r="I36" s="42"/>
      <c r="J36" s="43"/>
      <c r="K36" s="43"/>
      <c r="L36" s="63" t="str">
        <f>IF(AND($B36&gt;='1111'!$N$10,$B36&lt;='1111'!$O$10,OR($J36=$L$7,$K36=$L$7)),"x","")</f>
        <v/>
      </c>
      <c r="M36" s="63" t="str">
        <f>IF(AND($J36=$L$7,$B36&lt;'1111'!$N$10),"x","")</f>
        <v/>
      </c>
      <c r="N36" s="63" t="str">
        <f>IF(AND($K36=$L$7,$B36&lt;'1111'!$N$10),"x","")</f>
        <v/>
      </c>
      <c r="O36" s="63" t="str">
        <f>IF(OR(TH!J36=TH!$O$7,K36=TH!$O$7),"x","")</f>
        <v/>
      </c>
      <c r="P36" s="63" t="str">
        <f t="shared" si="4"/>
        <v/>
      </c>
    </row>
    <row r="37" spans="1:16" s="54" customFormat="1" ht="15.75" customHeight="1">
      <c r="A37" s="126" t="str">
        <f>IF(B37&lt;&gt;"",IF(AND(B37&gt;=_TM1,B37&lt;=_TM2,OR(TH!J37="1111",TH!K37="1111")),TH!D37,""),"")</f>
        <v/>
      </c>
      <c r="B37" s="40" t="str">
        <f t="shared" si="3"/>
        <v/>
      </c>
      <c r="C37" s="53"/>
      <c r="D37" s="41"/>
      <c r="E37" s="41"/>
      <c r="F37" s="44"/>
      <c r="G37" s="264"/>
      <c r="H37" s="57"/>
      <c r="I37" s="42"/>
      <c r="J37" s="46"/>
      <c r="K37" s="43"/>
      <c r="L37" s="63" t="str">
        <f>IF(AND($B37&gt;='1111'!$N$10,$B37&lt;='1111'!$O$10,OR($J37=$L$7,$K37=$L$7)),"x","")</f>
        <v/>
      </c>
      <c r="M37" s="63" t="str">
        <f>IF(AND($J37=$L$7,$B37&lt;'1111'!$N$10),"x","")</f>
        <v/>
      </c>
      <c r="N37" s="63" t="str">
        <f>IF(AND($K37=$L$7,$B37&lt;'1111'!$N$10),"x","")</f>
        <v/>
      </c>
      <c r="O37" s="63" t="str">
        <f>IF(OR(TH!J37=TH!$O$7,K37=TH!$O$7),"x","")</f>
        <v/>
      </c>
      <c r="P37" s="63" t="str">
        <f t="shared" si="4"/>
        <v/>
      </c>
    </row>
    <row r="38" spans="1:16" s="54" customFormat="1" ht="15.75" customHeight="1">
      <c r="A38" s="126" t="str">
        <f>IF(B38&lt;&gt;"",IF(AND(B38&gt;=_TM1,B38&lt;=_TM2,OR(TH!J38="1111",TH!K38="1111")),TH!D38,""),"")</f>
        <v/>
      </c>
      <c r="B38" s="40" t="str">
        <f t="shared" si="3"/>
        <v/>
      </c>
      <c r="C38" s="41"/>
      <c r="D38" s="41"/>
      <c r="E38" s="41"/>
      <c r="F38" s="44"/>
      <c r="G38" s="264"/>
      <c r="H38" s="57"/>
      <c r="I38" s="42"/>
      <c r="J38" s="43"/>
      <c r="K38" s="43"/>
      <c r="L38" s="63" t="str">
        <f>IF(AND($B38&gt;='1111'!$N$10,$B38&lt;='1111'!$O$10,OR($J38=$L$7,$K38=$L$7)),"x","")</f>
        <v/>
      </c>
      <c r="M38" s="63" t="str">
        <f>IF(AND($J38=$L$7,$B38&lt;'1111'!$N$10),"x","")</f>
        <v/>
      </c>
      <c r="N38" s="63" t="str">
        <f>IF(AND($K38=$L$7,$B38&lt;'1111'!$N$10),"x","")</f>
        <v/>
      </c>
      <c r="O38" s="63" t="str">
        <f>IF(OR(TH!J38=TH!$O$7,K38=TH!$O$7),"x","")</f>
        <v/>
      </c>
      <c r="P38" s="63" t="str">
        <f t="shared" si="4"/>
        <v/>
      </c>
    </row>
    <row r="39" spans="1:16" s="54" customFormat="1" ht="15.75" customHeight="1">
      <c r="A39" s="126" t="str">
        <f>IF(B39&lt;&gt;"",IF(AND(B39&gt;=_TM1,B39&lt;=_TM2,OR(TH!J39="1111",TH!K39="1111")),TH!D39,""),"")</f>
        <v/>
      </c>
      <c r="B39" s="40" t="str">
        <f t="shared" si="3"/>
        <v/>
      </c>
      <c r="C39" s="41"/>
      <c r="D39" s="41"/>
      <c r="E39" s="41"/>
      <c r="F39" s="44"/>
      <c r="G39" s="264"/>
      <c r="H39" s="57"/>
      <c r="I39" s="42"/>
      <c r="J39" s="43"/>
      <c r="K39" s="43"/>
      <c r="L39" s="63" t="str">
        <f>IF(AND($B39&gt;='1111'!$N$10,$B39&lt;='1111'!$O$10,OR($J39=$L$7,$K39=$L$7)),"x","")</f>
        <v/>
      </c>
      <c r="M39" s="63" t="str">
        <f>IF(AND($J39=$L$7,$B39&lt;'1111'!$N$10),"x","")</f>
        <v/>
      </c>
      <c r="N39" s="63" t="str">
        <f>IF(AND($K39=$L$7,$B39&lt;'1111'!$N$10),"x","")</f>
        <v/>
      </c>
      <c r="O39" s="63" t="str">
        <f>IF(OR(TH!J39=TH!$O$7,K39=TH!$O$7),"x","")</f>
        <v/>
      </c>
      <c r="P39" s="63" t="str">
        <f t="shared" si="4"/>
        <v/>
      </c>
    </row>
    <row r="40" spans="1:16" s="54" customFormat="1" ht="15.75" customHeight="1">
      <c r="A40" s="126" t="str">
        <f>IF(B40&lt;&gt;"",IF(AND(B40&gt;=_TM1,B40&lt;=_TM2,OR(TH!J40="1111",TH!K40="1111")),TH!D40,""),"")</f>
        <v/>
      </c>
      <c r="B40" s="40" t="str">
        <f t="shared" si="3"/>
        <v/>
      </c>
      <c r="C40" s="53"/>
      <c r="D40" s="41"/>
      <c r="E40" s="41"/>
      <c r="F40" s="44"/>
      <c r="G40" s="264"/>
      <c r="H40" s="57"/>
      <c r="I40" s="42"/>
      <c r="J40" s="46"/>
      <c r="K40" s="43"/>
      <c r="L40" s="63" t="str">
        <f>IF(AND($B40&gt;='1111'!$N$10,$B40&lt;='1111'!$O$10,OR($J40=$L$7,$K40=$L$7)),"x","")</f>
        <v/>
      </c>
      <c r="M40" s="63" t="str">
        <f>IF(AND($J40=$L$7,$B40&lt;'1111'!$N$10),"x","")</f>
        <v/>
      </c>
      <c r="N40" s="63" t="str">
        <f>IF(AND($K40=$L$7,$B40&lt;'1111'!$N$10),"x","")</f>
        <v/>
      </c>
      <c r="O40" s="63" t="str">
        <f>IF(OR(TH!J40=TH!$O$7,K40=TH!$O$7),"x","")</f>
        <v/>
      </c>
      <c r="P40" s="63" t="str">
        <f t="shared" si="4"/>
        <v/>
      </c>
    </row>
    <row r="41" spans="1:16" s="54" customFormat="1" ht="15.75" customHeight="1">
      <c r="A41" s="126" t="str">
        <f>IF(B41&lt;&gt;"",IF(AND(B41&gt;=_TM1,B41&lt;=_TM2,OR(TH!J41="1111",TH!K41="1111")),TH!D41,""),"")</f>
        <v/>
      </c>
      <c r="B41" s="40" t="str">
        <f t="shared" si="3"/>
        <v/>
      </c>
      <c r="C41" s="41"/>
      <c r="D41" s="41"/>
      <c r="E41" s="41"/>
      <c r="F41" s="44"/>
      <c r="G41" s="264"/>
      <c r="H41" s="57"/>
      <c r="I41" s="42"/>
      <c r="J41" s="43"/>
      <c r="K41" s="43"/>
      <c r="L41" s="63" t="str">
        <f>IF(AND($B41&gt;='1111'!$N$10,$B41&lt;='1111'!$O$10,OR($J41=$L$7,$K41=$L$7)),"x","")</f>
        <v/>
      </c>
      <c r="M41" s="63" t="str">
        <f>IF(AND($J41=$L$7,$B41&lt;'1111'!$N$10),"x","")</f>
        <v/>
      </c>
      <c r="N41" s="63" t="str">
        <f>IF(AND($K41=$L$7,$B41&lt;'1111'!$N$10),"x","")</f>
        <v/>
      </c>
      <c r="O41" s="63" t="str">
        <f>IF(OR(TH!J41=TH!$O$7,K41=TH!$O$7),"x","")</f>
        <v/>
      </c>
      <c r="P41" s="63" t="str">
        <f t="shared" si="4"/>
        <v/>
      </c>
    </row>
    <row r="42" spans="1:16" s="54" customFormat="1" ht="15.75" customHeight="1">
      <c r="A42" s="126" t="str">
        <f>IF(B42&lt;&gt;"",IF(AND(B42&gt;=_TM1,B42&lt;=_TM2,OR(TH!J42="1111",TH!K42="1111")),TH!D42,""),"")</f>
        <v/>
      </c>
      <c r="B42" s="40" t="str">
        <f t="shared" si="3"/>
        <v/>
      </c>
      <c r="C42" s="41"/>
      <c r="D42" s="41"/>
      <c r="E42" s="41"/>
      <c r="F42" s="44"/>
      <c r="G42" s="264"/>
      <c r="H42" s="57"/>
      <c r="I42" s="42"/>
      <c r="J42" s="43"/>
      <c r="K42" s="43"/>
      <c r="L42" s="63" t="str">
        <f>IF(AND($B42&gt;='1111'!$N$10,$B42&lt;='1111'!$O$10,OR($J42=$L$7,$K42=$L$7)),"x","")</f>
        <v/>
      </c>
      <c r="M42" s="63" t="str">
        <f>IF(AND($J42=$L$7,$B42&lt;'1111'!$N$10),"x","")</f>
        <v/>
      </c>
      <c r="N42" s="63" t="str">
        <f>IF(AND($K42=$L$7,$B42&lt;'1111'!$N$10),"x","")</f>
        <v/>
      </c>
      <c r="O42" s="63" t="str">
        <f>IF(OR(TH!J42=TH!$O$7,K42=TH!$O$7),"x","")</f>
        <v/>
      </c>
      <c r="P42" s="63" t="str">
        <f t="shared" si="4"/>
        <v/>
      </c>
    </row>
    <row r="43" spans="1:16" s="54" customFormat="1" ht="15.75" customHeight="1">
      <c r="A43" s="126" t="str">
        <f>IF(B43&lt;&gt;"",IF(AND(B43&gt;=_TM1,B43&lt;=_TM2,OR(TH!J43="1111",TH!K43="1111")),TH!D43,""),"")</f>
        <v/>
      </c>
      <c r="B43" s="40" t="str">
        <f t="shared" si="3"/>
        <v/>
      </c>
      <c r="C43" s="53"/>
      <c r="D43" s="41"/>
      <c r="E43" s="41"/>
      <c r="F43" s="44"/>
      <c r="G43" s="264"/>
      <c r="H43" s="57"/>
      <c r="I43" s="42"/>
      <c r="J43" s="43"/>
      <c r="K43" s="43"/>
      <c r="L43" s="63" t="str">
        <f>IF(AND($B43&gt;='1111'!$N$10,$B43&lt;='1111'!$O$10,OR($J43=$L$7,$K43=$L$7)),"x","")</f>
        <v/>
      </c>
      <c r="M43" s="63" t="str">
        <f>IF(AND($J43=$L$7,$B43&lt;'1111'!$N$10),"x","")</f>
        <v/>
      </c>
      <c r="N43" s="63" t="str">
        <f>IF(AND($K43=$L$7,$B43&lt;'1111'!$N$10),"x","")</f>
        <v/>
      </c>
      <c r="O43" s="63" t="str">
        <f>IF(OR(TH!J43=TH!$O$7,K43=TH!$O$7),"x","")</f>
        <v/>
      </c>
      <c r="P43" s="63" t="str">
        <f t="shared" si="4"/>
        <v/>
      </c>
    </row>
    <row r="44" spans="1:16" s="54" customFormat="1" ht="15.75" customHeight="1">
      <c r="A44" s="126" t="str">
        <f>IF(B44&lt;&gt;"",IF(AND(B44&gt;=_TM1,B44&lt;=_TM2,OR(TH!J44="1111",TH!K44="1111")),TH!D44,""),"")</f>
        <v/>
      </c>
      <c r="B44" s="40" t="str">
        <f t="shared" si="3"/>
        <v/>
      </c>
      <c r="C44" s="41"/>
      <c r="D44" s="41"/>
      <c r="E44" s="41"/>
      <c r="F44" s="47"/>
      <c r="G44" s="264"/>
      <c r="H44" s="56"/>
      <c r="I44" s="42"/>
      <c r="J44" s="43"/>
      <c r="K44" s="43"/>
      <c r="L44" s="63" t="str">
        <f>IF(AND($B44&gt;='1111'!$N$10,$B44&lt;='1111'!$O$10,OR($J44=$L$7,$K44=$L$7)),"x","")</f>
        <v/>
      </c>
      <c r="M44" s="63" t="str">
        <f>IF(AND($J44=$L$7,$B44&lt;'1111'!$N$10),"x","")</f>
        <v/>
      </c>
      <c r="N44" s="63" t="str">
        <f>IF(AND($K44=$L$7,$B44&lt;'1111'!$N$10),"x","")</f>
        <v/>
      </c>
      <c r="O44" s="63" t="str">
        <f>IF(OR(TH!J44=TH!$O$7,K44=TH!$O$7),"x","")</f>
        <v/>
      </c>
      <c r="P44" s="63" t="str">
        <f t="shared" si="4"/>
        <v/>
      </c>
    </row>
    <row r="45" spans="1:16" s="54" customFormat="1" ht="15.75" customHeight="1">
      <c r="A45" s="126" t="str">
        <f>IF(B45&lt;&gt;"",IF(AND(B45&gt;=_TM1,B45&lt;=_TM2,OR(TH!J45="1111",TH!K45="1111")),TH!D45,""),"")</f>
        <v/>
      </c>
      <c r="B45" s="40" t="str">
        <f t="shared" si="3"/>
        <v/>
      </c>
      <c r="C45" s="53"/>
      <c r="D45" s="41"/>
      <c r="E45" s="41"/>
      <c r="F45" s="44"/>
      <c r="G45" s="264"/>
      <c r="H45" s="56"/>
      <c r="I45" s="42"/>
      <c r="J45" s="43"/>
      <c r="K45" s="43"/>
      <c r="L45" s="63" t="str">
        <f>IF(AND($B45&gt;='1111'!$N$10,$B45&lt;='1111'!$O$10,OR($J45=$L$7,$K45=$L$7)),"x","")</f>
        <v/>
      </c>
      <c r="M45" s="63" t="str">
        <f>IF(AND($J45=$L$7,$B45&lt;'1111'!$N$10),"x","")</f>
        <v/>
      </c>
      <c r="N45" s="63" t="str">
        <f>IF(AND($K45=$L$7,$B45&lt;'1111'!$N$10),"x","")</f>
        <v/>
      </c>
      <c r="O45" s="63" t="str">
        <f>IF(OR(TH!J45=TH!$O$7,K45=TH!$O$7),"x","")</f>
        <v/>
      </c>
      <c r="P45" s="63" t="str">
        <f t="shared" si="4"/>
        <v/>
      </c>
    </row>
    <row r="46" spans="1:16" s="54" customFormat="1" ht="15.75" customHeight="1">
      <c r="A46" s="126" t="str">
        <f>IF(B46&lt;&gt;"",IF(AND(B46&gt;=_TM1,B46&lt;=_TM2,OR(TH!J46="1111",TH!K46="1111")),TH!D46,""),"")</f>
        <v/>
      </c>
      <c r="B46" s="40" t="str">
        <f t="shared" si="3"/>
        <v/>
      </c>
      <c r="C46" s="41"/>
      <c r="D46" s="41"/>
      <c r="E46" s="41"/>
      <c r="F46" s="44"/>
      <c r="G46" s="264"/>
      <c r="H46" s="57"/>
      <c r="I46" s="42"/>
      <c r="J46" s="43"/>
      <c r="K46" s="43"/>
      <c r="L46" s="63" t="str">
        <f>IF(AND($B46&gt;='1111'!$N$10,$B46&lt;='1111'!$O$10,OR($J46=$L$7,$K46=$L$7)),"x","")</f>
        <v/>
      </c>
      <c r="M46" s="63" t="str">
        <f>IF(AND($J46=$L$7,$B46&lt;'1111'!$N$10),"x","")</f>
        <v/>
      </c>
      <c r="N46" s="63" t="str">
        <f>IF(AND($K46=$L$7,$B46&lt;'1111'!$N$10),"x","")</f>
        <v/>
      </c>
      <c r="O46" s="63" t="str">
        <f>IF(OR(TH!J46=TH!$O$7,K46=TH!$O$7),"x","")</f>
        <v/>
      </c>
      <c r="P46" s="63" t="str">
        <f t="shared" si="4"/>
        <v/>
      </c>
    </row>
    <row r="47" spans="1:16" s="54" customFormat="1" ht="15.75" customHeight="1">
      <c r="A47" s="126" t="str">
        <f>IF(B47&lt;&gt;"",IF(AND(B47&gt;=_TM1,B47&lt;=_TM2,OR(TH!J47="1111",TH!K47="1111")),TH!D47,""),"")</f>
        <v/>
      </c>
      <c r="B47" s="40" t="str">
        <f t="shared" si="3"/>
        <v/>
      </c>
      <c r="C47" s="41"/>
      <c r="D47" s="41"/>
      <c r="E47" s="41"/>
      <c r="F47" s="44"/>
      <c r="G47" s="264"/>
      <c r="H47" s="57"/>
      <c r="I47" s="42"/>
      <c r="J47" s="43"/>
      <c r="K47" s="43"/>
      <c r="L47" s="63" t="str">
        <f>IF(AND($B47&gt;='1111'!$N$10,$B47&lt;='1111'!$O$10,OR($J47=$L$7,$K47=$L$7)),"x","")</f>
        <v/>
      </c>
      <c r="M47" s="63" t="str">
        <f>IF(AND($J47=$L$7,$B47&lt;'1111'!$N$10),"x","")</f>
        <v/>
      </c>
      <c r="N47" s="63" t="str">
        <f>IF(AND($K47=$L$7,$B47&lt;'1111'!$N$10),"x","")</f>
        <v/>
      </c>
      <c r="O47" s="63" t="str">
        <f>IF(OR(TH!J47=TH!$O$7,K47=TH!$O$7),"x","")</f>
        <v/>
      </c>
      <c r="P47" s="63" t="str">
        <f t="shared" si="4"/>
        <v/>
      </c>
    </row>
    <row r="48" spans="1:16" s="54" customFormat="1" ht="15.75" customHeight="1">
      <c r="A48" s="126" t="str">
        <f>IF(B48&lt;&gt;"",IF(AND(B48&gt;=_TM1,B48&lt;=_TM2,OR(TH!J48="1111",TH!K48="1111")),TH!D48,""),"")</f>
        <v/>
      </c>
      <c r="B48" s="40" t="str">
        <f t="shared" si="3"/>
        <v/>
      </c>
      <c r="C48" s="41"/>
      <c r="D48" s="41"/>
      <c r="E48" s="41"/>
      <c r="F48" s="44"/>
      <c r="G48" s="264"/>
      <c r="H48" s="57"/>
      <c r="I48" s="42"/>
      <c r="J48" s="43"/>
      <c r="K48" s="43"/>
      <c r="L48" s="63" t="str">
        <f>IF(AND($B48&gt;='1111'!$N$10,$B48&lt;='1111'!$O$10,OR($J48=$L$7,$K48=$L$7)),"x","")</f>
        <v/>
      </c>
      <c r="M48" s="63" t="str">
        <f>IF(AND($J48=$L$7,$B48&lt;'1111'!$N$10),"x","")</f>
        <v/>
      </c>
      <c r="N48" s="63" t="str">
        <f>IF(AND($K48=$L$7,$B48&lt;'1111'!$N$10),"x","")</f>
        <v/>
      </c>
      <c r="O48" s="63" t="str">
        <f>IF(OR(TH!J48=TH!$O$7,K48=TH!$O$7),"x","")</f>
        <v/>
      </c>
      <c r="P48" s="63" t="str">
        <f t="shared" si="4"/>
        <v/>
      </c>
    </row>
    <row r="49" spans="1:16" s="54" customFormat="1" ht="15.75" customHeight="1">
      <c r="A49" s="126" t="str">
        <f>IF(B49&lt;&gt;"",IF(AND(B49&gt;=_TM1,B49&lt;=_TM2,OR(TH!J49="1111",TH!K49="1111")),TH!D49,""),"")</f>
        <v/>
      </c>
      <c r="B49" s="40" t="str">
        <f t="shared" si="3"/>
        <v/>
      </c>
      <c r="C49" s="41"/>
      <c r="D49" s="41"/>
      <c r="E49" s="41"/>
      <c r="F49" s="44"/>
      <c r="G49" s="264"/>
      <c r="H49" s="57"/>
      <c r="I49" s="42"/>
      <c r="J49" s="43"/>
      <c r="K49" s="43"/>
      <c r="L49" s="63" t="str">
        <f>IF(AND($B49&gt;='1111'!$N$10,$B49&lt;='1111'!$O$10,OR($J49=$L$7,$K49=$L$7)),"x","")</f>
        <v/>
      </c>
      <c r="M49" s="63" t="str">
        <f>IF(AND($J49=$L$7,$B49&lt;'1111'!$N$10),"x","")</f>
        <v/>
      </c>
      <c r="N49" s="63" t="str">
        <f>IF(AND($K49=$L$7,$B49&lt;'1111'!$N$10),"x","")</f>
        <v/>
      </c>
      <c r="O49" s="63" t="str">
        <f>IF(OR(TH!J49=TH!$O$7,K49=TH!$O$7),"x","")</f>
        <v/>
      </c>
      <c r="P49" s="63" t="str">
        <f t="shared" si="4"/>
        <v/>
      </c>
    </row>
    <row r="50" spans="1:16" s="54" customFormat="1" ht="15.75" customHeight="1">
      <c r="A50" s="126" t="str">
        <f>IF(B50&lt;&gt;"",IF(AND(B50&gt;=_TM1,B50&lt;=_TM2,OR(TH!J50="1111",TH!K50="1111")),TH!D50,""),"")</f>
        <v/>
      </c>
      <c r="B50" s="40" t="str">
        <f t="shared" si="3"/>
        <v/>
      </c>
      <c r="C50" s="41"/>
      <c r="D50" s="41"/>
      <c r="E50" s="41"/>
      <c r="F50" s="44"/>
      <c r="G50" s="264"/>
      <c r="H50" s="57"/>
      <c r="I50" s="42"/>
      <c r="J50" s="43"/>
      <c r="K50" s="43"/>
      <c r="L50" s="63" t="str">
        <f>IF(AND($B50&gt;='1111'!$N$10,$B50&lt;='1111'!$O$10,OR($J50=$L$7,$K50=$L$7)),"x","")</f>
        <v/>
      </c>
      <c r="M50" s="63" t="str">
        <f>IF(AND($J50=$L$7,$B50&lt;'1111'!$N$10),"x","")</f>
        <v/>
      </c>
      <c r="N50" s="63" t="str">
        <f>IF(AND($K50=$L$7,$B50&lt;'1111'!$N$10),"x","")</f>
        <v/>
      </c>
      <c r="O50" s="63" t="str">
        <f>IF(OR(TH!J50=TH!$O$7,K50=TH!$O$7),"x","")</f>
        <v/>
      </c>
      <c r="P50" s="63" t="str">
        <f t="shared" si="4"/>
        <v/>
      </c>
    </row>
    <row r="51" spans="1:16" s="54" customFormat="1" ht="15.75" customHeight="1">
      <c r="A51" s="126" t="str">
        <f>IF(B51&lt;&gt;"",IF(AND(B51&gt;=_TM1,B51&lt;=_TM2,OR(TH!J51="1111",TH!K51="1111")),TH!D51,""),"")</f>
        <v/>
      </c>
      <c r="B51" s="40" t="str">
        <f t="shared" si="3"/>
        <v/>
      </c>
      <c r="C51" s="41"/>
      <c r="D51" s="41"/>
      <c r="E51" s="41"/>
      <c r="F51" s="47"/>
      <c r="G51" s="264"/>
      <c r="H51" s="56"/>
      <c r="I51" s="42"/>
      <c r="J51" s="43"/>
      <c r="K51" s="43"/>
      <c r="L51" s="63" t="str">
        <f>IF(AND($B51&gt;='1111'!$N$10,$B51&lt;='1111'!$O$10,OR($J51=$L$7,$K51=$L$7)),"x","")</f>
        <v/>
      </c>
      <c r="M51" s="63" t="str">
        <f>IF(AND($J51=$L$7,$B51&lt;'1111'!$N$10),"x","")</f>
        <v/>
      </c>
      <c r="N51" s="63" t="str">
        <f>IF(AND($K51=$L$7,$B51&lt;'1111'!$N$10),"x","")</f>
        <v/>
      </c>
      <c r="O51" s="63" t="str">
        <f>IF(OR(TH!J51=TH!$O$7,K51=TH!$O$7),"x","")</f>
        <v/>
      </c>
      <c r="P51" s="63" t="str">
        <f t="shared" si="4"/>
        <v/>
      </c>
    </row>
    <row r="52" spans="1:16" s="54" customFormat="1" ht="15.75" customHeight="1">
      <c r="A52" s="126" t="str">
        <f>IF(B52&lt;&gt;"",IF(AND(B52&gt;=_TM1,B52&lt;=_TM2,OR(TH!J52="1111",TH!K52="1111")),TH!D52,""),"")</f>
        <v/>
      </c>
      <c r="B52" s="40" t="str">
        <f t="shared" si="3"/>
        <v/>
      </c>
      <c r="C52" s="53"/>
      <c r="D52" s="41"/>
      <c r="E52" s="41"/>
      <c r="F52" s="44"/>
      <c r="G52" s="264"/>
      <c r="H52" s="56"/>
      <c r="I52" s="42"/>
      <c r="J52" s="43"/>
      <c r="K52" s="43"/>
      <c r="L52" s="63" t="str">
        <f>IF(AND($B52&gt;='1111'!$N$10,$B52&lt;='1111'!$O$10,OR($J52=$L$7,$K52=$L$7)),"x","")</f>
        <v/>
      </c>
      <c r="M52" s="63" t="str">
        <f>IF(AND($J52=$L$7,$B52&lt;'1111'!$N$10),"x","")</f>
        <v/>
      </c>
      <c r="N52" s="63" t="str">
        <f>IF(AND($K52=$L$7,$B52&lt;'1111'!$N$10),"x","")</f>
        <v/>
      </c>
      <c r="O52" s="63" t="str">
        <f>IF(OR(TH!J52=TH!$O$7,K52=TH!$O$7),"x","")</f>
        <v/>
      </c>
      <c r="P52" s="63" t="str">
        <f t="shared" si="4"/>
        <v/>
      </c>
    </row>
    <row r="53" spans="1:16" s="54" customFormat="1" ht="15.75" customHeight="1">
      <c r="A53" s="126" t="str">
        <f>IF(B53&lt;&gt;"",IF(AND(B53&gt;=_TM1,B53&lt;=_TM2,OR(TH!J53="1111",TH!K53="1111")),TH!D53,""),"")</f>
        <v/>
      </c>
      <c r="B53" s="40" t="str">
        <f t="shared" si="3"/>
        <v/>
      </c>
      <c r="C53" s="41"/>
      <c r="D53" s="41"/>
      <c r="E53" s="41"/>
      <c r="F53" s="44"/>
      <c r="G53" s="264"/>
      <c r="H53" s="57"/>
      <c r="I53" s="42"/>
      <c r="J53" s="43"/>
      <c r="K53" s="43"/>
      <c r="L53" s="63" t="str">
        <f>IF(AND($B53&gt;='1111'!$N$10,$B53&lt;='1111'!$O$10,OR($J53=$L$7,$K53=$L$7)),"x","")</f>
        <v/>
      </c>
      <c r="M53" s="63" t="str">
        <f>IF(AND($J53=$L$7,$B53&lt;'1111'!$N$10),"x","")</f>
        <v/>
      </c>
      <c r="N53" s="63" t="str">
        <f>IF(AND($K53=$L$7,$B53&lt;'1111'!$N$10),"x","")</f>
        <v/>
      </c>
      <c r="O53" s="63" t="str">
        <f>IF(OR(TH!J53=TH!$O$7,K53=TH!$O$7),"x","")</f>
        <v/>
      </c>
      <c r="P53" s="63" t="str">
        <f t="shared" si="4"/>
        <v/>
      </c>
    </row>
    <row r="54" spans="1:16" s="54" customFormat="1" ht="15.75" customHeight="1">
      <c r="A54" s="126" t="str">
        <f>IF(B54&lt;&gt;"",IF(AND(B54&gt;=_TM1,B54&lt;=_TM2,OR(TH!J54="1111",TH!K54="1111")),TH!D54,""),"")</f>
        <v/>
      </c>
      <c r="B54" s="40" t="str">
        <f t="shared" si="3"/>
        <v/>
      </c>
      <c r="C54" s="41"/>
      <c r="D54" s="41"/>
      <c r="E54" s="41"/>
      <c r="F54" s="44"/>
      <c r="G54" s="264"/>
      <c r="H54" s="57"/>
      <c r="I54" s="42"/>
      <c r="J54" s="43"/>
      <c r="K54" s="43"/>
      <c r="L54" s="63" t="str">
        <f>IF(AND($B54&gt;='1111'!$N$10,$B54&lt;='1111'!$O$10,OR($J54=$L$7,$K54=$L$7)),"x","")</f>
        <v/>
      </c>
      <c r="M54" s="63" t="str">
        <f>IF(AND($J54=$L$7,$B54&lt;'1111'!$N$10),"x","")</f>
        <v/>
      </c>
      <c r="N54" s="63" t="str">
        <f>IF(AND($K54=$L$7,$B54&lt;'1111'!$N$10),"x","")</f>
        <v/>
      </c>
      <c r="O54" s="63" t="str">
        <f>IF(OR(TH!J54=TH!$O$7,K54=TH!$O$7),"x","")</f>
        <v/>
      </c>
      <c r="P54" s="63" t="str">
        <f t="shared" si="4"/>
        <v/>
      </c>
    </row>
    <row r="55" spans="1:16" s="54" customFormat="1" ht="15.75" customHeight="1">
      <c r="A55" s="126" t="str">
        <f>IF(B55&lt;&gt;"",IF(AND(B55&gt;=_TM1,B55&lt;=_TM2,OR(TH!J55="1111",TH!K55="1111")),TH!D55,""),"")</f>
        <v/>
      </c>
      <c r="B55" s="40" t="str">
        <f t="shared" si="3"/>
        <v/>
      </c>
      <c r="C55" s="41"/>
      <c r="D55" s="41"/>
      <c r="E55" s="41"/>
      <c r="F55" s="44"/>
      <c r="G55" s="264"/>
      <c r="H55" s="57"/>
      <c r="I55" s="42"/>
      <c r="J55" s="43"/>
      <c r="K55" s="43"/>
      <c r="L55" s="63" t="str">
        <f>IF(AND($B55&gt;='1111'!$N$10,$B55&lt;='1111'!$O$10,OR($J55=$L$7,$K55=$L$7)),"x","")</f>
        <v/>
      </c>
      <c r="M55" s="63" t="str">
        <f>IF(AND($J55=$L$7,$B55&lt;'1111'!$N$10),"x","")</f>
        <v/>
      </c>
      <c r="N55" s="63" t="str">
        <f>IF(AND($K55=$L$7,$B55&lt;'1111'!$N$10),"x","")</f>
        <v/>
      </c>
      <c r="O55" s="63" t="str">
        <f>IF(OR(TH!J55=TH!$O$7,K55=TH!$O$7),"x","")</f>
        <v/>
      </c>
      <c r="P55" s="63" t="str">
        <f t="shared" si="4"/>
        <v/>
      </c>
    </row>
    <row r="56" spans="1:16" s="54" customFormat="1" ht="15.75" customHeight="1">
      <c r="A56" s="126" t="str">
        <f>IF(B56&lt;&gt;"",IF(AND(B56&gt;=_TM1,B56&lt;=_TM2,OR(TH!J56="1111",TH!K56="1111")),TH!D56,""),"")</f>
        <v/>
      </c>
      <c r="B56" s="40" t="str">
        <f t="shared" si="3"/>
        <v/>
      </c>
      <c r="C56" s="41"/>
      <c r="D56" s="41"/>
      <c r="E56" s="41"/>
      <c r="F56" s="44"/>
      <c r="G56" s="264"/>
      <c r="H56" s="57"/>
      <c r="I56" s="42"/>
      <c r="J56" s="43"/>
      <c r="K56" s="43"/>
      <c r="L56" s="63" t="str">
        <f>IF(AND($B56&gt;='1111'!$N$10,$B56&lt;='1111'!$O$10,OR($J56=$L$7,$K56=$L$7)),"x","")</f>
        <v/>
      </c>
      <c r="M56" s="63" t="str">
        <f>IF(AND($J56=$L$7,$B56&lt;'1111'!$N$10),"x","")</f>
        <v/>
      </c>
      <c r="N56" s="63" t="str">
        <f>IF(AND($K56=$L$7,$B56&lt;'1111'!$N$10),"x","")</f>
        <v/>
      </c>
      <c r="O56" s="63" t="str">
        <f>IF(OR(TH!J56=TH!$O$7,K56=TH!$O$7),"x","")</f>
        <v/>
      </c>
      <c r="P56" s="63" t="str">
        <f t="shared" si="4"/>
        <v/>
      </c>
    </row>
    <row r="57" spans="1:16" s="54" customFormat="1" ht="15.75" customHeight="1">
      <c r="A57" s="126" t="str">
        <f>IF(B57&lt;&gt;"",IF(AND(B57&gt;=_TM1,B57&lt;=_TM2,OR(TH!J57="1111",TH!K57="1111")),TH!D57,""),"")</f>
        <v/>
      </c>
      <c r="B57" s="40" t="str">
        <f t="shared" si="3"/>
        <v/>
      </c>
      <c r="C57" s="41"/>
      <c r="D57" s="41"/>
      <c r="E57" s="41"/>
      <c r="F57" s="44"/>
      <c r="G57" s="264"/>
      <c r="H57" s="57"/>
      <c r="I57" s="42"/>
      <c r="J57" s="43"/>
      <c r="K57" s="43"/>
      <c r="L57" s="63" t="str">
        <f>IF(AND($B57&gt;='1111'!$N$10,$B57&lt;='1111'!$O$10,OR($J57=$L$7,$K57=$L$7)),"x","")</f>
        <v/>
      </c>
      <c r="M57" s="63" t="str">
        <f>IF(AND($J57=$L$7,$B57&lt;'1111'!$N$10),"x","")</f>
        <v/>
      </c>
      <c r="N57" s="63" t="str">
        <f>IF(AND($K57=$L$7,$B57&lt;'1111'!$N$10),"x","")</f>
        <v/>
      </c>
      <c r="O57" s="63" t="str">
        <f>IF(OR(TH!J57=TH!$O$7,K57=TH!$O$7),"x","")</f>
        <v/>
      </c>
      <c r="P57" s="63" t="str">
        <f t="shared" si="4"/>
        <v/>
      </c>
    </row>
    <row r="58" spans="1:16" s="54" customFormat="1" ht="15.75" customHeight="1">
      <c r="A58" s="126" t="str">
        <f>IF(B58&lt;&gt;"",IF(AND(B58&gt;=_TM1,B58&lt;=_TM2,OR(TH!J58="1111",TH!K58="1111")),TH!D58,""),"")</f>
        <v/>
      </c>
      <c r="B58" s="40" t="str">
        <f t="shared" si="3"/>
        <v/>
      </c>
      <c r="C58" s="41"/>
      <c r="D58" s="41"/>
      <c r="E58" s="41"/>
      <c r="F58" s="44"/>
      <c r="G58" s="264"/>
      <c r="H58" s="57"/>
      <c r="I58" s="42"/>
      <c r="J58" s="43"/>
      <c r="K58" s="43"/>
      <c r="L58" s="63" t="str">
        <f>IF(AND($B58&gt;='1111'!$N$10,$B58&lt;='1111'!$O$10,OR($J58=$L$7,$K58=$L$7)),"x","")</f>
        <v/>
      </c>
      <c r="M58" s="63" t="str">
        <f>IF(AND($J58=$L$7,$B58&lt;'1111'!$N$10),"x","")</f>
        <v/>
      </c>
      <c r="N58" s="63" t="str">
        <f>IF(AND($K58=$L$7,$B58&lt;'1111'!$N$10),"x","")</f>
        <v/>
      </c>
      <c r="O58" s="63" t="str">
        <f>IF(OR(TH!J58=TH!$O$7,K58=TH!$O$7),"x","")</f>
        <v/>
      </c>
      <c r="P58" s="63" t="str">
        <f t="shared" si="4"/>
        <v/>
      </c>
    </row>
    <row r="59" spans="1:16" s="54" customFormat="1" ht="15.75" customHeight="1">
      <c r="A59" s="126" t="str">
        <f>IF(B59&lt;&gt;"",IF(AND(B59&gt;=_TM1,B59&lt;=_TM2,OR(TH!J59="1111",TH!K59="1111")),TH!D59,""),"")</f>
        <v/>
      </c>
      <c r="B59" s="40" t="str">
        <f t="shared" si="3"/>
        <v/>
      </c>
      <c r="C59" s="41"/>
      <c r="D59" s="41"/>
      <c r="E59" s="41"/>
      <c r="F59" s="44"/>
      <c r="G59" s="264"/>
      <c r="H59" s="57"/>
      <c r="I59" s="42"/>
      <c r="J59" s="43"/>
      <c r="K59" s="43"/>
      <c r="L59" s="63" t="str">
        <f>IF(AND($B59&gt;='1111'!$N$10,$B59&lt;='1111'!$O$10,OR($J59=$L$7,$K59=$L$7)),"x","")</f>
        <v/>
      </c>
      <c r="M59" s="63" t="str">
        <f>IF(AND($J59=$L$7,$B59&lt;'1111'!$N$10),"x","")</f>
        <v/>
      </c>
      <c r="N59" s="63" t="str">
        <f>IF(AND($K59=$L$7,$B59&lt;'1111'!$N$10),"x","")</f>
        <v/>
      </c>
      <c r="O59" s="63" t="str">
        <f>IF(OR(TH!J59=TH!$O$7,K59=TH!$O$7),"x","")</f>
        <v/>
      </c>
      <c r="P59" s="63" t="str">
        <f t="shared" si="4"/>
        <v/>
      </c>
    </row>
    <row r="60" spans="1:16" s="54" customFormat="1" ht="15.75" customHeight="1">
      <c r="A60" s="126" t="str">
        <f>IF(B60&lt;&gt;"",IF(AND(B60&gt;=_TM1,B60&lt;=_TM2,OR(TH!J60="1111",TH!K60="1111")),TH!D60,""),"")</f>
        <v/>
      </c>
      <c r="B60" s="40" t="str">
        <f t="shared" si="3"/>
        <v/>
      </c>
      <c r="C60" s="41"/>
      <c r="D60" s="41"/>
      <c r="E60" s="41"/>
      <c r="F60" s="44"/>
      <c r="G60" s="264"/>
      <c r="H60" s="57"/>
      <c r="I60" s="42"/>
      <c r="J60" s="43"/>
      <c r="K60" s="43"/>
      <c r="L60" s="63" t="str">
        <f>IF(AND($B60&gt;='1111'!$N$10,$B60&lt;='1111'!$O$10,OR($J60=$L$7,$K60=$L$7)),"x","")</f>
        <v/>
      </c>
      <c r="M60" s="63" t="str">
        <f>IF(AND($J60=$L$7,$B60&lt;'1111'!$N$10),"x","")</f>
        <v/>
      </c>
      <c r="N60" s="63" t="str">
        <f>IF(AND($K60=$L$7,$B60&lt;'1111'!$N$10),"x","")</f>
        <v/>
      </c>
      <c r="O60" s="63" t="str">
        <f>IF(OR(TH!J60=TH!$O$7,K60=TH!$O$7),"x","")</f>
        <v/>
      </c>
      <c r="P60" s="63" t="str">
        <f t="shared" si="4"/>
        <v/>
      </c>
    </row>
    <row r="61" spans="1:16" s="54" customFormat="1" ht="15.75" customHeight="1">
      <c r="A61" s="126" t="str">
        <f>IF(B61&lt;&gt;"",IF(AND(B61&gt;=_TM1,B61&lt;=_TM2,OR(TH!J61="1111",TH!K61="1111")),TH!D61,""),"")</f>
        <v/>
      </c>
      <c r="B61" s="40" t="str">
        <f t="shared" si="3"/>
        <v/>
      </c>
      <c r="C61" s="41"/>
      <c r="D61" s="41"/>
      <c r="E61" s="41"/>
      <c r="F61" s="44"/>
      <c r="G61" s="264"/>
      <c r="H61" s="57"/>
      <c r="I61" s="42"/>
      <c r="J61" s="43"/>
      <c r="K61" s="43"/>
      <c r="L61" s="63" t="str">
        <f>IF(AND($B61&gt;='1111'!$N$10,$B61&lt;='1111'!$O$10,OR($J61=$L$7,$K61=$L$7)),"x","")</f>
        <v/>
      </c>
      <c r="M61" s="63" t="str">
        <f>IF(AND($J61=$L$7,$B61&lt;'1111'!$N$10),"x","")</f>
        <v/>
      </c>
      <c r="N61" s="63" t="str">
        <f>IF(AND($K61=$L$7,$B61&lt;'1111'!$N$10),"x","")</f>
        <v/>
      </c>
      <c r="O61" s="63" t="str">
        <f>IF(OR(TH!J61=TH!$O$7,K61=TH!$O$7),"x","")</f>
        <v/>
      </c>
      <c r="P61" s="63" t="str">
        <f t="shared" si="4"/>
        <v/>
      </c>
    </row>
    <row r="62" spans="1:16" s="54" customFormat="1" ht="15.75" customHeight="1">
      <c r="A62" s="126" t="str">
        <f>IF(B62&lt;&gt;"",IF(AND(B62&gt;=_TM1,B62&lt;=_TM2,OR(TH!J62="1111",TH!K62="1111")),TH!D62,""),"")</f>
        <v/>
      </c>
      <c r="B62" s="40" t="str">
        <f t="shared" si="3"/>
        <v/>
      </c>
      <c r="C62" s="41"/>
      <c r="D62" s="41"/>
      <c r="E62" s="41"/>
      <c r="F62" s="44"/>
      <c r="G62" s="264"/>
      <c r="H62" s="57"/>
      <c r="I62" s="42"/>
      <c r="J62" s="43"/>
      <c r="K62" s="43"/>
      <c r="L62" s="63" t="str">
        <f>IF(AND($B62&gt;='1111'!$N$10,$B62&lt;='1111'!$O$10,OR($J62=$L$7,$K62=$L$7)),"x","")</f>
        <v/>
      </c>
      <c r="M62" s="63" t="str">
        <f>IF(AND($J62=$L$7,$B62&lt;'1111'!$N$10),"x","")</f>
        <v/>
      </c>
      <c r="N62" s="63" t="str">
        <f>IF(AND($K62=$L$7,$B62&lt;'1111'!$N$10),"x","")</f>
        <v/>
      </c>
      <c r="O62" s="63" t="str">
        <f>IF(OR(TH!J62=TH!$O$7,K62=TH!$O$7),"x","")</f>
        <v/>
      </c>
      <c r="P62" s="63" t="str">
        <f t="shared" si="4"/>
        <v/>
      </c>
    </row>
    <row r="63" spans="1:16" s="54" customFormat="1" ht="15.75" customHeight="1">
      <c r="A63" s="126" t="str">
        <f>IF(B63&lt;&gt;"",IF(AND(B63&gt;=_TM1,B63&lt;=_TM2,OR(TH!J63="1111",TH!K63="1111")),TH!D63,""),"")</f>
        <v/>
      </c>
      <c r="B63" s="40" t="str">
        <f t="shared" si="3"/>
        <v/>
      </c>
      <c r="C63" s="53"/>
      <c r="D63" s="41"/>
      <c r="E63" s="41"/>
      <c r="F63" s="44"/>
      <c r="G63" s="264"/>
      <c r="H63" s="57"/>
      <c r="I63" s="42"/>
      <c r="J63" s="43"/>
      <c r="K63" s="43"/>
      <c r="L63" s="63" t="str">
        <f>IF(AND($B63&gt;='1111'!$N$10,$B63&lt;='1111'!$O$10,OR($J63=$L$7,$K63=$L$7)),"x","")</f>
        <v/>
      </c>
      <c r="M63" s="63" t="str">
        <f>IF(AND($J63=$L$7,$B63&lt;'1111'!$N$10),"x","")</f>
        <v/>
      </c>
      <c r="N63" s="63" t="str">
        <f>IF(AND($K63=$L$7,$B63&lt;'1111'!$N$10),"x","")</f>
        <v/>
      </c>
      <c r="O63" s="63" t="str">
        <f>IF(OR(TH!J63=TH!$O$7,K63=TH!$O$7),"x","")</f>
        <v/>
      </c>
      <c r="P63" s="63" t="str">
        <f t="shared" si="4"/>
        <v/>
      </c>
    </row>
    <row r="64" spans="1:16" s="54" customFormat="1" ht="15.75" customHeight="1">
      <c r="A64" s="126" t="str">
        <f>IF(B64&lt;&gt;"",IF(AND(B64&gt;=_TM1,B64&lt;=_TM2,OR(TH!J64="1111",TH!K64="1111")),TH!D64,""),"")</f>
        <v/>
      </c>
      <c r="B64" s="40" t="str">
        <f t="shared" si="3"/>
        <v/>
      </c>
      <c r="C64" s="53"/>
      <c r="D64" s="41"/>
      <c r="E64" s="41"/>
      <c r="F64" s="44"/>
      <c r="G64" s="264"/>
      <c r="H64" s="57"/>
      <c r="I64" s="42"/>
      <c r="J64" s="43"/>
      <c r="K64" s="43"/>
      <c r="L64" s="63" t="str">
        <f>IF(AND($B64&gt;='1111'!$N$10,$B64&lt;='1111'!$O$10,OR($J64=$L$7,$K64=$L$7)),"x","")</f>
        <v/>
      </c>
      <c r="M64" s="63" t="str">
        <f>IF(AND($J64=$L$7,$B64&lt;'1111'!$N$10),"x","")</f>
        <v/>
      </c>
      <c r="N64" s="63" t="str">
        <f>IF(AND($K64=$L$7,$B64&lt;'1111'!$N$10),"x","")</f>
        <v/>
      </c>
      <c r="O64" s="63" t="str">
        <f>IF(OR(TH!J64=TH!$O$7,K64=TH!$O$7),"x","")</f>
        <v/>
      </c>
      <c r="P64" s="63" t="str">
        <f t="shared" si="4"/>
        <v/>
      </c>
    </row>
    <row r="65" spans="1:16" s="54" customFormat="1" ht="15.75" customHeight="1">
      <c r="A65" s="126" t="str">
        <f>IF(B65&lt;&gt;"",IF(AND(B65&gt;=_TM1,B65&lt;=_TM2,OR(TH!J65="1111",TH!K65="1111")),TH!D65,""),"")</f>
        <v/>
      </c>
      <c r="B65" s="40" t="str">
        <f t="shared" si="3"/>
        <v/>
      </c>
      <c r="C65" s="53"/>
      <c r="D65" s="41"/>
      <c r="E65" s="41"/>
      <c r="F65" s="44"/>
      <c r="G65" s="264"/>
      <c r="H65" s="57"/>
      <c r="I65" s="42"/>
      <c r="J65" s="45"/>
      <c r="K65" s="43"/>
      <c r="L65" s="63" t="str">
        <f>IF(AND($B65&gt;='1111'!$N$10,$B65&lt;='1111'!$O$10,OR($J65=$L$7,$K65=$L$7)),"x","")</f>
        <v/>
      </c>
      <c r="M65" s="63" t="str">
        <f>IF(AND($J65=$L$7,$B65&lt;'1111'!$N$10),"x","")</f>
        <v/>
      </c>
      <c r="N65" s="63" t="str">
        <f>IF(AND($K65=$L$7,$B65&lt;'1111'!$N$10),"x","")</f>
        <v/>
      </c>
      <c r="O65" s="63" t="str">
        <f>IF(OR(TH!J65=TH!$O$7,K65=TH!$O$7),"x","")</f>
        <v/>
      </c>
      <c r="P65" s="63" t="str">
        <f t="shared" si="4"/>
        <v/>
      </c>
    </row>
    <row r="66" spans="1:16" s="54" customFormat="1" ht="15.75" customHeight="1">
      <c r="A66" s="126" t="str">
        <f>IF(B66&lt;&gt;"",IF(AND(B66&gt;=_TM1,B66&lt;=_TM2,OR(TH!J66="1111",TH!K66="1111")),TH!D66,""),"")</f>
        <v/>
      </c>
      <c r="B66" s="40" t="str">
        <f t="shared" si="3"/>
        <v/>
      </c>
      <c r="C66" s="41"/>
      <c r="D66" s="41"/>
      <c r="E66" s="41"/>
      <c r="F66" s="44"/>
      <c r="G66" s="264"/>
      <c r="H66" s="57"/>
      <c r="I66" s="42"/>
      <c r="J66" s="43"/>
      <c r="K66" s="43"/>
      <c r="L66" s="63" t="str">
        <f>IF(AND($B66&gt;='1111'!$N$10,$B66&lt;='1111'!$O$10,OR($J66=$L$7,$K66=$L$7)),"x","")</f>
        <v/>
      </c>
      <c r="M66" s="63" t="str">
        <f>IF(AND($J66=$L$7,$B66&lt;'1111'!$N$10),"x","")</f>
        <v/>
      </c>
      <c r="N66" s="63" t="str">
        <f>IF(AND($K66=$L$7,$B66&lt;'1111'!$N$10),"x","")</f>
        <v/>
      </c>
      <c r="O66" s="63" t="str">
        <f>IF(OR(TH!J66=TH!$O$7,K66=TH!$O$7),"x","")</f>
        <v/>
      </c>
      <c r="P66" s="63" t="str">
        <f t="shared" si="4"/>
        <v/>
      </c>
    </row>
    <row r="67" spans="1:16" s="54" customFormat="1" ht="15.75" customHeight="1">
      <c r="A67" s="126" t="str">
        <f>IF(B67&lt;&gt;"",IF(AND(B67&gt;=_TM1,B67&lt;=_TM2,OR(TH!J67="1111",TH!K67="1111")),TH!D67,""),"")</f>
        <v/>
      </c>
      <c r="B67" s="40" t="str">
        <f t="shared" si="3"/>
        <v/>
      </c>
      <c r="C67" s="41"/>
      <c r="D67" s="41"/>
      <c r="E67" s="41"/>
      <c r="F67" s="44"/>
      <c r="G67" s="264"/>
      <c r="H67" s="57"/>
      <c r="I67" s="42"/>
      <c r="J67" s="43"/>
      <c r="K67" s="43"/>
      <c r="L67" s="63" t="str">
        <f>IF(AND($B67&gt;='1111'!$N$10,$B67&lt;='1111'!$O$10,OR($J67=$L$7,$K67=$L$7)),"x","")</f>
        <v/>
      </c>
      <c r="M67" s="63" t="str">
        <f>IF(AND($J67=$L$7,$B67&lt;'1111'!$N$10),"x","")</f>
        <v/>
      </c>
      <c r="N67" s="63" t="str">
        <f>IF(AND($K67=$L$7,$B67&lt;'1111'!$N$10),"x","")</f>
        <v/>
      </c>
      <c r="O67" s="63" t="str">
        <f>IF(OR(TH!J67=TH!$O$7,K67=TH!$O$7),"x","")</f>
        <v/>
      </c>
      <c r="P67" s="63" t="str">
        <f t="shared" si="4"/>
        <v/>
      </c>
    </row>
    <row r="68" spans="1:16" s="54" customFormat="1" ht="15.75" customHeight="1">
      <c r="A68" s="126" t="str">
        <f>IF(B68&lt;&gt;"",IF(AND(B68&gt;=_TM1,B68&lt;=_TM2,OR(TH!J68="1111",TH!K68="1111")),TH!D68,""),"")</f>
        <v/>
      </c>
      <c r="B68" s="40" t="str">
        <f t="shared" si="3"/>
        <v/>
      </c>
      <c r="C68" s="53"/>
      <c r="D68" s="41"/>
      <c r="E68" s="41"/>
      <c r="F68" s="44"/>
      <c r="G68" s="264"/>
      <c r="H68" s="57"/>
      <c r="I68" s="42"/>
      <c r="J68" s="45"/>
      <c r="K68" s="43"/>
      <c r="L68" s="63" t="str">
        <f>IF(AND($B68&gt;='1111'!$N$10,$B68&lt;='1111'!$O$10,OR($J68=$L$7,$K68=$L$7)),"x","")</f>
        <v/>
      </c>
      <c r="M68" s="63" t="str">
        <f>IF(AND($J68=$L$7,$B68&lt;'1111'!$N$10),"x","")</f>
        <v/>
      </c>
      <c r="N68" s="63" t="str">
        <f>IF(AND($K68=$L$7,$B68&lt;'1111'!$N$10),"x","")</f>
        <v/>
      </c>
      <c r="O68" s="63" t="str">
        <f>IF(OR(TH!J68=TH!$O$7,K68=TH!$O$7),"x","")</f>
        <v/>
      </c>
      <c r="P68" s="63" t="str">
        <f t="shared" si="4"/>
        <v/>
      </c>
    </row>
    <row r="69" spans="1:16" s="54" customFormat="1" ht="15.75" customHeight="1">
      <c r="A69" s="126" t="str">
        <f>IF(B69&lt;&gt;"",IF(AND(B69&gt;=_TM1,B69&lt;=_TM2,OR(TH!J69="1111",TH!K69="1111")),TH!D69,""),"")</f>
        <v/>
      </c>
      <c r="B69" s="40" t="str">
        <f t="shared" si="3"/>
        <v/>
      </c>
      <c r="C69" s="53"/>
      <c r="D69" s="41"/>
      <c r="E69" s="41"/>
      <c r="F69" s="44"/>
      <c r="G69" s="264"/>
      <c r="H69" s="57"/>
      <c r="I69" s="42"/>
      <c r="J69" s="45"/>
      <c r="K69" s="43"/>
      <c r="L69" s="63" t="str">
        <f>IF(AND($B69&gt;='1111'!$N$10,$B69&lt;='1111'!$O$10,OR($J69=$L$7,$K69=$L$7)),"x","")</f>
        <v/>
      </c>
      <c r="M69" s="63" t="str">
        <f>IF(AND($J69=$L$7,$B69&lt;'1111'!$N$10),"x","")</f>
        <v/>
      </c>
      <c r="N69" s="63" t="str">
        <f>IF(AND($K69=$L$7,$B69&lt;'1111'!$N$10),"x","")</f>
        <v/>
      </c>
      <c r="O69" s="63" t="str">
        <f>IF(OR(TH!J69=TH!$O$7,K69=TH!$O$7),"x","")</f>
        <v/>
      </c>
      <c r="P69" s="63" t="str">
        <f t="shared" si="4"/>
        <v/>
      </c>
    </row>
    <row r="70" spans="1:16" s="54" customFormat="1" ht="15.75" customHeight="1">
      <c r="A70" s="126" t="str">
        <f>IF(B70&lt;&gt;"",IF(AND(B70&gt;=_TM1,B70&lt;=_TM2,OR(TH!J70="1111",TH!K70="1111")),TH!D70,""),"")</f>
        <v/>
      </c>
      <c r="B70" s="40" t="str">
        <f t="shared" si="3"/>
        <v/>
      </c>
      <c r="C70" s="41"/>
      <c r="D70" s="41"/>
      <c r="E70" s="41"/>
      <c r="F70" s="44"/>
      <c r="G70" s="264"/>
      <c r="H70" s="57"/>
      <c r="I70" s="42"/>
      <c r="J70" s="43"/>
      <c r="K70" s="43"/>
      <c r="L70" s="63" t="str">
        <f>IF(AND($B70&gt;='1111'!$N$10,$B70&lt;='1111'!$O$10,OR($J70=$L$7,$K70=$L$7)),"x","")</f>
        <v/>
      </c>
      <c r="M70" s="63" t="str">
        <f>IF(AND($J70=$L$7,$B70&lt;'1111'!$N$10),"x","")</f>
        <v/>
      </c>
      <c r="N70" s="63" t="str">
        <f>IF(AND($K70=$L$7,$B70&lt;'1111'!$N$10),"x","")</f>
        <v/>
      </c>
      <c r="O70" s="63" t="str">
        <f>IF(OR(TH!J70=TH!$O$7,K70=TH!$O$7),"x","")</f>
        <v/>
      </c>
      <c r="P70" s="63" t="str">
        <f t="shared" si="4"/>
        <v/>
      </c>
    </row>
    <row r="71" spans="1:16" s="54" customFormat="1" ht="15.75" customHeight="1">
      <c r="A71" s="126" t="str">
        <f>IF(B71&lt;&gt;"",IF(AND(B71&gt;=_TM1,B71&lt;=_TM2,OR(TH!J71="1111",TH!K71="1111")),TH!D71,""),"")</f>
        <v/>
      </c>
      <c r="B71" s="40" t="str">
        <f t="shared" si="3"/>
        <v/>
      </c>
      <c r="C71" s="41"/>
      <c r="D71" s="41"/>
      <c r="E71" s="41"/>
      <c r="F71" s="44"/>
      <c r="G71" s="264"/>
      <c r="H71" s="57"/>
      <c r="I71" s="42"/>
      <c r="J71" s="43"/>
      <c r="K71" s="43"/>
      <c r="L71" s="63" t="str">
        <f>IF(AND($B71&gt;='1111'!$N$10,$B71&lt;='1111'!$O$10,OR($J71=$L$7,$K71=$L$7)),"x","")</f>
        <v/>
      </c>
      <c r="M71" s="63" t="str">
        <f>IF(AND($J71=$L$7,$B71&lt;'1111'!$N$10),"x","")</f>
        <v/>
      </c>
      <c r="N71" s="63" t="str">
        <f>IF(AND($K71=$L$7,$B71&lt;'1111'!$N$10),"x","")</f>
        <v/>
      </c>
      <c r="O71" s="63" t="str">
        <f>IF(OR(TH!J71=TH!$O$7,K71=TH!$O$7),"x","")</f>
        <v/>
      </c>
      <c r="P71" s="63" t="str">
        <f t="shared" si="4"/>
        <v/>
      </c>
    </row>
    <row r="72" spans="1:16" s="54" customFormat="1" ht="15.75" customHeight="1">
      <c r="A72" s="126" t="str">
        <f>IF(B72&lt;&gt;"",IF(AND(B72&gt;=_TM1,B72&lt;=_TM2,OR(TH!J72="1111",TH!K72="1111")),TH!D72,""),"")</f>
        <v/>
      </c>
      <c r="B72" s="40" t="str">
        <f t="shared" si="3"/>
        <v/>
      </c>
      <c r="C72" s="41"/>
      <c r="D72" s="41"/>
      <c r="E72" s="41"/>
      <c r="F72" s="44"/>
      <c r="G72" s="273"/>
      <c r="H72" s="57"/>
      <c r="I72" s="42"/>
      <c r="J72" s="43"/>
      <c r="K72" s="43"/>
      <c r="L72" s="63" t="str">
        <f>IF(AND($B72&gt;='1111'!$N$10,$B72&lt;='1111'!$O$10,OR($J72=$L$7,$K72=$L$7)),"x","")</f>
        <v/>
      </c>
      <c r="M72" s="63" t="str">
        <f>IF(AND($J72=$L$7,$B72&lt;'1111'!$N$10),"x","")</f>
        <v/>
      </c>
      <c r="N72" s="63" t="str">
        <f>IF(AND($K72=$L$7,$B72&lt;'1111'!$N$10),"x","")</f>
        <v/>
      </c>
      <c r="O72" s="63" t="str">
        <f>IF(OR(TH!J72=TH!$O$7,K72=TH!$O$7),"x","")</f>
        <v/>
      </c>
      <c r="P72" s="63" t="str">
        <f t="shared" si="4"/>
        <v/>
      </c>
    </row>
    <row r="73" spans="1:16" s="54" customFormat="1" ht="15.75" customHeight="1">
      <c r="A73" s="126" t="str">
        <f>IF(B73&lt;&gt;"",IF(AND(B73&gt;=_TM1,B73&lt;=_TM2,OR(TH!J73="1111",TH!K73="1111")),TH!D73,""),"")</f>
        <v/>
      </c>
      <c r="B73" s="40" t="str">
        <f t="shared" si="3"/>
        <v/>
      </c>
      <c r="C73" s="41"/>
      <c r="D73" s="41"/>
      <c r="E73" s="41"/>
      <c r="F73" s="44"/>
      <c r="G73" s="273"/>
      <c r="H73" s="57"/>
      <c r="I73" s="42"/>
      <c r="J73" s="43"/>
      <c r="K73" s="43"/>
      <c r="L73" s="63" t="str">
        <f>IF(AND($B73&gt;='1111'!$N$10,$B73&lt;='1111'!$O$10,OR($J73=$L$7,$K73=$L$7)),"x","")</f>
        <v/>
      </c>
      <c r="M73" s="63" t="str">
        <f>IF(AND($J73=$L$7,$B73&lt;'1111'!$N$10),"x","")</f>
        <v/>
      </c>
      <c r="N73" s="63" t="str">
        <f>IF(AND($K73=$L$7,$B73&lt;'1111'!$N$10),"x","")</f>
        <v/>
      </c>
      <c r="O73" s="63" t="str">
        <f>IF(OR(TH!J73=TH!$O$7,K73=TH!$O$7),"x","")</f>
        <v/>
      </c>
      <c r="P73" s="63" t="str">
        <f t="shared" si="4"/>
        <v/>
      </c>
    </row>
    <row r="74" spans="1:16" s="54" customFormat="1" ht="15.75" customHeight="1">
      <c r="A74" s="126" t="str">
        <f>IF(B74&lt;&gt;"",IF(AND(B74&gt;=_TM1,B74&lt;=_TM2,OR(TH!J74="1111",TH!K74="1111")),TH!D74,""),"")</f>
        <v/>
      </c>
      <c r="B74" s="40" t="str">
        <f t="shared" si="3"/>
        <v/>
      </c>
      <c r="C74" s="53"/>
      <c r="D74" s="41"/>
      <c r="E74" s="41"/>
      <c r="F74" s="44"/>
      <c r="G74" s="264"/>
      <c r="H74" s="57"/>
      <c r="I74" s="42"/>
      <c r="J74" s="45"/>
      <c r="K74" s="43"/>
      <c r="L74" s="63" t="str">
        <f>IF(AND($B74&gt;='1111'!$N$10,$B74&lt;='1111'!$O$10,OR($J74=$L$7,$K74=$L$7)),"x","")</f>
        <v/>
      </c>
      <c r="M74" s="63" t="str">
        <f>IF(AND($J74=$L$7,$B74&lt;'1111'!$N$10),"x","")</f>
        <v/>
      </c>
      <c r="N74" s="63" t="str">
        <f>IF(AND($K74=$L$7,$B74&lt;'1111'!$N$10),"x","")</f>
        <v/>
      </c>
      <c r="O74" s="63" t="str">
        <f>IF(OR(TH!J74=TH!$O$7,K74=TH!$O$7),"x","")</f>
        <v/>
      </c>
      <c r="P74" s="63" t="str">
        <f t="shared" si="4"/>
        <v/>
      </c>
    </row>
    <row r="75" spans="1:16" s="54" customFormat="1" ht="15.75" customHeight="1">
      <c r="A75" s="126" t="str">
        <f>IF(B75&lt;&gt;"",IF(AND(B75&gt;=_TM1,B75&lt;=_TM2,OR(TH!J75="1111",TH!K75="1111")),TH!D75,""),"")</f>
        <v/>
      </c>
      <c r="B75" s="40" t="str">
        <f t="shared" si="3"/>
        <v/>
      </c>
      <c r="C75" s="41"/>
      <c r="D75" s="41"/>
      <c r="E75" s="41"/>
      <c r="F75" s="44"/>
      <c r="G75" s="264"/>
      <c r="H75" s="57"/>
      <c r="I75" s="42"/>
      <c r="J75" s="43"/>
      <c r="K75" s="43"/>
      <c r="L75" s="63" t="str">
        <f>IF(AND($B75&gt;='1111'!$N$10,$B75&lt;='1111'!$O$10,OR($J75=$L$7,$K75=$L$7)),"x","")</f>
        <v/>
      </c>
      <c r="M75" s="63" t="str">
        <f>IF(AND($J75=$L$7,$B75&lt;'1111'!$N$10),"x","")</f>
        <v/>
      </c>
      <c r="N75" s="63" t="str">
        <f>IF(AND($K75=$L$7,$B75&lt;'1111'!$N$10),"x","")</f>
        <v/>
      </c>
      <c r="O75" s="63" t="str">
        <f>IF(OR(TH!J75=TH!$O$7,K75=TH!$O$7),"x","")</f>
        <v/>
      </c>
      <c r="P75" s="63" t="str">
        <f t="shared" si="4"/>
        <v/>
      </c>
    </row>
    <row r="76" spans="1:16" s="54" customFormat="1" ht="15.75" customHeight="1">
      <c r="A76" s="126" t="str">
        <f>IF(B76&lt;&gt;"",IF(AND(B76&gt;=_TM1,B76&lt;=_TM2,OR(TH!J76="1111",TH!K76="1111")),TH!D76,""),"")</f>
        <v/>
      </c>
      <c r="B76" s="40" t="str">
        <f t="shared" si="3"/>
        <v/>
      </c>
      <c r="C76" s="41"/>
      <c r="D76" s="41"/>
      <c r="E76" s="41"/>
      <c r="F76" s="44"/>
      <c r="G76" s="264"/>
      <c r="H76" s="57"/>
      <c r="I76" s="42"/>
      <c r="J76" s="43"/>
      <c r="K76" s="43"/>
      <c r="L76" s="63" t="str">
        <f>IF(AND($B76&gt;='1111'!$N$10,$B76&lt;='1111'!$O$10,OR($J76=$L$7,$K76=$L$7)),"x","")</f>
        <v/>
      </c>
      <c r="M76" s="63" t="str">
        <f>IF(AND($J76=$L$7,$B76&lt;'1111'!$N$10),"x","")</f>
        <v/>
      </c>
      <c r="N76" s="63" t="str">
        <f>IF(AND($K76=$L$7,$B76&lt;'1111'!$N$10),"x","")</f>
        <v/>
      </c>
      <c r="O76" s="63" t="str">
        <f>IF(OR(TH!J76=TH!$O$7,K76=TH!$O$7),"x","")</f>
        <v/>
      </c>
      <c r="P76" s="63" t="str">
        <f t="shared" si="4"/>
        <v/>
      </c>
    </row>
    <row r="77" spans="1:16" s="54" customFormat="1" ht="15.75" customHeight="1">
      <c r="A77" s="126" t="str">
        <f>IF(B77&lt;&gt;"",IF(AND(B77&gt;=_TM1,B77&lt;=_TM2,OR(TH!J77="1111",TH!K77="1111")),TH!D77,""),"")</f>
        <v/>
      </c>
      <c r="B77" s="40" t="str">
        <f t="shared" si="3"/>
        <v/>
      </c>
      <c r="C77" s="41"/>
      <c r="D77" s="41"/>
      <c r="E77" s="41"/>
      <c r="F77" s="44"/>
      <c r="G77" s="273"/>
      <c r="H77" s="57"/>
      <c r="I77" s="42"/>
      <c r="J77" s="43"/>
      <c r="K77" s="43"/>
      <c r="L77" s="63" t="str">
        <f>IF(AND($B77&gt;='1111'!$N$10,$B77&lt;='1111'!$O$10,OR($J77=$L$7,$K77=$L$7)),"x","")</f>
        <v/>
      </c>
      <c r="M77" s="63" t="str">
        <f>IF(AND($J77=$L$7,$B77&lt;'1111'!$N$10),"x","")</f>
        <v/>
      </c>
      <c r="N77" s="63" t="str">
        <f>IF(AND($K77=$L$7,$B77&lt;'1111'!$N$10),"x","")</f>
        <v/>
      </c>
      <c r="O77" s="63" t="str">
        <f>IF(OR(TH!J77=TH!$O$7,K77=TH!$O$7),"x","")</f>
        <v/>
      </c>
      <c r="P77" s="63" t="str">
        <f t="shared" si="4"/>
        <v/>
      </c>
    </row>
    <row r="78" spans="1:16" s="54" customFormat="1" ht="15.75" customHeight="1">
      <c r="A78" s="126" t="str">
        <f>IF(B78&lt;&gt;"",IF(AND(B78&gt;=_TM1,B78&lt;=_TM2,OR(TH!J78="1111",TH!K78="1111")),TH!D78,""),"")</f>
        <v/>
      </c>
      <c r="B78" s="40" t="str">
        <f t="shared" si="3"/>
        <v/>
      </c>
      <c r="C78" s="41"/>
      <c r="D78" s="41"/>
      <c r="E78" s="41"/>
      <c r="F78" s="44"/>
      <c r="G78" s="273"/>
      <c r="H78" s="57"/>
      <c r="I78" s="42"/>
      <c r="J78" s="43"/>
      <c r="K78" s="43"/>
      <c r="L78" s="63" t="str">
        <f>IF(AND($B78&gt;='1111'!$N$10,$B78&lt;='1111'!$O$10,OR($J78=$L$7,$K78=$L$7)),"x","")</f>
        <v/>
      </c>
      <c r="M78" s="63" t="str">
        <f>IF(AND($J78=$L$7,$B78&lt;'1111'!$N$10),"x","")</f>
        <v/>
      </c>
      <c r="N78" s="63" t="str">
        <f>IF(AND($K78=$L$7,$B78&lt;'1111'!$N$10),"x","")</f>
        <v/>
      </c>
      <c r="O78" s="63" t="str">
        <f>IF(OR(TH!J78=TH!$O$7,K78=TH!$O$7),"x","")</f>
        <v/>
      </c>
      <c r="P78" s="63" t="str">
        <f t="shared" si="4"/>
        <v/>
      </c>
    </row>
    <row r="79" spans="1:16" s="54" customFormat="1" ht="15.75" customHeight="1">
      <c r="A79" s="126" t="str">
        <f>IF(B79&lt;&gt;"",IF(AND(B79&gt;=_TM1,B79&lt;=_TM2,OR(TH!J79="1111",TH!K79="1111")),TH!D79,""),"")</f>
        <v/>
      </c>
      <c r="B79" s="40" t="str">
        <f t="shared" ref="B79:B99" si="5">IF(C79&lt;&gt;"",MONTH(C79),"")</f>
        <v/>
      </c>
      <c r="C79" s="41"/>
      <c r="D79" s="41"/>
      <c r="E79" s="41"/>
      <c r="F79" s="44"/>
      <c r="G79" s="273"/>
      <c r="H79" s="57"/>
      <c r="I79" s="42"/>
      <c r="J79" s="43"/>
      <c r="K79" s="43"/>
      <c r="L79" s="63" t="str">
        <f>IF(AND($B79&gt;='1111'!$N$10,$B79&lt;='1111'!$O$10,OR($J79=$L$7,$K79=$L$7)),"x","")</f>
        <v/>
      </c>
      <c r="M79" s="63" t="str">
        <f>IF(AND($J79=$L$7,$B79&lt;'1111'!$N$10),"x","")</f>
        <v/>
      </c>
      <c r="N79" s="63" t="str">
        <f>IF(AND($K79=$L$7,$B79&lt;'1111'!$N$10),"x","")</f>
        <v/>
      </c>
      <c r="O79" s="63" t="str">
        <f>IF(OR(TH!J79=TH!$O$7,K79=TH!$O$7),"x","")</f>
        <v/>
      </c>
      <c r="P79" s="63" t="str">
        <f t="shared" si="4"/>
        <v/>
      </c>
    </row>
    <row r="80" spans="1:16" s="54" customFormat="1" ht="15.75" customHeight="1">
      <c r="A80" s="126" t="str">
        <f>IF(B80&lt;&gt;"",IF(AND(B80&gt;=_TM1,B80&lt;=_TM2,OR(TH!J80="1111",TH!K80="1111")),TH!D80,""),"")</f>
        <v/>
      </c>
      <c r="B80" s="40" t="str">
        <f t="shared" si="5"/>
        <v/>
      </c>
      <c r="C80" s="41"/>
      <c r="D80" s="41"/>
      <c r="E80" s="41"/>
      <c r="F80" s="44"/>
      <c r="G80" s="273"/>
      <c r="H80" s="57"/>
      <c r="I80" s="42"/>
      <c r="J80" s="43"/>
      <c r="K80" s="43"/>
      <c r="L80" s="63" t="str">
        <f>IF(AND($B80&gt;='1111'!$N$10,$B80&lt;='1111'!$O$10,OR($J80=$L$7,$K80=$L$7)),"x","")</f>
        <v/>
      </c>
      <c r="M80" s="63" t="str">
        <f>IF(AND($J80=$L$7,$B80&lt;'1111'!$N$10),"x","")</f>
        <v/>
      </c>
      <c r="N80" s="63" t="str">
        <f>IF(AND($K80=$L$7,$B80&lt;'1111'!$N$10),"x","")</f>
        <v/>
      </c>
      <c r="O80" s="63" t="str">
        <f>IF(OR(TH!J80=TH!$O$7,K80=TH!$O$7),"x","")</f>
        <v/>
      </c>
      <c r="P80" s="63" t="str">
        <f t="shared" si="4"/>
        <v/>
      </c>
    </row>
    <row r="81" spans="1:16" s="54" customFormat="1" ht="15.75" customHeight="1">
      <c r="A81" s="126" t="str">
        <f>IF(B81&lt;&gt;"",IF(AND(B81&gt;=_TM1,B81&lt;=_TM2,OR(TH!J81="1111",TH!K81="1111")),TH!D81,""),"")</f>
        <v/>
      </c>
      <c r="B81" s="40" t="str">
        <f t="shared" si="5"/>
        <v/>
      </c>
      <c r="C81" s="53"/>
      <c r="D81" s="41"/>
      <c r="E81" s="41"/>
      <c r="F81" s="44"/>
      <c r="G81" s="264"/>
      <c r="H81" s="57"/>
      <c r="I81" s="42"/>
      <c r="J81" s="45"/>
      <c r="K81" s="43"/>
      <c r="L81" s="63" t="str">
        <f>IF(AND($B81&gt;='1111'!$N$10,$B81&lt;='1111'!$O$10,OR($J81=$L$7,$K81=$L$7)),"x","")</f>
        <v/>
      </c>
      <c r="M81" s="63" t="str">
        <f>IF(AND($J81=$L$7,$B81&lt;'1111'!$N$10),"x","")</f>
        <v/>
      </c>
      <c r="N81" s="63" t="str">
        <f>IF(AND($K81=$L$7,$B81&lt;'1111'!$N$10),"x","")</f>
        <v/>
      </c>
      <c r="O81" s="63" t="str">
        <f>IF(OR(TH!J81=TH!$O$7,K81=TH!$O$7),"x","")</f>
        <v/>
      </c>
      <c r="P81" s="63" t="str">
        <f t="shared" si="4"/>
        <v/>
      </c>
    </row>
    <row r="82" spans="1:16" s="54" customFormat="1" ht="15.75" customHeight="1">
      <c r="A82" s="126" t="str">
        <f>IF(B82&lt;&gt;"",IF(AND(B82&gt;=_TM1,B82&lt;=_TM2,OR(TH!J82="1111",TH!K82="1111")),TH!D82,""),"")</f>
        <v/>
      </c>
      <c r="B82" s="40" t="str">
        <f t="shared" si="5"/>
        <v/>
      </c>
      <c r="C82" s="41"/>
      <c r="D82" s="41"/>
      <c r="E82" s="41"/>
      <c r="F82" s="44"/>
      <c r="G82" s="264"/>
      <c r="H82" s="57"/>
      <c r="I82" s="42"/>
      <c r="J82" s="43"/>
      <c r="K82" s="43"/>
      <c r="L82" s="63" t="str">
        <f>IF(AND($B82&gt;='1111'!$N$10,$B82&lt;='1111'!$O$10,OR($J82=$L$7,$K82=$L$7)),"x","")</f>
        <v/>
      </c>
      <c r="M82" s="63" t="str">
        <f>IF(AND($J82=$L$7,$B82&lt;'1111'!$N$10),"x","")</f>
        <v/>
      </c>
      <c r="N82" s="63" t="str">
        <f>IF(AND($K82=$L$7,$B82&lt;'1111'!$N$10),"x","")</f>
        <v/>
      </c>
      <c r="O82" s="63" t="str">
        <f>IF(OR(TH!J82=TH!$O$7,K82=TH!$O$7),"x","")</f>
        <v/>
      </c>
      <c r="P82" s="63" t="str">
        <f t="shared" ref="P82:P99" si="6">IF(AND(1&lt;=$B82,$B82&lt;=3),"1",IF(AND(4&lt;=$B82,$B82&lt;=6),"2",IF(AND(7&lt;=$B82,$B82&lt;=9),"3",IF(AND(10&lt;=$B82,$B82&lt;=12),"4",""))))</f>
        <v/>
      </c>
    </row>
    <row r="83" spans="1:16" s="54" customFormat="1" ht="15.75" customHeight="1">
      <c r="A83" s="126" t="str">
        <f>IF(B83&lt;&gt;"",IF(AND(B83&gt;=_TM1,B83&lt;=_TM2,OR(TH!J83="1111",TH!K83="1111")),TH!D83,""),"")</f>
        <v/>
      </c>
      <c r="B83" s="40" t="str">
        <f t="shared" si="5"/>
        <v/>
      </c>
      <c r="C83" s="41"/>
      <c r="D83" s="41"/>
      <c r="E83" s="41"/>
      <c r="F83" s="44"/>
      <c r="G83" s="264"/>
      <c r="H83" s="57"/>
      <c r="I83" s="42"/>
      <c r="J83" s="43"/>
      <c r="K83" s="43"/>
      <c r="L83" s="63" t="str">
        <f>IF(AND($B83&gt;='1111'!$N$10,$B83&lt;='1111'!$O$10,OR($J83=$L$7,$K83=$L$7)),"x","")</f>
        <v/>
      </c>
      <c r="M83" s="63" t="str">
        <f>IF(AND($J83=$L$7,$B83&lt;'1111'!$N$10),"x","")</f>
        <v/>
      </c>
      <c r="N83" s="63" t="str">
        <f>IF(AND($K83=$L$7,$B83&lt;'1111'!$N$10),"x","")</f>
        <v/>
      </c>
      <c r="O83" s="63" t="str">
        <f>IF(OR(TH!J83=TH!$O$7,K83=TH!$O$7),"x","")</f>
        <v/>
      </c>
      <c r="P83" s="63" t="str">
        <f t="shared" si="6"/>
        <v/>
      </c>
    </row>
    <row r="84" spans="1:16" s="54" customFormat="1" ht="15.75" customHeight="1">
      <c r="A84" s="126" t="str">
        <f>IF(B84&lt;&gt;"",IF(AND(B84&gt;=_TM1,B84&lt;=_TM2,OR(TH!J84="1111",TH!K84="1111")),TH!D84,""),"")</f>
        <v/>
      </c>
      <c r="B84" s="40" t="str">
        <f t="shared" si="5"/>
        <v/>
      </c>
      <c r="C84" s="41"/>
      <c r="D84" s="41"/>
      <c r="E84" s="41"/>
      <c r="F84" s="44"/>
      <c r="G84" s="273"/>
      <c r="H84" s="57"/>
      <c r="I84" s="42"/>
      <c r="J84" s="43"/>
      <c r="K84" s="43"/>
      <c r="L84" s="63" t="str">
        <f>IF(AND($B84&gt;='1111'!$N$10,$B84&lt;='1111'!$O$10,OR($J84=$L$7,$K84=$L$7)),"x","")</f>
        <v/>
      </c>
      <c r="M84" s="63" t="str">
        <f>IF(AND($J84=$L$7,$B84&lt;'1111'!$N$10),"x","")</f>
        <v/>
      </c>
      <c r="N84" s="63" t="str">
        <f>IF(AND($K84=$L$7,$B84&lt;'1111'!$N$10),"x","")</f>
        <v/>
      </c>
      <c r="O84" s="63" t="str">
        <f>IF(OR(TH!J84=TH!$O$7,K84=TH!$O$7),"x","")</f>
        <v/>
      </c>
      <c r="P84" s="63" t="str">
        <f t="shared" si="6"/>
        <v/>
      </c>
    </row>
    <row r="85" spans="1:16" s="54" customFormat="1" ht="15.75" customHeight="1">
      <c r="A85" s="126" t="str">
        <f>IF(B85&lt;&gt;"",IF(AND(B85&gt;=_TM1,B85&lt;=_TM2,OR(TH!J85="1111",TH!K85="1111")),TH!D85,""),"")</f>
        <v/>
      </c>
      <c r="B85" s="40" t="str">
        <f t="shared" si="5"/>
        <v/>
      </c>
      <c r="C85" s="41"/>
      <c r="D85" s="41"/>
      <c r="E85" s="41"/>
      <c r="F85" s="44"/>
      <c r="G85" s="273"/>
      <c r="H85" s="57"/>
      <c r="I85" s="42"/>
      <c r="J85" s="43"/>
      <c r="K85" s="43"/>
      <c r="L85" s="63" t="str">
        <f>IF(AND($B85&gt;='1111'!$N$10,$B85&lt;='1111'!$O$10,OR($J85=$L$7,$K85=$L$7)),"x","")</f>
        <v/>
      </c>
      <c r="M85" s="63" t="str">
        <f>IF(AND($J85=$L$7,$B85&lt;'1111'!$N$10),"x","")</f>
        <v/>
      </c>
      <c r="N85" s="63" t="str">
        <f>IF(AND($K85=$L$7,$B85&lt;'1111'!$N$10),"x","")</f>
        <v/>
      </c>
      <c r="O85" s="63" t="str">
        <f>IF(OR(TH!J85=TH!$O$7,K85=TH!$O$7),"x","")</f>
        <v/>
      </c>
      <c r="P85" s="63" t="str">
        <f t="shared" si="6"/>
        <v/>
      </c>
    </row>
    <row r="86" spans="1:16" s="54" customFormat="1" ht="15.75" customHeight="1">
      <c r="A86" s="126" t="str">
        <f>IF(B86&lt;&gt;"",IF(AND(B86&gt;=_TM1,B86&lt;=_TM2,OR(TH!J86="1111",TH!K86="1111")),TH!D86,""),"")</f>
        <v/>
      </c>
      <c r="B86" s="40" t="str">
        <f t="shared" si="5"/>
        <v/>
      </c>
      <c r="C86" s="41"/>
      <c r="D86" s="41"/>
      <c r="E86" s="41"/>
      <c r="F86" s="44"/>
      <c r="G86" s="264"/>
      <c r="H86" s="57"/>
      <c r="I86" s="42"/>
      <c r="J86" s="43"/>
      <c r="K86" s="43"/>
      <c r="L86" s="63" t="str">
        <f>IF(AND($B86&gt;='1111'!$N$10,$B86&lt;='1111'!$O$10,OR($J86=$L$7,$K86=$L$7)),"x","")</f>
        <v/>
      </c>
      <c r="M86" s="63" t="str">
        <f>IF(AND($J86=$L$7,$B86&lt;'1111'!$N$10),"x","")</f>
        <v/>
      </c>
      <c r="N86" s="63" t="str">
        <f>IF(AND($K86=$L$7,$B86&lt;'1111'!$N$10),"x","")</f>
        <v/>
      </c>
      <c r="O86" s="63" t="str">
        <f>IF(OR(TH!J86=TH!$O$7,K86=TH!$O$7),"x","")</f>
        <v/>
      </c>
      <c r="P86" s="63" t="str">
        <f t="shared" si="6"/>
        <v/>
      </c>
    </row>
    <row r="87" spans="1:16" s="64" customFormat="1" ht="15.75" customHeight="1">
      <c r="A87" s="126" t="str">
        <f>IF(B87&lt;&gt;"",IF(AND(B87&gt;=_TM1,B87&lt;=_TM2,OR(TH!J87="1111",TH!K87="1111")),TH!D87,""),"")</f>
        <v/>
      </c>
      <c r="B87" s="40" t="str">
        <f t="shared" si="5"/>
        <v/>
      </c>
      <c r="C87" s="41"/>
      <c r="D87" s="41"/>
      <c r="E87" s="41"/>
      <c r="F87" s="44"/>
      <c r="G87" s="264"/>
      <c r="H87" s="57"/>
      <c r="I87" s="42"/>
      <c r="J87" s="43"/>
      <c r="K87" s="43"/>
      <c r="L87" s="63" t="str">
        <f>IF(AND($B87&gt;='1111'!$N$10,$B87&lt;='1111'!$O$10,OR($J87=$L$7,$K87=$L$7)),"x","")</f>
        <v/>
      </c>
      <c r="M87" s="63" t="str">
        <f>IF(AND($J87=$L$7,$B87&lt;'1111'!$N$10),"x","")</f>
        <v/>
      </c>
      <c r="N87" s="63" t="str">
        <f>IF(AND($K87=$L$7,$B87&lt;'1111'!$N$10),"x","")</f>
        <v/>
      </c>
      <c r="O87" s="63" t="str">
        <f>IF(OR(TH!J87=TH!$O$7,K87=TH!$O$7),"x","")</f>
        <v/>
      </c>
      <c r="P87" s="63" t="str">
        <f t="shared" si="6"/>
        <v/>
      </c>
    </row>
    <row r="88" spans="1:16" s="64" customFormat="1" ht="15.75" customHeight="1">
      <c r="A88" s="126" t="str">
        <f>IF(B88&lt;&gt;"",IF(AND(B88&gt;=_TM1,B88&lt;=_TM2,OR(TH!J88="1111",TH!K88="1111")),TH!D88,""),"")</f>
        <v/>
      </c>
      <c r="B88" s="40" t="str">
        <f t="shared" si="5"/>
        <v/>
      </c>
      <c r="C88" s="41"/>
      <c r="D88" s="41"/>
      <c r="E88" s="41"/>
      <c r="F88" s="44"/>
      <c r="G88" s="264"/>
      <c r="H88" s="57"/>
      <c r="I88" s="42"/>
      <c r="J88" s="43"/>
      <c r="K88" s="43"/>
      <c r="L88" s="63" t="str">
        <f>IF(AND($B88&gt;='1111'!$N$10,$B88&lt;='1111'!$O$10,OR($J88=$L$7,$K88=$L$7)),"x","")</f>
        <v/>
      </c>
      <c r="M88" s="63" t="str">
        <f>IF(AND($J88=$L$7,$B88&lt;'1111'!$N$10),"x","")</f>
        <v/>
      </c>
      <c r="N88" s="63" t="str">
        <f>IF(AND($K88=$L$7,$B88&lt;'1111'!$N$10),"x","")</f>
        <v/>
      </c>
      <c r="O88" s="63" t="str">
        <f>IF(OR(TH!J88=TH!$O$7,K88=TH!$O$7),"x","")</f>
        <v/>
      </c>
      <c r="P88" s="63" t="str">
        <f t="shared" si="6"/>
        <v/>
      </c>
    </row>
    <row r="89" spans="1:16" s="54" customFormat="1" ht="15.75" customHeight="1">
      <c r="A89" s="126" t="str">
        <f>IF(B89&lt;&gt;"",IF(AND(B89&gt;=_TM1,B89&lt;=_TM2,OR(TH!J89="1111",TH!K89="1111")),TH!D89,""),"")</f>
        <v/>
      </c>
      <c r="B89" s="40" t="str">
        <f t="shared" si="5"/>
        <v/>
      </c>
      <c r="C89" s="41"/>
      <c r="D89" s="41"/>
      <c r="E89" s="41"/>
      <c r="F89" s="44"/>
      <c r="G89" s="264"/>
      <c r="H89" s="57"/>
      <c r="I89" s="42"/>
      <c r="J89" s="43"/>
      <c r="K89" s="43"/>
      <c r="L89" s="63" t="str">
        <f>IF(AND($B89&gt;='1111'!$N$10,$B89&lt;='1111'!$O$10,OR($J89=$L$7,$K89=$L$7)),"x","")</f>
        <v/>
      </c>
      <c r="M89" s="63" t="str">
        <f>IF(AND($J89=$L$7,$B89&lt;'1111'!$N$10),"x","")</f>
        <v/>
      </c>
      <c r="N89" s="63" t="str">
        <f>IF(AND($K89=$L$7,$B89&lt;'1111'!$N$10),"x","")</f>
        <v/>
      </c>
      <c r="O89" s="63" t="str">
        <f>IF(OR(TH!J89=TH!$O$7,K89=TH!$O$7),"x","")</f>
        <v/>
      </c>
      <c r="P89" s="63" t="str">
        <f t="shared" si="6"/>
        <v/>
      </c>
    </row>
    <row r="90" spans="1:16" s="54" customFormat="1" ht="15.75" customHeight="1">
      <c r="A90" s="126" t="str">
        <f>IF(B90&lt;&gt;"",IF(AND(B90&gt;=_TM1,B90&lt;=_TM2,OR(TH!J90="1111",TH!K90="1111")),TH!D90,""),"")</f>
        <v/>
      </c>
      <c r="B90" s="40" t="str">
        <f t="shared" si="5"/>
        <v/>
      </c>
      <c r="C90" s="41"/>
      <c r="D90" s="41"/>
      <c r="E90" s="41"/>
      <c r="F90" s="44"/>
      <c r="G90" s="264"/>
      <c r="H90" s="57"/>
      <c r="I90" s="42"/>
      <c r="J90" s="43"/>
      <c r="K90" s="43"/>
      <c r="L90" s="63" t="str">
        <f>IF(AND($B90&gt;='1111'!$N$10,$B90&lt;='1111'!$O$10,OR($J90=$L$7,$K90=$L$7)),"x","")</f>
        <v/>
      </c>
      <c r="M90" s="63" t="str">
        <f>IF(AND($J90=$L$7,$B90&lt;'1111'!$N$10),"x","")</f>
        <v/>
      </c>
      <c r="N90" s="63" t="str">
        <f>IF(AND($K90=$L$7,$B90&lt;'1111'!$N$10),"x","")</f>
        <v/>
      </c>
      <c r="O90" s="63" t="str">
        <f>IF(OR(TH!J90=TH!$O$7,K90=TH!$O$7),"x","")</f>
        <v/>
      </c>
      <c r="P90" s="63" t="str">
        <f t="shared" si="6"/>
        <v/>
      </c>
    </row>
    <row r="91" spans="1:16" s="54" customFormat="1" ht="15.75" customHeight="1">
      <c r="A91" s="126" t="str">
        <f>IF(B91&lt;&gt;"",IF(AND(B91&gt;=_TM1,B91&lt;=_TM2,OR(TH!J91="1111",TH!K91="1111")),TH!D91,""),"")</f>
        <v/>
      </c>
      <c r="B91" s="40" t="str">
        <f t="shared" si="5"/>
        <v/>
      </c>
      <c r="C91" s="41"/>
      <c r="D91" s="41"/>
      <c r="E91" s="41"/>
      <c r="F91" s="44"/>
      <c r="G91" s="264"/>
      <c r="H91" s="57"/>
      <c r="I91" s="42"/>
      <c r="J91" s="43"/>
      <c r="K91" s="43"/>
      <c r="L91" s="63" t="str">
        <f>IF(AND($B91&gt;='1111'!$N$10,$B91&lt;='1111'!$O$10,OR($J91=$L$7,$K91=$L$7)),"x","")</f>
        <v/>
      </c>
      <c r="M91" s="63" t="str">
        <f>IF(AND($J91=$L$7,$B91&lt;'1111'!$N$10),"x","")</f>
        <v/>
      </c>
      <c r="N91" s="63" t="str">
        <f>IF(AND($K91=$L$7,$B91&lt;'1111'!$N$10),"x","")</f>
        <v/>
      </c>
      <c r="O91" s="63" t="str">
        <f>IF(OR(TH!J91=TH!$O$7,K91=TH!$O$7),"x","")</f>
        <v/>
      </c>
      <c r="P91" s="63" t="str">
        <f t="shared" si="6"/>
        <v/>
      </c>
    </row>
    <row r="92" spans="1:16" s="54" customFormat="1" ht="15.75" customHeight="1">
      <c r="A92" s="126" t="str">
        <f>IF(B92&lt;&gt;"",IF(AND(B92&gt;=_TM1,B92&lt;=_TM2,OR(TH!J92="1111",TH!K92="1111")),TH!D92,""),"")</f>
        <v/>
      </c>
      <c r="B92" s="40" t="str">
        <f t="shared" si="5"/>
        <v/>
      </c>
      <c r="C92" s="41"/>
      <c r="D92" s="41"/>
      <c r="E92" s="41"/>
      <c r="F92" s="47"/>
      <c r="G92" s="264"/>
      <c r="H92" s="57"/>
      <c r="I92" s="42"/>
      <c r="J92" s="46"/>
      <c r="K92" s="43"/>
      <c r="L92" s="63" t="str">
        <f>IF(AND($B92&gt;='1111'!$N$10,$B92&lt;='1111'!$O$10,OR($J92=$L$7,$K92=$L$7)),"x","")</f>
        <v/>
      </c>
      <c r="M92" s="63" t="str">
        <f>IF(AND($J92=$L$7,$B92&lt;'1111'!$N$10),"x","")</f>
        <v/>
      </c>
      <c r="N92" s="63" t="str">
        <f>IF(AND($K92=$L$7,$B92&lt;'1111'!$N$10),"x","")</f>
        <v/>
      </c>
      <c r="O92" s="63" t="str">
        <f>IF(OR(TH!J92=TH!$O$7,K92=TH!$O$7),"x","")</f>
        <v/>
      </c>
      <c r="P92" s="63" t="str">
        <f t="shared" si="6"/>
        <v/>
      </c>
    </row>
    <row r="93" spans="1:16" s="54" customFormat="1" ht="15.75" customHeight="1">
      <c r="A93" s="126" t="str">
        <f>IF(B93&lt;&gt;"",IF(AND(B93&gt;=_TM1,B93&lt;=_TM2,OR(TH!J93="1111",TH!K93="1111")),TH!D93,""),"")</f>
        <v/>
      </c>
      <c r="B93" s="40" t="str">
        <f t="shared" si="5"/>
        <v/>
      </c>
      <c r="C93" s="53"/>
      <c r="D93" s="41"/>
      <c r="E93" s="41"/>
      <c r="F93" s="44"/>
      <c r="G93" s="264"/>
      <c r="H93" s="57"/>
      <c r="I93" s="42"/>
      <c r="J93" s="43"/>
      <c r="K93" s="43"/>
      <c r="L93" s="63" t="str">
        <f>IF(AND($B93&gt;='1111'!$N$10,$B93&lt;='1111'!$O$10,OR($J93=$L$7,$K93=$L$7)),"x","")</f>
        <v/>
      </c>
      <c r="M93" s="63" t="str">
        <f>IF(AND($J93=$L$7,$B93&lt;'1111'!$N$10),"x","")</f>
        <v/>
      </c>
      <c r="N93" s="63" t="str">
        <f>IF(AND($K93=$L$7,$B93&lt;'1111'!$N$10),"x","")</f>
        <v/>
      </c>
      <c r="O93" s="63" t="str">
        <f>IF(OR(TH!J93=TH!$O$7,K93=TH!$O$7),"x","")</f>
        <v/>
      </c>
      <c r="P93" s="63" t="str">
        <f t="shared" si="6"/>
        <v/>
      </c>
    </row>
    <row r="94" spans="1:16" s="54" customFormat="1" ht="15.75" customHeight="1">
      <c r="A94" s="126" t="str">
        <f>IF(B94&lt;&gt;"",IF(AND(B94&gt;=_TM1,B94&lt;=_TM2,OR(TH!J94="1111",TH!K94="1111")),TH!D94,""),"")</f>
        <v/>
      </c>
      <c r="B94" s="58" t="str">
        <f t="shared" si="5"/>
        <v/>
      </c>
      <c r="C94" s="59"/>
      <c r="D94" s="59"/>
      <c r="E94" s="59"/>
      <c r="F94" s="60"/>
      <c r="G94" s="276"/>
      <c r="H94" s="61"/>
      <c r="I94" s="62"/>
      <c r="J94" s="63"/>
      <c r="K94" s="63"/>
      <c r="L94" s="63" t="str">
        <f>IF(AND($B94&gt;='1111'!$N$10,$B94&lt;='1111'!$O$10,OR($J94=$L$7,$K94=$L$7)),"x","")</f>
        <v/>
      </c>
      <c r="M94" s="63" t="str">
        <f>IF(AND($J94=$L$7,$B94&lt;'1111'!$N$10),"x","")</f>
        <v/>
      </c>
      <c r="N94" s="63" t="str">
        <f>IF(AND($K94=$L$7,$B94&lt;'1111'!$N$10),"x","")</f>
        <v/>
      </c>
      <c r="O94" s="63" t="str">
        <f>IF(OR(TH!J94=TH!$O$7,K94=TH!$O$7),"x","")</f>
        <v/>
      </c>
      <c r="P94" s="63" t="str">
        <f t="shared" si="6"/>
        <v/>
      </c>
    </row>
    <row r="95" spans="1:16" s="54" customFormat="1" ht="15.75" customHeight="1">
      <c r="A95" s="126" t="str">
        <f>IF(B95&lt;&gt;"",IF(AND(B95&gt;=_TM1,B95&lt;=_TM2,OR(TH!J95="1111",TH!K95="1111")),TH!D95,""),"")</f>
        <v/>
      </c>
      <c r="B95" s="58" t="str">
        <f t="shared" si="5"/>
        <v/>
      </c>
      <c r="C95" s="59"/>
      <c r="D95" s="59"/>
      <c r="E95" s="59"/>
      <c r="F95" s="60"/>
      <c r="G95" s="276"/>
      <c r="H95" s="61"/>
      <c r="I95" s="62"/>
      <c r="J95" s="63"/>
      <c r="K95" s="63"/>
      <c r="L95" s="63" t="str">
        <f>IF(AND($B95&gt;='1111'!$N$10,$B95&lt;='1111'!$O$10,OR($J95=$L$7,$K95=$L$7)),"x","")</f>
        <v/>
      </c>
      <c r="M95" s="63" t="str">
        <f>IF(AND($J95=$L$7,$B95&lt;'1111'!$N$10),"x","")</f>
        <v/>
      </c>
      <c r="N95" s="63" t="str">
        <f>IF(AND($K95=$L$7,$B95&lt;'1111'!$N$10),"x","")</f>
        <v/>
      </c>
      <c r="O95" s="63" t="str">
        <f>IF(OR(TH!J95=TH!$O$7,K95=TH!$O$7),"x","")</f>
        <v/>
      </c>
      <c r="P95" s="63" t="str">
        <f t="shared" si="6"/>
        <v/>
      </c>
    </row>
    <row r="96" spans="1:16" s="54" customFormat="1" ht="15.75" customHeight="1">
      <c r="A96" s="126" t="str">
        <f>IF(B96&lt;&gt;"",IF(AND(B96&gt;=_TM1,B96&lt;=_TM2,OR(TH!J96="1111",TH!K96="1111")),TH!D96,""),"")</f>
        <v/>
      </c>
      <c r="B96" s="40" t="str">
        <f t="shared" si="5"/>
        <v/>
      </c>
      <c r="C96" s="53"/>
      <c r="D96" s="41"/>
      <c r="E96" s="41"/>
      <c r="F96" s="44"/>
      <c r="G96" s="264"/>
      <c r="H96" s="57"/>
      <c r="I96" s="42"/>
      <c r="J96" s="43"/>
      <c r="K96" s="43"/>
      <c r="L96" s="63" t="str">
        <f>IF(AND($B96&gt;='1111'!$N$10,$B96&lt;='1111'!$O$10,OR($J96=$L$7,$K96=$L$7)),"x","")</f>
        <v/>
      </c>
      <c r="M96" s="63" t="str">
        <f>IF(AND($J96=$L$7,$B96&lt;'1111'!$N$10),"x","")</f>
        <v/>
      </c>
      <c r="N96" s="63" t="str">
        <f>IF(AND($K96=$L$7,$B96&lt;'1111'!$N$10),"x","")</f>
        <v/>
      </c>
      <c r="O96" s="63" t="str">
        <f>IF(OR(TH!J96=TH!$O$7,K96=TH!$O$7),"x","")</f>
        <v/>
      </c>
      <c r="P96" s="63" t="str">
        <f t="shared" si="6"/>
        <v/>
      </c>
    </row>
    <row r="97" spans="1:16" s="54" customFormat="1" ht="15.75" customHeight="1">
      <c r="A97" s="126" t="str">
        <f>IF(B97&lt;&gt;"",IF(AND(B97&gt;=_TM1,B97&lt;=_TM2,OR(TH!J97="1111",TH!K97="1111")),TH!D97,""),"")</f>
        <v/>
      </c>
      <c r="B97" s="40" t="str">
        <f t="shared" si="5"/>
        <v/>
      </c>
      <c r="C97" s="41"/>
      <c r="D97" s="41"/>
      <c r="E97" s="41"/>
      <c r="F97" s="44"/>
      <c r="G97" s="264"/>
      <c r="H97" s="57"/>
      <c r="I97" s="42"/>
      <c r="J97" s="43"/>
      <c r="K97" s="43"/>
      <c r="L97" s="63" t="str">
        <f>IF(AND($B97&gt;='1111'!$N$10,$B97&lt;='1111'!$O$10,OR($J97=$L$7,$K97=$L$7)),"x","")</f>
        <v/>
      </c>
      <c r="M97" s="63" t="str">
        <f>IF(AND($J97=$L$7,$B97&lt;'1111'!$N$10),"x","")</f>
        <v/>
      </c>
      <c r="N97" s="63" t="str">
        <f>IF(AND($K97=$L$7,$B97&lt;'1111'!$N$10),"x","")</f>
        <v/>
      </c>
      <c r="O97" s="63" t="str">
        <f>IF(OR(TH!J97=TH!$O$7,K97=TH!$O$7),"x","")</f>
        <v/>
      </c>
      <c r="P97" s="63" t="str">
        <f t="shared" si="6"/>
        <v/>
      </c>
    </row>
    <row r="98" spans="1:16" s="54" customFormat="1" ht="15.75" customHeight="1">
      <c r="A98" s="126" t="str">
        <f>IF(B98&lt;&gt;"",IF(AND(B98&gt;=_TM1,B98&lt;=_TM2,OR(TH!J98="1111",TH!K98="1111")),TH!D98,""),"")</f>
        <v/>
      </c>
      <c r="B98" s="40" t="str">
        <f t="shared" si="5"/>
        <v/>
      </c>
      <c r="C98" s="53"/>
      <c r="D98" s="41"/>
      <c r="E98" s="41"/>
      <c r="F98" s="44"/>
      <c r="G98" s="264"/>
      <c r="H98" s="57"/>
      <c r="I98" s="42"/>
      <c r="J98" s="43"/>
      <c r="K98" s="43"/>
      <c r="L98" s="63" t="str">
        <f>IF(AND($B98&gt;='1111'!$N$10,$B98&lt;='1111'!$O$10,OR($J98=$L$7,$K98=$L$7)),"x","")</f>
        <v/>
      </c>
      <c r="M98" s="63" t="str">
        <f>IF(AND($J98=$L$7,$B98&lt;'1111'!$N$10),"x","")</f>
        <v/>
      </c>
      <c r="N98" s="63" t="str">
        <f>IF(AND($K98=$L$7,$B98&lt;'1111'!$N$10),"x","")</f>
        <v/>
      </c>
      <c r="O98" s="63" t="str">
        <f>IF(OR(TH!J98=TH!$O$7,K98=TH!$O$7),"x","")</f>
        <v/>
      </c>
      <c r="P98" s="63" t="str">
        <f t="shared" si="6"/>
        <v/>
      </c>
    </row>
    <row r="99" spans="1:16" s="54" customFormat="1" ht="15.75" customHeight="1">
      <c r="A99" s="126" t="str">
        <f>IF(B99&lt;&gt;"",IF(AND(B99&gt;=_TM1,B99&lt;=_TM2,OR(TH!J99="1111",TH!K99="1111")),TH!D99,""),"")</f>
        <v/>
      </c>
      <c r="B99" s="40" t="str">
        <f t="shared" si="5"/>
        <v/>
      </c>
      <c r="C99" s="41"/>
      <c r="D99" s="41"/>
      <c r="E99" s="41"/>
      <c r="F99" s="44"/>
      <c r="G99" s="264"/>
      <c r="H99" s="57"/>
      <c r="I99" s="42"/>
      <c r="J99" s="43"/>
      <c r="K99" s="43"/>
      <c r="L99" s="63" t="str">
        <f>IF(AND($B99&gt;='1111'!$N$10,$B99&lt;='1111'!$O$10,OR($J99=$L$7,$K99=$L$7)),"x","")</f>
        <v/>
      </c>
      <c r="M99" s="63" t="str">
        <f>IF(AND($J99=$L$7,$B99&lt;'1111'!$N$10),"x","")</f>
        <v/>
      </c>
      <c r="N99" s="63" t="str">
        <f>IF(AND($K99=$L$7,$B99&lt;'1111'!$N$10),"x","")</f>
        <v/>
      </c>
      <c r="O99" s="63" t="str">
        <f>IF(OR(TH!J99=TH!$O$7,K99=TH!$O$7),"x","")</f>
        <v/>
      </c>
      <c r="P99" s="63" t="str">
        <f t="shared" si="6"/>
        <v/>
      </c>
    </row>
  </sheetData>
  <autoFilter ref="A9:N99">
    <filterColumn colId="1"/>
    <filterColumn colId="9"/>
    <filterColumn colId="10"/>
    <filterColumn colId="11"/>
    <filterColumn colId="12"/>
    <filterColumn colId="13"/>
  </autoFilter>
  <sortState ref="A572:X602">
    <sortCondition ref="C572:C602"/>
  </sortState>
  <mergeCells count="14">
    <mergeCell ref="A7:A8"/>
    <mergeCell ref="B7:B8"/>
    <mergeCell ref="H7:H8"/>
    <mergeCell ref="O7:O8"/>
    <mergeCell ref="L7:N8"/>
    <mergeCell ref="P7:P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91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E43" sqref="E43"/>
    </sheetView>
  </sheetViews>
  <sheetFormatPr defaultRowHeight="12.75"/>
  <cols>
    <col min="1" max="1" width="4.85546875" style="196" customWidth="1"/>
    <col min="2" max="2" width="10.42578125" style="196" customWidth="1"/>
    <col min="3" max="3" width="7.42578125" style="196" customWidth="1"/>
    <col min="4" max="4" width="10.85546875" style="196" customWidth="1"/>
    <col min="5" max="5" width="40" style="196" customWidth="1"/>
    <col min="6" max="6" width="14.140625" style="196" customWidth="1"/>
    <col min="7" max="8" width="5.85546875" style="197" customWidth="1"/>
    <col min="9" max="9" width="4.85546875" style="196" customWidth="1"/>
    <col min="10" max="11" width="15.42578125" style="196" customWidth="1"/>
    <col min="12" max="13" width="16.140625" style="196" customWidth="1"/>
    <col min="14" max="14" width="14.7109375" style="196" customWidth="1"/>
    <col min="15" max="15" width="14.5703125" style="196" customWidth="1"/>
    <col min="16" max="16" width="8.140625" style="196" customWidth="1"/>
    <col min="17" max="17" width="7.28515625" style="196" customWidth="1"/>
    <col min="18" max="18" width="14.5703125" style="196" customWidth="1"/>
    <col min="19" max="19" width="7.140625" style="196" customWidth="1"/>
    <col min="20" max="20" width="15.28515625" style="196" customWidth="1"/>
    <col min="21" max="21" width="7.85546875" style="196" customWidth="1"/>
    <col min="22" max="22" width="9.5703125" style="196" customWidth="1"/>
    <col min="23" max="23" width="6" style="196" customWidth="1"/>
    <col min="24" max="24" width="11.28515625" style="196" customWidth="1"/>
    <col min="25" max="25" width="11.5703125" style="196" customWidth="1"/>
    <col min="26" max="26" width="14.140625" style="196" customWidth="1"/>
    <col min="27" max="27" width="13" style="196" customWidth="1"/>
    <col min="28" max="28" width="6.5703125" style="196" customWidth="1"/>
    <col min="29" max="29" width="15.7109375" style="196" customWidth="1"/>
    <col min="30" max="30" width="6.28515625" style="196" customWidth="1"/>
    <col min="31" max="31" width="15" style="196" customWidth="1"/>
    <col min="32" max="41" width="12.5703125" style="196" customWidth="1"/>
    <col min="42" max="42" width="10.140625" style="196" customWidth="1"/>
    <col min="43" max="43" width="11.85546875" style="196" customWidth="1"/>
    <col min="44" max="44" width="9.140625" style="196" customWidth="1"/>
    <col min="45" max="47" width="10.7109375" style="196" customWidth="1"/>
    <col min="48" max="48" width="14.28515625" style="196" customWidth="1"/>
    <col min="49" max="49" width="14.5703125" style="196" customWidth="1"/>
    <col min="50" max="16384" width="9.140625" style="196"/>
  </cols>
  <sheetData>
    <row r="1" spans="1:49" ht="12.75" customHeight="1">
      <c r="A1" s="192"/>
      <c r="B1" s="193" t="s">
        <v>108</v>
      </c>
      <c r="C1" s="194"/>
      <c r="D1" s="194"/>
      <c r="E1" s="195"/>
      <c r="I1" s="194"/>
      <c r="M1" s="301" t="s">
        <v>167</v>
      </c>
      <c r="N1" s="301"/>
      <c r="O1" s="301"/>
      <c r="P1" s="195"/>
      <c r="V1" s="194"/>
      <c r="W1" s="194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4"/>
      <c r="AQ1" s="194"/>
      <c r="AR1" s="194"/>
      <c r="AS1" s="194"/>
      <c r="AT1" s="194"/>
      <c r="AU1" s="194"/>
      <c r="AV1" s="194"/>
      <c r="AW1" s="194"/>
    </row>
    <row r="2" spans="1:49" ht="12.75" customHeight="1">
      <c r="A2" s="192"/>
      <c r="B2" s="193" t="s">
        <v>156</v>
      </c>
      <c r="C2" s="194"/>
      <c r="D2" s="194"/>
      <c r="E2" s="194"/>
      <c r="I2" s="198"/>
      <c r="M2" s="302" t="s">
        <v>168</v>
      </c>
      <c r="N2" s="302"/>
      <c r="O2" s="302"/>
      <c r="P2" s="199"/>
      <c r="V2" s="198"/>
      <c r="W2" s="198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8"/>
      <c r="AQ2" s="198"/>
      <c r="AR2" s="198"/>
      <c r="AS2" s="198"/>
      <c r="AT2" s="198"/>
      <c r="AU2" s="198"/>
      <c r="AV2" s="198"/>
      <c r="AW2" s="198"/>
    </row>
    <row r="3" spans="1:49" ht="10.5" customHeight="1">
      <c r="A3" s="194"/>
      <c r="B3" s="194"/>
      <c r="C3" s="194"/>
      <c r="D3" s="194"/>
      <c r="E3" s="194"/>
      <c r="F3" s="198"/>
      <c r="G3" s="200"/>
      <c r="H3" s="200"/>
      <c r="I3" s="198"/>
      <c r="M3" s="302"/>
      <c r="N3" s="302"/>
      <c r="O3" s="302"/>
      <c r="P3" s="199"/>
      <c r="V3" s="198"/>
      <c r="W3" s="198"/>
      <c r="X3" s="199"/>
      <c r="Y3" s="199"/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8"/>
      <c r="AQ3" s="198"/>
      <c r="AR3" s="198"/>
      <c r="AS3" s="198"/>
      <c r="AT3" s="198"/>
      <c r="AU3" s="198"/>
      <c r="AV3" s="198"/>
      <c r="AW3" s="198"/>
    </row>
    <row r="4" spans="1:49" ht="19.5" customHeight="1">
      <c r="B4" s="303" t="s">
        <v>98</v>
      </c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201"/>
      <c r="R4" s="201"/>
      <c r="S4" s="201"/>
      <c r="T4" s="201"/>
      <c r="U4" s="201"/>
      <c r="V4" s="202"/>
      <c r="W4" s="202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M4" s="201"/>
      <c r="AN4" s="201"/>
      <c r="AO4" s="201"/>
      <c r="AP4" s="203"/>
      <c r="AQ4" s="203"/>
      <c r="AR4" s="203"/>
      <c r="AS4" s="203"/>
      <c r="AT4" s="203"/>
      <c r="AU4" s="203"/>
      <c r="AV4" s="203"/>
      <c r="AW4" s="203"/>
    </row>
    <row r="5" spans="1:49" ht="15">
      <c r="B5" s="304" t="s">
        <v>169</v>
      </c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204"/>
      <c r="R5" s="204"/>
      <c r="S5" s="204"/>
      <c r="T5" s="204"/>
      <c r="U5" s="204"/>
      <c r="V5" s="205"/>
      <c r="W5" s="205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</row>
    <row r="6" spans="1:49">
      <c r="N6" s="196" t="s">
        <v>136</v>
      </c>
    </row>
    <row r="7" spans="1:49" ht="13.5" customHeight="1">
      <c r="A7" s="305" t="s">
        <v>31</v>
      </c>
      <c r="B7" s="299" t="s">
        <v>20</v>
      </c>
      <c r="C7" s="307" t="s">
        <v>1</v>
      </c>
      <c r="D7" s="308"/>
      <c r="E7" s="299" t="s">
        <v>0</v>
      </c>
      <c r="F7" s="299" t="s">
        <v>99</v>
      </c>
      <c r="G7" s="309" t="s">
        <v>100</v>
      </c>
      <c r="H7" s="309"/>
      <c r="I7" s="300" t="s">
        <v>31</v>
      </c>
      <c r="J7" s="299" t="s">
        <v>170</v>
      </c>
      <c r="K7" s="299"/>
      <c r="L7" s="299" t="s">
        <v>171</v>
      </c>
      <c r="M7" s="299"/>
      <c r="N7" s="299" t="s">
        <v>172</v>
      </c>
      <c r="O7" s="299"/>
      <c r="P7" s="299" t="s">
        <v>173</v>
      </c>
      <c r="Q7" s="299"/>
      <c r="R7" s="299" t="s">
        <v>174</v>
      </c>
      <c r="S7" s="299"/>
      <c r="T7" s="299" t="s">
        <v>175</v>
      </c>
      <c r="U7" s="299"/>
      <c r="V7" s="299" t="s">
        <v>176</v>
      </c>
      <c r="W7" s="299"/>
      <c r="X7" s="299" t="s">
        <v>177</v>
      </c>
      <c r="Y7" s="299"/>
      <c r="Z7" s="299" t="s">
        <v>178</v>
      </c>
      <c r="AA7" s="299"/>
      <c r="AB7" s="299" t="s">
        <v>179</v>
      </c>
      <c r="AC7" s="299"/>
      <c r="AD7" s="299" t="s">
        <v>180</v>
      </c>
      <c r="AE7" s="299"/>
      <c r="AF7" s="299" t="s">
        <v>181</v>
      </c>
      <c r="AG7" s="299"/>
      <c r="AH7" s="299" t="s">
        <v>182</v>
      </c>
      <c r="AI7" s="299"/>
      <c r="AJ7" s="299" t="s">
        <v>183</v>
      </c>
      <c r="AK7" s="299"/>
      <c r="AL7" s="299" t="s">
        <v>184</v>
      </c>
      <c r="AM7" s="299"/>
      <c r="AN7" s="299" t="s">
        <v>185</v>
      </c>
      <c r="AO7" s="299"/>
      <c r="AP7" s="299" t="s">
        <v>186</v>
      </c>
      <c r="AQ7" s="299"/>
      <c r="AR7" s="299" t="s">
        <v>187</v>
      </c>
      <c r="AS7" s="299"/>
      <c r="AT7" s="299" t="s">
        <v>188</v>
      </c>
      <c r="AU7" s="299"/>
      <c r="AV7" s="299" t="s">
        <v>189</v>
      </c>
      <c r="AW7" s="299"/>
    </row>
    <row r="8" spans="1:49" ht="22.5" customHeight="1">
      <c r="A8" s="306"/>
      <c r="B8" s="299"/>
      <c r="C8" s="207" t="s">
        <v>15</v>
      </c>
      <c r="D8" s="206" t="s">
        <v>28</v>
      </c>
      <c r="E8" s="299"/>
      <c r="F8" s="299"/>
      <c r="G8" s="208" t="s">
        <v>22</v>
      </c>
      <c r="H8" s="208" t="s">
        <v>23</v>
      </c>
      <c r="I8" s="300"/>
      <c r="J8" s="206" t="s">
        <v>22</v>
      </c>
      <c r="K8" s="206" t="s">
        <v>23</v>
      </c>
      <c r="L8" s="206" t="s">
        <v>22</v>
      </c>
      <c r="M8" s="206" t="s">
        <v>23</v>
      </c>
      <c r="N8" s="206" t="s">
        <v>22</v>
      </c>
      <c r="O8" s="206" t="s">
        <v>23</v>
      </c>
      <c r="P8" s="206" t="s">
        <v>22</v>
      </c>
      <c r="Q8" s="206" t="s">
        <v>23</v>
      </c>
      <c r="R8" s="206" t="s">
        <v>22</v>
      </c>
      <c r="S8" s="206" t="s">
        <v>23</v>
      </c>
      <c r="T8" s="206" t="s">
        <v>22</v>
      </c>
      <c r="U8" s="206" t="s">
        <v>23</v>
      </c>
      <c r="V8" s="206" t="s">
        <v>22</v>
      </c>
      <c r="W8" s="206" t="s">
        <v>23</v>
      </c>
      <c r="X8" s="206" t="s">
        <v>22</v>
      </c>
      <c r="Y8" s="206" t="s">
        <v>23</v>
      </c>
      <c r="Z8" s="206" t="s">
        <v>22</v>
      </c>
      <c r="AA8" s="206" t="s">
        <v>23</v>
      </c>
      <c r="AB8" s="206" t="s">
        <v>22</v>
      </c>
      <c r="AC8" s="206" t="s">
        <v>23</v>
      </c>
      <c r="AD8" s="206" t="s">
        <v>22</v>
      </c>
      <c r="AE8" s="206" t="s">
        <v>23</v>
      </c>
      <c r="AF8" s="206" t="s">
        <v>22</v>
      </c>
      <c r="AG8" s="206" t="s">
        <v>23</v>
      </c>
      <c r="AH8" s="206" t="s">
        <v>22</v>
      </c>
      <c r="AI8" s="206" t="s">
        <v>23</v>
      </c>
      <c r="AJ8" s="206" t="s">
        <v>22</v>
      </c>
      <c r="AK8" s="206" t="s">
        <v>23</v>
      </c>
      <c r="AL8" s="206" t="s">
        <v>22</v>
      </c>
      <c r="AM8" s="206" t="s">
        <v>23</v>
      </c>
      <c r="AN8" s="206" t="s">
        <v>22</v>
      </c>
      <c r="AO8" s="206" t="s">
        <v>23</v>
      </c>
      <c r="AP8" s="206" t="s">
        <v>22</v>
      </c>
      <c r="AQ8" s="206" t="s">
        <v>23</v>
      </c>
      <c r="AR8" s="206" t="s">
        <v>22</v>
      </c>
      <c r="AS8" s="206" t="s">
        <v>23</v>
      </c>
      <c r="AT8" s="206" t="s">
        <v>22</v>
      </c>
      <c r="AU8" s="206" t="s">
        <v>23</v>
      </c>
      <c r="AV8" s="206" t="s">
        <v>22</v>
      </c>
      <c r="AW8" s="206" t="s">
        <v>23</v>
      </c>
    </row>
    <row r="9" spans="1:49" s="210" customFormat="1" ht="8.25" customHeight="1">
      <c r="A9" s="209">
        <v>1</v>
      </c>
      <c r="B9" s="209">
        <v>2</v>
      </c>
      <c r="C9" s="209">
        <v>3</v>
      </c>
      <c r="D9" s="209">
        <v>4</v>
      </c>
      <c r="E9" s="209">
        <v>5</v>
      </c>
      <c r="F9" s="209">
        <v>6</v>
      </c>
      <c r="G9" s="209">
        <v>7</v>
      </c>
      <c r="H9" s="209">
        <v>8</v>
      </c>
      <c r="I9" s="209">
        <v>9</v>
      </c>
      <c r="J9" s="209">
        <v>10</v>
      </c>
      <c r="K9" s="209">
        <v>11</v>
      </c>
      <c r="L9" s="209">
        <v>12</v>
      </c>
      <c r="M9" s="209">
        <v>13</v>
      </c>
      <c r="N9" s="209">
        <v>14</v>
      </c>
      <c r="O9" s="209">
        <v>15</v>
      </c>
      <c r="P9" s="209">
        <v>16</v>
      </c>
      <c r="Q9" s="209">
        <v>17</v>
      </c>
      <c r="R9" s="209">
        <v>18</v>
      </c>
      <c r="S9" s="209">
        <v>19</v>
      </c>
      <c r="T9" s="209">
        <v>20</v>
      </c>
      <c r="U9" s="209">
        <v>21</v>
      </c>
      <c r="V9" s="209">
        <v>22</v>
      </c>
      <c r="W9" s="209">
        <v>23</v>
      </c>
      <c r="X9" s="209">
        <v>24</v>
      </c>
      <c r="Y9" s="209">
        <v>25</v>
      </c>
      <c r="Z9" s="209">
        <v>26</v>
      </c>
      <c r="AA9" s="209">
        <v>27</v>
      </c>
      <c r="AB9" s="209">
        <v>28</v>
      </c>
      <c r="AC9" s="209">
        <v>29</v>
      </c>
      <c r="AD9" s="209">
        <v>30</v>
      </c>
      <c r="AE9" s="209">
        <v>31</v>
      </c>
      <c r="AF9" s="209">
        <v>32</v>
      </c>
      <c r="AG9" s="209">
        <v>33</v>
      </c>
      <c r="AH9" s="209">
        <v>34</v>
      </c>
      <c r="AI9" s="209">
        <v>35</v>
      </c>
      <c r="AJ9" s="209">
        <v>36</v>
      </c>
      <c r="AK9" s="209">
        <v>37</v>
      </c>
      <c r="AL9" s="209">
        <v>38</v>
      </c>
      <c r="AM9" s="209">
        <v>39</v>
      </c>
      <c r="AN9" s="209">
        <v>40</v>
      </c>
      <c r="AO9" s="209">
        <v>41</v>
      </c>
      <c r="AP9" s="209">
        <v>42</v>
      </c>
      <c r="AQ9" s="209">
        <v>43</v>
      </c>
      <c r="AR9" s="209">
        <v>44</v>
      </c>
      <c r="AS9" s="209">
        <v>45</v>
      </c>
      <c r="AT9" s="209">
        <v>46</v>
      </c>
      <c r="AU9" s="209">
        <v>47</v>
      </c>
      <c r="AV9" s="209">
        <v>48</v>
      </c>
      <c r="AW9" s="209">
        <v>49</v>
      </c>
    </row>
    <row r="10" spans="1:49" s="218" customFormat="1" ht="12.75" customHeight="1">
      <c r="A10" s="40" t="str">
        <f t="array" ref="A10">IF(C10&lt;&gt;0,SUM(($C10:C$16&lt;&gt;0)*1),"")</f>
        <v/>
      </c>
      <c r="B10" s="211"/>
      <c r="C10" s="212"/>
      <c r="D10" s="211"/>
      <c r="E10" s="213" t="s">
        <v>190</v>
      </c>
      <c r="F10" s="214"/>
      <c r="G10" s="215"/>
      <c r="H10" s="215"/>
      <c r="I10" s="216"/>
      <c r="J10" s="217">
        <f>CDPS!C10</f>
        <v>3996700000</v>
      </c>
      <c r="K10" s="217">
        <f>CDPS!D10</f>
        <v>0</v>
      </c>
      <c r="L10" s="217">
        <f>CDPS!C12</f>
        <v>0</v>
      </c>
      <c r="M10" s="217">
        <f>CDPS!D12</f>
        <v>0</v>
      </c>
      <c r="N10" s="217">
        <f>CDPS!C14</f>
        <v>0</v>
      </c>
      <c r="O10" s="217">
        <f>CDPS!D14</f>
        <v>0</v>
      </c>
      <c r="P10" s="217">
        <f>CDPS!C16</f>
        <v>0</v>
      </c>
      <c r="Q10" s="217">
        <f>CDPS!D16</f>
        <v>0</v>
      </c>
      <c r="R10" s="217">
        <f>CDPS!C18</f>
        <v>0</v>
      </c>
      <c r="S10" s="217">
        <f>CDPS!D18</f>
        <v>0</v>
      </c>
      <c r="T10" s="217">
        <f>CDPS!C20</f>
        <v>0</v>
      </c>
      <c r="U10" s="217">
        <f>CDPS!D20</f>
        <v>0</v>
      </c>
      <c r="V10" s="217">
        <f>CDPS!C21</f>
        <v>0</v>
      </c>
      <c r="W10" s="217">
        <f>CDPS!D21</f>
        <v>0</v>
      </c>
      <c r="X10" s="217">
        <f>CDPS!C22</f>
        <v>0</v>
      </c>
      <c r="Y10" s="217">
        <f>CDPS!D22</f>
        <v>0</v>
      </c>
      <c r="Z10" s="217">
        <f>CDPS!C25</f>
        <v>0</v>
      </c>
      <c r="AA10" s="217">
        <f>CDPS!D25</f>
        <v>0</v>
      </c>
      <c r="AB10" s="217">
        <f>CDPS!C27</f>
        <v>0</v>
      </c>
      <c r="AC10" s="217">
        <f>CDPS!D27</f>
        <v>0</v>
      </c>
      <c r="AD10" s="217">
        <f>CDPS!C29</f>
        <v>0</v>
      </c>
      <c r="AE10" s="217">
        <f>CDPS!D29</f>
        <v>4000000000</v>
      </c>
      <c r="AF10" s="217">
        <f>CDPS!C31</f>
        <v>0</v>
      </c>
      <c r="AG10" s="217">
        <f>CDPS!D31</f>
        <v>0</v>
      </c>
      <c r="AH10" s="217">
        <f>CDPS!C32</f>
        <v>3300000</v>
      </c>
      <c r="AI10" s="217">
        <f>CDPS!D32</f>
        <v>0</v>
      </c>
      <c r="AJ10" s="217">
        <f>CDPS!C34</f>
        <v>0</v>
      </c>
      <c r="AK10" s="217">
        <f>CDPS!D34</f>
        <v>0</v>
      </c>
      <c r="AL10" s="217">
        <v>0</v>
      </c>
      <c r="AM10" s="217">
        <v>0</v>
      </c>
      <c r="AN10" s="217">
        <v>0</v>
      </c>
      <c r="AO10" s="217">
        <v>0</v>
      </c>
      <c r="AP10" s="217">
        <v>0</v>
      </c>
      <c r="AQ10" s="217">
        <v>0</v>
      </c>
      <c r="AR10" s="217">
        <v>0</v>
      </c>
      <c r="AS10" s="217">
        <v>0</v>
      </c>
      <c r="AT10" s="217">
        <v>0</v>
      </c>
      <c r="AU10" s="217">
        <v>0</v>
      </c>
      <c r="AV10" s="217">
        <v>0</v>
      </c>
      <c r="AW10" s="217">
        <v>0</v>
      </c>
    </row>
    <row r="11" spans="1:49" s="218" customFormat="1" ht="12.75" customHeight="1">
      <c r="A11" s="40">
        <f t="array" aca="1" ref="A11" ca="1">IF(C11&lt;&gt;0,SUM(($C$11:C11&lt;&gt;0)*1),"")</f>
        <v>1</v>
      </c>
      <c r="B11" s="219" t="str">
        <f ca="1">IF(ROWS($1:1)&gt;COUNT(Dong6),"",OFFSET(TH!C$1,SMALL(Dong6,ROWS($1:1)),))</f>
        <v/>
      </c>
      <c r="C11" s="219" t="str">
        <f ca="1">IF(ROWS($1:1)&gt;COUNT(Dong6),"",OFFSET(TH!D$1,SMALL(Dong6,ROWS($1:1)),))</f>
        <v/>
      </c>
      <c r="D11" s="219" t="str">
        <f ca="1">IF(ROWS($1:1)&gt;COUNT(Dong6),"",OFFSET(TH!E$1,SMALL(Dong6,ROWS($1:1)),))</f>
        <v/>
      </c>
      <c r="E11" s="268" t="str">
        <f ca="1">IF(ROWS($1:1)&gt;COUNT(Dong6),"",OFFSET(TH!F$1,SMALL(Dong6,ROWS($1:1)),))</f>
        <v/>
      </c>
      <c r="F11" s="269" t="str">
        <f ca="1">IF(ROWS($1:1)&gt;COUNT(Dong6),"",OFFSET(TH!I$1,SMALL(Dong6,ROWS($1:1)),))</f>
        <v/>
      </c>
      <c r="G11" s="270" t="str">
        <f ca="1">IF(ROWS($1:1)&gt;COUNT(Dong6),"",OFFSET(TH!J$1,SMALL(Dong6,ROWS($1:1)),))</f>
        <v/>
      </c>
      <c r="H11" s="270" t="str">
        <f ca="1">IF(ROWS($1:1)&gt;COUNT(Dong6),"",OFFSET(TH!K$1,SMALL(Dong6,ROWS($1:1)),))</f>
        <v/>
      </c>
      <c r="I11" s="40">
        <f t="shared" ref="I11:I22" ca="1" si="0">A11</f>
        <v>1</v>
      </c>
      <c r="J11" s="221">
        <f t="shared" ref="J11:J30" ca="1" si="1">IF($G11="1111",$F11,0)</f>
        <v>0</v>
      </c>
      <c r="K11" s="221">
        <f t="shared" ref="K11:K30" ca="1" si="2">IF($H11="1111",$F11,0)</f>
        <v>0</v>
      </c>
      <c r="L11" s="221">
        <f t="shared" ref="L11:L30" ca="1" si="3">IF($G11="1121",$F11,0)</f>
        <v>0</v>
      </c>
      <c r="M11" s="221">
        <f t="shared" ref="M11:M30" ca="1" si="4">IF($H11="1121",$F11,0)</f>
        <v>0</v>
      </c>
      <c r="N11" s="221">
        <f t="shared" ref="N11:N30" ca="1" si="5">IF($G11="1331",$F11,0)</f>
        <v>0</v>
      </c>
      <c r="O11" s="221">
        <f t="shared" ref="O11:O30" ca="1" si="6">IF($H11="1331",$F11,0)</f>
        <v>0</v>
      </c>
      <c r="P11" s="221">
        <f t="shared" ref="P11:P30" ca="1" si="7">IF($G11="1388",$F11,0)</f>
        <v>0</v>
      </c>
      <c r="Q11" s="221">
        <f t="shared" ref="Q11:Q30" ca="1" si="8">IF($H11="1388",$F11,0)</f>
        <v>0</v>
      </c>
      <c r="R11" s="221">
        <f ca="1">IF($G11="2412",$F11,0)</f>
        <v>0</v>
      </c>
      <c r="S11" s="221">
        <f ca="1">IF($H11="2412",$F11,0)</f>
        <v>0</v>
      </c>
      <c r="T11" s="221">
        <f t="shared" ref="T11:T30" ca="1" si="9">IF($G11="331",$F11,0)</f>
        <v>0</v>
      </c>
      <c r="U11" s="221">
        <f t="shared" ref="U11:U30" ca="1" si="10">IF($H11="331",$F11,0)</f>
        <v>0</v>
      </c>
      <c r="V11" s="221">
        <f t="shared" ref="V11:V30" ca="1" si="11">IF($G11="3334",$F11,0)</f>
        <v>0</v>
      </c>
      <c r="W11" s="221">
        <f t="shared" ref="W11:W30" ca="1" si="12">IF($H11="3334",$F11,0)</f>
        <v>0</v>
      </c>
      <c r="X11" s="221">
        <f t="shared" ref="X11:X30" ca="1" si="13">IF($G11="33382",$F11,0)</f>
        <v>0</v>
      </c>
      <c r="Y11" s="221">
        <f t="shared" ref="Y11:Y30" ca="1" si="14">IF($H11="33382",$F11,0)</f>
        <v>0</v>
      </c>
      <c r="Z11" s="221">
        <f t="shared" ref="Z11:Z30" ca="1" si="15">IF($G11="3388",$F11,0)</f>
        <v>0</v>
      </c>
      <c r="AA11" s="221">
        <f t="shared" ref="AA11:AA30" ca="1" si="16">IF($H11="3388",$F11,0)</f>
        <v>0</v>
      </c>
      <c r="AB11" s="221">
        <f t="shared" ref="AB11:AB30" ca="1" si="17">IF($G11="3411",$F11,0)</f>
        <v>0</v>
      </c>
      <c r="AC11" s="221">
        <f t="shared" ref="AC11:AC30" ca="1" si="18">IF($H11="3411",$F11,0)</f>
        <v>0</v>
      </c>
      <c r="AD11" s="221">
        <f t="shared" ref="AD11:AD30" ca="1" si="19">IF($G11="4111",$F11,0)</f>
        <v>0</v>
      </c>
      <c r="AE11" s="221">
        <f t="shared" ref="AE11:AE30" ca="1" si="20">IF($H11="4111",$F11,0)</f>
        <v>0</v>
      </c>
      <c r="AF11" s="221">
        <f t="shared" ref="AF11:AF30" ca="1" si="21">IF($G11="4211",$F11,0)</f>
        <v>0</v>
      </c>
      <c r="AG11" s="221">
        <f t="shared" ref="AG11:AG30" ca="1" si="22">IF($H11="4211",$F11,0)</f>
        <v>0</v>
      </c>
      <c r="AH11" s="221">
        <f t="shared" ref="AH11:AH30" ca="1" si="23">IF($G11="4212",$F11,0)</f>
        <v>0</v>
      </c>
      <c r="AI11" s="221">
        <f t="shared" ref="AI11:AI30" ca="1" si="24">IF($H11="4212",$F11,0)</f>
        <v>0</v>
      </c>
      <c r="AJ11" s="221">
        <f t="shared" ref="AJ11:AJ30" ca="1" si="25">IF($G11="515",$F11,0)</f>
        <v>0</v>
      </c>
      <c r="AK11" s="221">
        <f t="shared" ref="AK11:AK30" ca="1" si="26">IF($H11="515",$F11,0)</f>
        <v>0</v>
      </c>
      <c r="AL11" s="221">
        <f t="shared" ref="AL11:AL30" ca="1" si="27">IF($G11="635",$F11,0)</f>
        <v>0</v>
      </c>
      <c r="AM11" s="221">
        <f t="shared" ref="AM11:AM30" ca="1" si="28">IF($H11="635",$F11,0)</f>
        <v>0</v>
      </c>
      <c r="AN11" s="221">
        <f t="shared" ref="AN11:AN30" ca="1" si="29">IF($G11="642",$F11,0)</f>
        <v>0</v>
      </c>
      <c r="AO11" s="221">
        <f t="shared" ref="AO11:AO30" ca="1" si="30">IF($H11="642",$F11,0)</f>
        <v>0</v>
      </c>
      <c r="AP11" s="221">
        <f t="shared" ref="AP11:AP30" ca="1" si="31">IF($G11="711",$F11,0)</f>
        <v>0</v>
      </c>
      <c r="AQ11" s="221">
        <f t="shared" ref="AQ11:AQ30" ca="1" si="32">IF($H11="711",$F11,0)</f>
        <v>0</v>
      </c>
      <c r="AR11" s="221">
        <f t="shared" ref="AR11:AR30" ca="1" si="33">IF($G11="811",$F11,0)</f>
        <v>0</v>
      </c>
      <c r="AS11" s="221">
        <f t="shared" ref="AS11:AS30" ca="1" si="34">IF($H11="811",$F11,0)</f>
        <v>0</v>
      </c>
      <c r="AT11" s="221">
        <f t="shared" ref="AT11:AT30" ca="1" si="35">IF($G11="821",$F11,0)</f>
        <v>0</v>
      </c>
      <c r="AU11" s="221">
        <f t="shared" ref="AU11:AU30" ca="1" si="36">IF($H11="821",$F11,0)</f>
        <v>0</v>
      </c>
      <c r="AV11" s="221">
        <f t="shared" ref="AV11:AV30" ca="1" si="37">IF($G11="911",$F11,0)</f>
        <v>0</v>
      </c>
      <c r="AW11" s="221">
        <f t="shared" ref="AW11:AW30" ca="1" si="38">IF($H11="911",$F11,0)</f>
        <v>0</v>
      </c>
    </row>
    <row r="12" spans="1:49" s="218" customFormat="1" ht="12.75" customHeight="1">
      <c r="A12" s="40" t="str">
        <f t="array" ref="A12">IF(C12&lt;&gt;0,SUM(($C$11:C12&lt;&gt;0)*1),"")</f>
        <v/>
      </c>
      <c r="B12" s="219"/>
      <c r="C12" s="219"/>
      <c r="D12" s="219"/>
      <c r="E12" s="268"/>
      <c r="F12" s="269"/>
      <c r="G12" s="270"/>
      <c r="H12" s="270"/>
      <c r="I12" s="40" t="str">
        <f t="shared" si="0"/>
        <v/>
      </c>
      <c r="J12" s="221">
        <f t="shared" si="1"/>
        <v>0</v>
      </c>
      <c r="K12" s="221">
        <f t="shared" si="2"/>
        <v>0</v>
      </c>
      <c r="L12" s="221">
        <f t="shared" si="3"/>
        <v>0</v>
      </c>
      <c r="M12" s="221">
        <f t="shared" si="4"/>
        <v>0</v>
      </c>
      <c r="N12" s="221">
        <f t="shared" si="5"/>
        <v>0</v>
      </c>
      <c r="O12" s="221">
        <f t="shared" si="6"/>
        <v>0</v>
      </c>
      <c r="P12" s="221">
        <f t="shared" si="7"/>
        <v>0</v>
      </c>
      <c r="Q12" s="221">
        <f t="shared" si="8"/>
        <v>0</v>
      </c>
      <c r="R12" s="221">
        <f t="shared" ref="R12:R30" si="39">IF($G12="2412",$F12,0)</f>
        <v>0</v>
      </c>
      <c r="S12" s="221">
        <f t="shared" ref="S12:S30" si="40">IF($H12="2412",$F12,0)</f>
        <v>0</v>
      </c>
      <c r="T12" s="221">
        <f t="shared" si="9"/>
        <v>0</v>
      </c>
      <c r="U12" s="221">
        <f t="shared" si="10"/>
        <v>0</v>
      </c>
      <c r="V12" s="221">
        <f t="shared" si="11"/>
        <v>0</v>
      </c>
      <c r="W12" s="221">
        <f t="shared" si="12"/>
        <v>0</v>
      </c>
      <c r="X12" s="221">
        <f t="shared" si="13"/>
        <v>0</v>
      </c>
      <c r="Y12" s="221">
        <f t="shared" si="14"/>
        <v>0</v>
      </c>
      <c r="Z12" s="221">
        <f t="shared" si="15"/>
        <v>0</v>
      </c>
      <c r="AA12" s="221">
        <f t="shared" si="16"/>
        <v>0</v>
      </c>
      <c r="AB12" s="221">
        <f t="shared" si="17"/>
        <v>0</v>
      </c>
      <c r="AC12" s="221">
        <f t="shared" si="18"/>
        <v>0</v>
      </c>
      <c r="AD12" s="221">
        <f t="shared" si="19"/>
        <v>0</v>
      </c>
      <c r="AE12" s="221">
        <f t="shared" si="20"/>
        <v>0</v>
      </c>
      <c r="AF12" s="221">
        <f t="shared" si="21"/>
        <v>0</v>
      </c>
      <c r="AG12" s="221">
        <f t="shared" si="22"/>
        <v>0</v>
      </c>
      <c r="AH12" s="221">
        <f t="shared" si="23"/>
        <v>0</v>
      </c>
      <c r="AI12" s="221">
        <f t="shared" si="24"/>
        <v>0</v>
      </c>
      <c r="AJ12" s="221">
        <f t="shared" si="25"/>
        <v>0</v>
      </c>
      <c r="AK12" s="221">
        <f t="shared" si="26"/>
        <v>0</v>
      </c>
      <c r="AL12" s="221">
        <f t="shared" si="27"/>
        <v>0</v>
      </c>
      <c r="AM12" s="221">
        <f t="shared" si="28"/>
        <v>0</v>
      </c>
      <c r="AN12" s="221">
        <f t="shared" si="29"/>
        <v>0</v>
      </c>
      <c r="AO12" s="221">
        <f t="shared" si="30"/>
        <v>0</v>
      </c>
      <c r="AP12" s="221">
        <f t="shared" si="31"/>
        <v>0</v>
      </c>
      <c r="AQ12" s="221">
        <f t="shared" si="32"/>
        <v>0</v>
      </c>
      <c r="AR12" s="221">
        <f t="shared" si="33"/>
        <v>0</v>
      </c>
      <c r="AS12" s="221">
        <f t="shared" si="34"/>
        <v>0</v>
      </c>
      <c r="AT12" s="221">
        <f t="shared" si="35"/>
        <v>0</v>
      </c>
      <c r="AU12" s="221">
        <f t="shared" si="36"/>
        <v>0</v>
      </c>
      <c r="AV12" s="221">
        <f t="shared" si="37"/>
        <v>0</v>
      </c>
      <c r="AW12" s="221">
        <f t="shared" si="38"/>
        <v>0</v>
      </c>
    </row>
    <row r="13" spans="1:49" s="218" customFormat="1" ht="12.75" customHeight="1">
      <c r="A13" s="40" t="str">
        <f t="array" ref="A13">IF(C13&lt;&gt;0,SUM(($C$11:C13&lt;&gt;0)*1),"")</f>
        <v/>
      </c>
      <c r="B13" s="219"/>
      <c r="C13" s="219"/>
      <c r="D13" s="219"/>
      <c r="E13" s="268"/>
      <c r="F13" s="269"/>
      <c r="G13" s="270"/>
      <c r="H13" s="270"/>
      <c r="I13" s="40" t="str">
        <f t="shared" si="0"/>
        <v/>
      </c>
      <c r="J13" s="221">
        <f t="shared" si="1"/>
        <v>0</v>
      </c>
      <c r="K13" s="221">
        <f t="shared" si="2"/>
        <v>0</v>
      </c>
      <c r="L13" s="221">
        <f t="shared" si="3"/>
        <v>0</v>
      </c>
      <c r="M13" s="221">
        <f t="shared" si="4"/>
        <v>0</v>
      </c>
      <c r="N13" s="221">
        <f t="shared" si="5"/>
        <v>0</v>
      </c>
      <c r="O13" s="221">
        <f t="shared" si="6"/>
        <v>0</v>
      </c>
      <c r="P13" s="221">
        <f t="shared" si="7"/>
        <v>0</v>
      </c>
      <c r="Q13" s="221">
        <f t="shared" si="8"/>
        <v>0</v>
      </c>
      <c r="R13" s="221">
        <f t="shared" si="39"/>
        <v>0</v>
      </c>
      <c r="S13" s="221">
        <f t="shared" si="40"/>
        <v>0</v>
      </c>
      <c r="T13" s="221">
        <f t="shared" si="9"/>
        <v>0</v>
      </c>
      <c r="U13" s="221">
        <f t="shared" si="10"/>
        <v>0</v>
      </c>
      <c r="V13" s="221">
        <f t="shared" si="11"/>
        <v>0</v>
      </c>
      <c r="W13" s="221">
        <f t="shared" si="12"/>
        <v>0</v>
      </c>
      <c r="X13" s="221">
        <f t="shared" si="13"/>
        <v>0</v>
      </c>
      <c r="Y13" s="221">
        <f t="shared" si="14"/>
        <v>0</v>
      </c>
      <c r="Z13" s="221">
        <f t="shared" si="15"/>
        <v>0</v>
      </c>
      <c r="AA13" s="221">
        <f t="shared" si="16"/>
        <v>0</v>
      </c>
      <c r="AB13" s="221">
        <f t="shared" si="17"/>
        <v>0</v>
      </c>
      <c r="AC13" s="221">
        <f t="shared" si="18"/>
        <v>0</v>
      </c>
      <c r="AD13" s="221">
        <f t="shared" si="19"/>
        <v>0</v>
      </c>
      <c r="AE13" s="221">
        <f t="shared" si="20"/>
        <v>0</v>
      </c>
      <c r="AF13" s="221">
        <f t="shared" si="21"/>
        <v>0</v>
      </c>
      <c r="AG13" s="221">
        <f t="shared" si="22"/>
        <v>0</v>
      </c>
      <c r="AH13" s="221">
        <f t="shared" si="23"/>
        <v>0</v>
      </c>
      <c r="AI13" s="221">
        <f t="shared" si="24"/>
        <v>0</v>
      </c>
      <c r="AJ13" s="221">
        <f t="shared" si="25"/>
        <v>0</v>
      </c>
      <c r="AK13" s="221">
        <f t="shared" si="26"/>
        <v>0</v>
      </c>
      <c r="AL13" s="221">
        <f t="shared" si="27"/>
        <v>0</v>
      </c>
      <c r="AM13" s="221">
        <f t="shared" si="28"/>
        <v>0</v>
      </c>
      <c r="AN13" s="221">
        <f t="shared" si="29"/>
        <v>0</v>
      </c>
      <c r="AO13" s="221">
        <f t="shared" si="30"/>
        <v>0</v>
      </c>
      <c r="AP13" s="221">
        <f t="shared" si="31"/>
        <v>0</v>
      </c>
      <c r="AQ13" s="221">
        <f t="shared" si="32"/>
        <v>0</v>
      </c>
      <c r="AR13" s="221">
        <f t="shared" si="33"/>
        <v>0</v>
      </c>
      <c r="AS13" s="221">
        <f t="shared" si="34"/>
        <v>0</v>
      </c>
      <c r="AT13" s="221">
        <f t="shared" si="35"/>
        <v>0</v>
      </c>
      <c r="AU13" s="221">
        <f t="shared" si="36"/>
        <v>0</v>
      </c>
      <c r="AV13" s="221">
        <f t="shared" si="37"/>
        <v>0</v>
      </c>
      <c r="AW13" s="221">
        <f t="shared" si="38"/>
        <v>0</v>
      </c>
    </row>
    <row r="14" spans="1:49" s="218" customFormat="1" ht="12.75" customHeight="1">
      <c r="A14" s="40" t="str">
        <f t="array" ref="A14">IF(C14&lt;&gt;0,SUM(($C$11:C14&lt;&gt;0)*1),"")</f>
        <v/>
      </c>
      <c r="B14" s="219"/>
      <c r="C14" s="219"/>
      <c r="D14" s="219"/>
      <c r="E14" s="268"/>
      <c r="F14" s="269"/>
      <c r="G14" s="270"/>
      <c r="H14" s="270"/>
      <c r="I14" s="40" t="str">
        <f t="shared" si="0"/>
        <v/>
      </c>
      <c r="J14" s="221">
        <f t="shared" si="1"/>
        <v>0</v>
      </c>
      <c r="K14" s="221">
        <f t="shared" si="2"/>
        <v>0</v>
      </c>
      <c r="L14" s="221">
        <f t="shared" si="3"/>
        <v>0</v>
      </c>
      <c r="M14" s="221">
        <f t="shared" si="4"/>
        <v>0</v>
      </c>
      <c r="N14" s="221">
        <f t="shared" si="5"/>
        <v>0</v>
      </c>
      <c r="O14" s="221">
        <f t="shared" si="6"/>
        <v>0</v>
      </c>
      <c r="P14" s="221">
        <f t="shared" si="7"/>
        <v>0</v>
      </c>
      <c r="Q14" s="221">
        <f t="shared" si="8"/>
        <v>0</v>
      </c>
      <c r="R14" s="221">
        <f t="shared" si="39"/>
        <v>0</v>
      </c>
      <c r="S14" s="221">
        <f t="shared" si="40"/>
        <v>0</v>
      </c>
      <c r="T14" s="221">
        <f t="shared" si="9"/>
        <v>0</v>
      </c>
      <c r="U14" s="221">
        <f t="shared" si="10"/>
        <v>0</v>
      </c>
      <c r="V14" s="221">
        <f t="shared" si="11"/>
        <v>0</v>
      </c>
      <c r="W14" s="221">
        <f t="shared" si="12"/>
        <v>0</v>
      </c>
      <c r="X14" s="221">
        <f t="shared" si="13"/>
        <v>0</v>
      </c>
      <c r="Y14" s="221">
        <f t="shared" si="14"/>
        <v>0</v>
      </c>
      <c r="Z14" s="221">
        <f t="shared" si="15"/>
        <v>0</v>
      </c>
      <c r="AA14" s="221">
        <f t="shared" si="16"/>
        <v>0</v>
      </c>
      <c r="AB14" s="221">
        <f t="shared" si="17"/>
        <v>0</v>
      </c>
      <c r="AC14" s="221">
        <f t="shared" si="18"/>
        <v>0</v>
      </c>
      <c r="AD14" s="221">
        <f t="shared" si="19"/>
        <v>0</v>
      </c>
      <c r="AE14" s="221">
        <f t="shared" si="20"/>
        <v>0</v>
      </c>
      <c r="AF14" s="221">
        <f t="shared" si="21"/>
        <v>0</v>
      </c>
      <c r="AG14" s="221">
        <f t="shared" si="22"/>
        <v>0</v>
      </c>
      <c r="AH14" s="221">
        <f t="shared" si="23"/>
        <v>0</v>
      </c>
      <c r="AI14" s="221">
        <f t="shared" si="24"/>
        <v>0</v>
      </c>
      <c r="AJ14" s="221">
        <f t="shared" si="25"/>
        <v>0</v>
      </c>
      <c r="AK14" s="221">
        <f t="shared" si="26"/>
        <v>0</v>
      </c>
      <c r="AL14" s="221">
        <f t="shared" si="27"/>
        <v>0</v>
      </c>
      <c r="AM14" s="221">
        <f t="shared" si="28"/>
        <v>0</v>
      </c>
      <c r="AN14" s="221">
        <f t="shared" si="29"/>
        <v>0</v>
      </c>
      <c r="AO14" s="221">
        <f t="shared" si="30"/>
        <v>0</v>
      </c>
      <c r="AP14" s="221">
        <f t="shared" si="31"/>
        <v>0</v>
      </c>
      <c r="AQ14" s="221">
        <f t="shared" si="32"/>
        <v>0</v>
      </c>
      <c r="AR14" s="221">
        <f t="shared" si="33"/>
        <v>0</v>
      </c>
      <c r="AS14" s="221">
        <f t="shared" si="34"/>
        <v>0</v>
      </c>
      <c r="AT14" s="221">
        <f t="shared" si="35"/>
        <v>0</v>
      </c>
      <c r="AU14" s="221">
        <f t="shared" si="36"/>
        <v>0</v>
      </c>
      <c r="AV14" s="221">
        <f t="shared" si="37"/>
        <v>0</v>
      </c>
      <c r="AW14" s="221">
        <f t="shared" si="38"/>
        <v>0</v>
      </c>
    </row>
    <row r="15" spans="1:49" s="218" customFormat="1" ht="12.75" customHeight="1">
      <c r="A15" s="40" t="str">
        <f t="array" ref="A15">IF(C15&lt;&gt;0,SUM(($C$11:C15&lt;&gt;0)*1),"")</f>
        <v/>
      </c>
      <c r="B15" s="219"/>
      <c r="C15" s="219"/>
      <c r="D15" s="219"/>
      <c r="E15" s="268"/>
      <c r="F15" s="269"/>
      <c r="G15" s="270"/>
      <c r="H15" s="270"/>
      <c r="I15" s="40" t="str">
        <f t="shared" si="0"/>
        <v/>
      </c>
      <c r="J15" s="221">
        <f t="shared" si="1"/>
        <v>0</v>
      </c>
      <c r="K15" s="221">
        <f t="shared" si="2"/>
        <v>0</v>
      </c>
      <c r="L15" s="221">
        <f t="shared" si="3"/>
        <v>0</v>
      </c>
      <c r="M15" s="221">
        <f t="shared" si="4"/>
        <v>0</v>
      </c>
      <c r="N15" s="221">
        <f t="shared" si="5"/>
        <v>0</v>
      </c>
      <c r="O15" s="221">
        <f t="shared" si="6"/>
        <v>0</v>
      </c>
      <c r="P15" s="221">
        <f t="shared" si="7"/>
        <v>0</v>
      </c>
      <c r="Q15" s="221">
        <f t="shared" si="8"/>
        <v>0</v>
      </c>
      <c r="R15" s="221">
        <f t="shared" si="39"/>
        <v>0</v>
      </c>
      <c r="S15" s="221">
        <f t="shared" si="40"/>
        <v>0</v>
      </c>
      <c r="T15" s="221">
        <f t="shared" si="9"/>
        <v>0</v>
      </c>
      <c r="U15" s="221">
        <f t="shared" si="10"/>
        <v>0</v>
      </c>
      <c r="V15" s="221">
        <f t="shared" si="11"/>
        <v>0</v>
      </c>
      <c r="W15" s="221">
        <f t="shared" si="12"/>
        <v>0</v>
      </c>
      <c r="X15" s="221">
        <f t="shared" si="13"/>
        <v>0</v>
      </c>
      <c r="Y15" s="221">
        <f t="shared" si="14"/>
        <v>0</v>
      </c>
      <c r="Z15" s="221">
        <f t="shared" si="15"/>
        <v>0</v>
      </c>
      <c r="AA15" s="221">
        <f t="shared" si="16"/>
        <v>0</v>
      </c>
      <c r="AB15" s="221">
        <f t="shared" si="17"/>
        <v>0</v>
      </c>
      <c r="AC15" s="221">
        <f t="shared" si="18"/>
        <v>0</v>
      </c>
      <c r="AD15" s="221">
        <f t="shared" si="19"/>
        <v>0</v>
      </c>
      <c r="AE15" s="221">
        <f t="shared" si="20"/>
        <v>0</v>
      </c>
      <c r="AF15" s="221">
        <f t="shared" si="21"/>
        <v>0</v>
      </c>
      <c r="AG15" s="221">
        <f t="shared" si="22"/>
        <v>0</v>
      </c>
      <c r="AH15" s="221">
        <f t="shared" si="23"/>
        <v>0</v>
      </c>
      <c r="AI15" s="221">
        <f t="shared" si="24"/>
        <v>0</v>
      </c>
      <c r="AJ15" s="221">
        <f t="shared" si="25"/>
        <v>0</v>
      </c>
      <c r="AK15" s="221">
        <f t="shared" si="26"/>
        <v>0</v>
      </c>
      <c r="AL15" s="221">
        <f t="shared" si="27"/>
        <v>0</v>
      </c>
      <c r="AM15" s="221">
        <f t="shared" si="28"/>
        <v>0</v>
      </c>
      <c r="AN15" s="221">
        <f t="shared" si="29"/>
        <v>0</v>
      </c>
      <c r="AO15" s="221">
        <f t="shared" si="30"/>
        <v>0</v>
      </c>
      <c r="AP15" s="221">
        <f t="shared" si="31"/>
        <v>0</v>
      </c>
      <c r="AQ15" s="221">
        <f t="shared" si="32"/>
        <v>0</v>
      </c>
      <c r="AR15" s="221">
        <f t="shared" si="33"/>
        <v>0</v>
      </c>
      <c r="AS15" s="221">
        <f t="shared" si="34"/>
        <v>0</v>
      </c>
      <c r="AT15" s="221">
        <f t="shared" si="35"/>
        <v>0</v>
      </c>
      <c r="AU15" s="221">
        <f t="shared" si="36"/>
        <v>0</v>
      </c>
      <c r="AV15" s="221">
        <f t="shared" si="37"/>
        <v>0</v>
      </c>
      <c r="AW15" s="221">
        <f t="shared" si="38"/>
        <v>0</v>
      </c>
    </row>
    <row r="16" spans="1:49" s="218" customFormat="1" ht="12.75" customHeight="1">
      <c r="A16" s="40" t="str">
        <f t="array" ref="A16">IF(C16&lt;&gt;0,SUM(($C$11:C16&lt;&gt;0)*1),"")</f>
        <v/>
      </c>
      <c r="B16" s="219"/>
      <c r="C16" s="219"/>
      <c r="D16" s="219"/>
      <c r="E16" s="268"/>
      <c r="F16" s="269"/>
      <c r="G16" s="270"/>
      <c r="H16" s="270"/>
      <c r="I16" s="40" t="str">
        <f t="shared" si="0"/>
        <v/>
      </c>
      <c r="J16" s="221">
        <f t="shared" si="1"/>
        <v>0</v>
      </c>
      <c r="K16" s="221">
        <f t="shared" si="2"/>
        <v>0</v>
      </c>
      <c r="L16" s="221">
        <f t="shared" si="3"/>
        <v>0</v>
      </c>
      <c r="M16" s="221">
        <f t="shared" si="4"/>
        <v>0</v>
      </c>
      <c r="N16" s="221">
        <f t="shared" si="5"/>
        <v>0</v>
      </c>
      <c r="O16" s="221">
        <f t="shared" si="6"/>
        <v>0</v>
      </c>
      <c r="P16" s="221">
        <f t="shared" si="7"/>
        <v>0</v>
      </c>
      <c r="Q16" s="221">
        <f t="shared" si="8"/>
        <v>0</v>
      </c>
      <c r="R16" s="221">
        <f t="shared" si="39"/>
        <v>0</v>
      </c>
      <c r="S16" s="221">
        <f t="shared" si="40"/>
        <v>0</v>
      </c>
      <c r="T16" s="221">
        <f t="shared" si="9"/>
        <v>0</v>
      </c>
      <c r="U16" s="221">
        <f t="shared" si="10"/>
        <v>0</v>
      </c>
      <c r="V16" s="221">
        <f t="shared" si="11"/>
        <v>0</v>
      </c>
      <c r="W16" s="221">
        <f t="shared" si="12"/>
        <v>0</v>
      </c>
      <c r="X16" s="221">
        <f t="shared" si="13"/>
        <v>0</v>
      </c>
      <c r="Y16" s="221">
        <f t="shared" si="14"/>
        <v>0</v>
      </c>
      <c r="Z16" s="221">
        <f t="shared" si="15"/>
        <v>0</v>
      </c>
      <c r="AA16" s="221">
        <f t="shared" si="16"/>
        <v>0</v>
      </c>
      <c r="AB16" s="221">
        <f t="shared" si="17"/>
        <v>0</v>
      </c>
      <c r="AC16" s="221">
        <f t="shared" si="18"/>
        <v>0</v>
      </c>
      <c r="AD16" s="221">
        <f t="shared" si="19"/>
        <v>0</v>
      </c>
      <c r="AE16" s="221">
        <f t="shared" si="20"/>
        <v>0</v>
      </c>
      <c r="AF16" s="221">
        <f t="shared" si="21"/>
        <v>0</v>
      </c>
      <c r="AG16" s="221">
        <f t="shared" si="22"/>
        <v>0</v>
      </c>
      <c r="AH16" s="221">
        <f t="shared" si="23"/>
        <v>0</v>
      </c>
      <c r="AI16" s="221">
        <f t="shared" si="24"/>
        <v>0</v>
      </c>
      <c r="AJ16" s="221">
        <f t="shared" si="25"/>
        <v>0</v>
      </c>
      <c r="AK16" s="221">
        <f t="shared" si="26"/>
        <v>0</v>
      </c>
      <c r="AL16" s="221">
        <f t="shared" si="27"/>
        <v>0</v>
      </c>
      <c r="AM16" s="221">
        <f t="shared" si="28"/>
        <v>0</v>
      </c>
      <c r="AN16" s="221">
        <f t="shared" si="29"/>
        <v>0</v>
      </c>
      <c r="AO16" s="221">
        <f t="shared" si="30"/>
        <v>0</v>
      </c>
      <c r="AP16" s="221">
        <f t="shared" si="31"/>
        <v>0</v>
      </c>
      <c r="AQ16" s="221">
        <f t="shared" si="32"/>
        <v>0</v>
      </c>
      <c r="AR16" s="221">
        <f t="shared" si="33"/>
        <v>0</v>
      </c>
      <c r="AS16" s="221">
        <f t="shared" si="34"/>
        <v>0</v>
      </c>
      <c r="AT16" s="221">
        <f t="shared" si="35"/>
        <v>0</v>
      </c>
      <c r="AU16" s="221">
        <f t="shared" si="36"/>
        <v>0</v>
      </c>
      <c r="AV16" s="221">
        <f t="shared" si="37"/>
        <v>0</v>
      </c>
      <c r="AW16" s="221">
        <f t="shared" si="38"/>
        <v>0</v>
      </c>
    </row>
    <row r="17" spans="1:49" s="218" customFormat="1" ht="12.75" customHeight="1">
      <c r="A17" s="40" t="str">
        <f t="array" ref="A17">IF(C17&lt;&gt;0,SUM(($C$11:C17&lt;&gt;0)*1),"")</f>
        <v/>
      </c>
      <c r="B17" s="219"/>
      <c r="C17" s="219"/>
      <c r="D17" s="219"/>
      <c r="E17" s="268"/>
      <c r="F17" s="269"/>
      <c r="G17" s="270"/>
      <c r="H17" s="270"/>
      <c r="I17" s="40" t="str">
        <f t="shared" si="0"/>
        <v/>
      </c>
      <c r="J17" s="221">
        <f t="shared" si="1"/>
        <v>0</v>
      </c>
      <c r="K17" s="221">
        <f t="shared" si="2"/>
        <v>0</v>
      </c>
      <c r="L17" s="221">
        <f t="shared" si="3"/>
        <v>0</v>
      </c>
      <c r="M17" s="221">
        <f t="shared" si="4"/>
        <v>0</v>
      </c>
      <c r="N17" s="221">
        <f t="shared" si="5"/>
        <v>0</v>
      </c>
      <c r="O17" s="221">
        <f t="shared" si="6"/>
        <v>0</v>
      </c>
      <c r="P17" s="221">
        <f t="shared" si="7"/>
        <v>0</v>
      </c>
      <c r="Q17" s="221">
        <f t="shared" si="8"/>
        <v>0</v>
      </c>
      <c r="R17" s="221">
        <f t="shared" si="39"/>
        <v>0</v>
      </c>
      <c r="S17" s="221">
        <f t="shared" si="40"/>
        <v>0</v>
      </c>
      <c r="T17" s="221">
        <f t="shared" si="9"/>
        <v>0</v>
      </c>
      <c r="U17" s="221">
        <f t="shared" si="10"/>
        <v>0</v>
      </c>
      <c r="V17" s="221">
        <f t="shared" si="11"/>
        <v>0</v>
      </c>
      <c r="W17" s="221">
        <f t="shared" si="12"/>
        <v>0</v>
      </c>
      <c r="X17" s="221">
        <f t="shared" si="13"/>
        <v>0</v>
      </c>
      <c r="Y17" s="221">
        <f t="shared" si="14"/>
        <v>0</v>
      </c>
      <c r="Z17" s="221">
        <f t="shared" si="15"/>
        <v>0</v>
      </c>
      <c r="AA17" s="221">
        <f t="shared" si="16"/>
        <v>0</v>
      </c>
      <c r="AB17" s="221">
        <f t="shared" si="17"/>
        <v>0</v>
      </c>
      <c r="AC17" s="221">
        <f t="shared" si="18"/>
        <v>0</v>
      </c>
      <c r="AD17" s="221">
        <f t="shared" si="19"/>
        <v>0</v>
      </c>
      <c r="AE17" s="221">
        <f t="shared" si="20"/>
        <v>0</v>
      </c>
      <c r="AF17" s="221">
        <f t="shared" si="21"/>
        <v>0</v>
      </c>
      <c r="AG17" s="221">
        <f t="shared" si="22"/>
        <v>0</v>
      </c>
      <c r="AH17" s="221">
        <f t="shared" si="23"/>
        <v>0</v>
      </c>
      <c r="AI17" s="221">
        <f t="shared" si="24"/>
        <v>0</v>
      </c>
      <c r="AJ17" s="221">
        <f t="shared" si="25"/>
        <v>0</v>
      </c>
      <c r="AK17" s="221">
        <f t="shared" si="26"/>
        <v>0</v>
      </c>
      <c r="AL17" s="221">
        <f t="shared" si="27"/>
        <v>0</v>
      </c>
      <c r="AM17" s="221">
        <f t="shared" si="28"/>
        <v>0</v>
      </c>
      <c r="AN17" s="221">
        <f t="shared" si="29"/>
        <v>0</v>
      </c>
      <c r="AO17" s="221">
        <f t="shared" si="30"/>
        <v>0</v>
      </c>
      <c r="AP17" s="221">
        <f t="shared" si="31"/>
        <v>0</v>
      </c>
      <c r="AQ17" s="221">
        <f t="shared" si="32"/>
        <v>0</v>
      </c>
      <c r="AR17" s="221">
        <f t="shared" si="33"/>
        <v>0</v>
      </c>
      <c r="AS17" s="221">
        <f t="shared" si="34"/>
        <v>0</v>
      </c>
      <c r="AT17" s="221">
        <f t="shared" si="35"/>
        <v>0</v>
      </c>
      <c r="AU17" s="221">
        <f t="shared" si="36"/>
        <v>0</v>
      </c>
      <c r="AV17" s="221">
        <f t="shared" si="37"/>
        <v>0</v>
      </c>
      <c r="AW17" s="221">
        <f t="shared" si="38"/>
        <v>0</v>
      </c>
    </row>
    <row r="18" spans="1:49" s="218" customFormat="1" ht="12.75" customHeight="1">
      <c r="A18" s="40" t="str">
        <f t="array" ref="A18">IF(C18&lt;&gt;0,SUM(($C$11:C18&lt;&gt;0)*1),"")</f>
        <v/>
      </c>
      <c r="B18" s="219"/>
      <c r="C18" s="219"/>
      <c r="D18" s="219"/>
      <c r="E18" s="268"/>
      <c r="F18" s="269"/>
      <c r="G18" s="270"/>
      <c r="H18" s="270"/>
      <c r="I18" s="40" t="str">
        <f t="shared" si="0"/>
        <v/>
      </c>
      <c r="J18" s="221">
        <f t="shared" si="1"/>
        <v>0</v>
      </c>
      <c r="K18" s="221">
        <f t="shared" si="2"/>
        <v>0</v>
      </c>
      <c r="L18" s="221">
        <f t="shared" si="3"/>
        <v>0</v>
      </c>
      <c r="M18" s="221">
        <f t="shared" si="4"/>
        <v>0</v>
      </c>
      <c r="N18" s="221">
        <f t="shared" si="5"/>
        <v>0</v>
      </c>
      <c r="O18" s="221">
        <f t="shared" si="6"/>
        <v>0</v>
      </c>
      <c r="P18" s="221">
        <f t="shared" si="7"/>
        <v>0</v>
      </c>
      <c r="Q18" s="221">
        <f t="shared" si="8"/>
        <v>0</v>
      </c>
      <c r="R18" s="221">
        <f t="shared" si="39"/>
        <v>0</v>
      </c>
      <c r="S18" s="221">
        <f t="shared" si="40"/>
        <v>0</v>
      </c>
      <c r="T18" s="221">
        <f t="shared" si="9"/>
        <v>0</v>
      </c>
      <c r="U18" s="221">
        <f t="shared" si="10"/>
        <v>0</v>
      </c>
      <c r="V18" s="221">
        <f t="shared" si="11"/>
        <v>0</v>
      </c>
      <c r="W18" s="221">
        <f t="shared" si="12"/>
        <v>0</v>
      </c>
      <c r="X18" s="221">
        <f t="shared" si="13"/>
        <v>0</v>
      </c>
      <c r="Y18" s="221">
        <f t="shared" si="14"/>
        <v>0</v>
      </c>
      <c r="Z18" s="221">
        <f t="shared" si="15"/>
        <v>0</v>
      </c>
      <c r="AA18" s="221">
        <f t="shared" si="16"/>
        <v>0</v>
      </c>
      <c r="AB18" s="221">
        <f t="shared" si="17"/>
        <v>0</v>
      </c>
      <c r="AC18" s="221">
        <f t="shared" si="18"/>
        <v>0</v>
      </c>
      <c r="AD18" s="221">
        <f t="shared" si="19"/>
        <v>0</v>
      </c>
      <c r="AE18" s="221">
        <f t="shared" si="20"/>
        <v>0</v>
      </c>
      <c r="AF18" s="221">
        <f t="shared" si="21"/>
        <v>0</v>
      </c>
      <c r="AG18" s="221">
        <f t="shared" si="22"/>
        <v>0</v>
      </c>
      <c r="AH18" s="221">
        <f t="shared" si="23"/>
        <v>0</v>
      </c>
      <c r="AI18" s="221">
        <f t="shared" si="24"/>
        <v>0</v>
      </c>
      <c r="AJ18" s="221">
        <f t="shared" si="25"/>
        <v>0</v>
      </c>
      <c r="AK18" s="221">
        <f t="shared" si="26"/>
        <v>0</v>
      </c>
      <c r="AL18" s="221">
        <f t="shared" si="27"/>
        <v>0</v>
      </c>
      <c r="AM18" s="221">
        <f t="shared" si="28"/>
        <v>0</v>
      </c>
      <c r="AN18" s="221">
        <f t="shared" si="29"/>
        <v>0</v>
      </c>
      <c r="AO18" s="221">
        <f t="shared" si="30"/>
        <v>0</v>
      </c>
      <c r="AP18" s="221">
        <f t="shared" si="31"/>
        <v>0</v>
      </c>
      <c r="AQ18" s="221">
        <f t="shared" si="32"/>
        <v>0</v>
      </c>
      <c r="AR18" s="221">
        <f t="shared" si="33"/>
        <v>0</v>
      </c>
      <c r="AS18" s="221">
        <f t="shared" si="34"/>
        <v>0</v>
      </c>
      <c r="AT18" s="221">
        <f t="shared" si="35"/>
        <v>0</v>
      </c>
      <c r="AU18" s="221">
        <f t="shared" si="36"/>
        <v>0</v>
      </c>
      <c r="AV18" s="221">
        <f t="shared" si="37"/>
        <v>0</v>
      </c>
      <c r="AW18" s="221">
        <f t="shared" si="38"/>
        <v>0</v>
      </c>
    </row>
    <row r="19" spans="1:49" s="218" customFormat="1" ht="12.75" customHeight="1">
      <c r="A19" s="40" t="str">
        <f t="array" ref="A19">IF(C19&lt;&gt;0,SUM(($C$11:C19&lt;&gt;0)*1),"")</f>
        <v/>
      </c>
      <c r="B19" s="219"/>
      <c r="C19" s="219"/>
      <c r="D19" s="219"/>
      <c r="E19" s="268"/>
      <c r="F19" s="269"/>
      <c r="G19" s="270"/>
      <c r="H19" s="270"/>
      <c r="I19" s="40" t="str">
        <f t="shared" si="0"/>
        <v/>
      </c>
      <c r="J19" s="221">
        <f t="shared" si="1"/>
        <v>0</v>
      </c>
      <c r="K19" s="221">
        <f t="shared" si="2"/>
        <v>0</v>
      </c>
      <c r="L19" s="221">
        <f t="shared" si="3"/>
        <v>0</v>
      </c>
      <c r="M19" s="221">
        <f t="shared" si="4"/>
        <v>0</v>
      </c>
      <c r="N19" s="221">
        <f t="shared" si="5"/>
        <v>0</v>
      </c>
      <c r="O19" s="221">
        <f t="shared" si="6"/>
        <v>0</v>
      </c>
      <c r="P19" s="221">
        <f t="shared" si="7"/>
        <v>0</v>
      </c>
      <c r="Q19" s="221">
        <f t="shared" si="8"/>
        <v>0</v>
      </c>
      <c r="R19" s="221">
        <f t="shared" si="39"/>
        <v>0</v>
      </c>
      <c r="S19" s="221">
        <f t="shared" si="40"/>
        <v>0</v>
      </c>
      <c r="T19" s="221">
        <f t="shared" si="9"/>
        <v>0</v>
      </c>
      <c r="U19" s="221">
        <f t="shared" si="10"/>
        <v>0</v>
      </c>
      <c r="V19" s="221">
        <f t="shared" si="11"/>
        <v>0</v>
      </c>
      <c r="W19" s="221">
        <f t="shared" si="12"/>
        <v>0</v>
      </c>
      <c r="X19" s="221">
        <f t="shared" si="13"/>
        <v>0</v>
      </c>
      <c r="Y19" s="221">
        <f t="shared" si="14"/>
        <v>0</v>
      </c>
      <c r="Z19" s="221">
        <f t="shared" si="15"/>
        <v>0</v>
      </c>
      <c r="AA19" s="221">
        <f t="shared" si="16"/>
        <v>0</v>
      </c>
      <c r="AB19" s="221">
        <f t="shared" si="17"/>
        <v>0</v>
      </c>
      <c r="AC19" s="221">
        <f t="shared" si="18"/>
        <v>0</v>
      </c>
      <c r="AD19" s="221">
        <f t="shared" si="19"/>
        <v>0</v>
      </c>
      <c r="AE19" s="221">
        <f t="shared" si="20"/>
        <v>0</v>
      </c>
      <c r="AF19" s="221">
        <f t="shared" si="21"/>
        <v>0</v>
      </c>
      <c r="AG19" s="221">
        <f t="shared" si="22"/>
        <v>0</v>
      </c>
      <c r="AH19" s="221">
        <f t="shared" si="23"/>
        <v>0</v>
      </c>
      <c r="AI19" s="221">
        <f t="shared" si="24"/>
        <v>0</v>
      </c>
      <c r="AJ19" s="221">
        <f t="shared" si="25"/>
        <v>0</v>
      </c>
      <c r="AK19" s="221">
        <f t="shared" si="26"/>
        <v>0</v>
      </c>
      <c r="AL19" s="221">
        <f t="shared" si="27"/>
        <v>0</v>
      </c>
      <c r="AM19" s="221">
        <f t="shared" si="28"/>
        <v>0</v>
      </c>
      <c r="AN19" s="221">
        <f t="shared" si="29"/>
        <v>0</v>
      </c>
      <c r="AO19" s="221">
        <f t="shared" si="30"/>
        <v>0</v>
      </c>
      <c r="AP19" s="221">
        <f t="shared" si="31"/>
        <v>0</v>
      </c>
      <c r="AQ19" s="221">
        <f t="shared" si="32"/>
        <v>0</v>
      </c>
      <c r="AR19" s="221">
        <f t="shared" si="33"/>
        <v>0</v>
      </c>
      <c r="AS19" s="221">
        <f t="shared" si="34"/>
        <v>0</v>
      </c>
      <c r="AT19" s="221">
        <f t="shared" si="35"/>
        <v>0</v>
      </c>
      <c r="AU19" s="221">
        <f t="shared" si="36"/>
        <v>0</v>
      </c>
      <c r="AV19" s="221">
        <f t="shared" si="37"/>
        <v>0</v>
      </c>
      <c r="AW19" s="221">
        <f t="shared" si="38"/>
        <v>0</v>
      </c>
    </row>
    <row r="20" spans="1:49" s="218" customFormat="1" ht="12.75" customHeight="1">
      <c r="A20" s="40" t="str">
        <f t="array" ref="A20">IF(C20&lt;&gt;0,SUM(($C$11:C20&lt;&gt;0)*1),"")</f>
        <v/>
      </c>
      <c r="B20" s="219"/>
      <c r="C20" s="219"/>
      <c r="D20" s="219"/>
      <c r="E20" s="268"/>
      <c r="F20" s="269"/>
      <c r="G20" s="270"/>
      <c r="H20" s="270"/>
      <c r="I20" s="40" t="str">
        <f t="shared" si="0"/>
        <v/>
      </c>
      <c r="J20" s="221">
        <f t="shared" si="1"/>
        <v>0</v>
      </c>
      <c r="K20" s="221">
        <f t="shared" si="2"/>
        <v>0</v>
      </c>
      <c r="L20" s="221">
        <f t="shared" si="3"/>
        <v>0</v>
      </c>
      <c r="M20" s="221">
        <f t="shared" si="4"/>
        <v>0</v>
      </c>
      <c r="N20" s="221">
        <f t="shared" si="5"/>
        <v>0</v>
      </c>
      <c r="O20" s="221">
        <f t="shared" si="6"/>
        <v>0</v>
      </c>
      <c r="P20" s="221">
        <f t="shared" si="7"/>
        <v>0</v>
      </c>
      <c r="Q20" s="221">
        <f t="shared" si="8"/>
        <v>0</v>
      </c>
      <c r="R20" s="221">
        <f t="shared" si="39"/>
        <v>0</v>
      </c>
      <c r="S20" s="221">
        <f t="shared" si="40"/>
        <v>0</v>
      </c>
      <c r="T20" s="221">
        <f t="shared" si="9"/>
        <v>0</v>
      </c>
      <c r="U20" s="221">
        <f t="shared" si="10"/>
        <v>0</v>
      </c>
      <c r="V20" s="221">
        <f t="shared" si="11"/>
        <v>0</v>
      </c>
      <c r="W20" s="221">
        <f t="shared" si="12"/>
        <v>0</v>
      </c>
      <c r="X20" s="221">
        <f t="shared" si="13"/>
        <v>0</v>
      </c>
      <c r="Y20" s="221">
        <f t="shared" si="14"/>
        <v>0</v>
      </c>
      <c r="Z20" s="221">
        <f t="shared" si="15"/>
        <v>0</v>
      </c>
      <c r="AA20" s="221">
        <f t="shared" si="16"/>
        <v>0</v>
      </c>
      <c r="AB20" s="221">
        <f t="shared" si="17"/>
        <v>0</v>
      </c>
      <c r="AC20" s="221">
        <f t="shared" si="18"/>
        <v>0</v>
      </c>
      <c r="AD20" s="221">
        <f t="shared" si="19"/>
        <v>0</v>
      </c>
      <c r="AE20" s="221">
        <f t="shared" si="20"/>
        <v>0</v>
      </c>
      <c r="AF20" s="221">
        <f t="shared" si="21"/>
        <v>0</v>
      </c>
      <c r="AG20" s="221">
        <f t="shared" si="22"/>
        <v>0</v>
      </c>
      <c r="AH20" s="221">
        <f t="shared" si="23"/>
        <v>0</v>
      </c>
      <c r="AI20" s="221">
        <f t="shared" si="24"/>
        <v>0</v>
      </c>
      <c r="AJ20" s="221">
        <f t="shared" si="25"/>
        <v>0</v>
      </c>
      <c r="AK20" s="221">
        <f t="shared" si="26"/>
        <v>0</v>
      </c>
      <c r="AL20" s="221">
        <f t="shared" si="27"/>
        <v>0</v>
      </c>
      <c r="AM20" s="221">
        <f t="shared" si="28"/>
        <v>0</v>
      </c>
      <c r="AN20" s="221">
        <f t="shared" si="29"/>
        <v>0</v>
      </c>
      <c r="AO20" s="221">
        <f t="shared" si="30"/>
        <v>0</v>
      </c>
      <c r="AP20" s="221">
        <f t="shared" si="31"/>
        <v>0</v>
      </c>
      <c r="AQ20" s="221">
        <f t="shared" si="32"/>
        <v>0</v>
      </c>
      <c r="AR20" s="221">
        <f t="shared" si="33"/>
        <v>0</v>
      </c>
      <c r="AS20" s="221">
        <f t="shared" si="34"/>
        <v>0</v>
      </c>
      <c r="AT20" s="221">
        <f t="shared" si="35"/>
        <v>0</v>
      </c>
      <c r="AU20" s="221">
        <f t="shared" si="36"/>
        <v>0</v>
      </c>
      <c r="AV20" s="221">
        <f t="shared" si="37"/>
        <v>0</v>
      </c>
      <c r="AW20" s="221">
        <f t="shared" si="38"/>
        <v>0</v>
      </c>
    </row>
    <row r="21" spans="1:49" s="218" customFormat="1" ht="12.75" customHeight="1">
      <c r="A21" s="40" t="str">
        <f t="array" ref="A21">IF(C21&lt;&gt;0,SUM(($C$11:C21&lt;&gt;0)*1),"")</f>
        <v/>
      </c>
      <c r="B21" s="219"/>
      <c r="C21" s="219"/>
      <c r="D21" s="219"/>
      <c r="E21" s="268"/>
      <c r="F21" s="269"/>
      <c r="G21" s="270"/>
      <c r="H21" s="270"/>
      <c r="I21" s="40" t="str">
        <f t="shared" si="0"/>
        <v/>
      </c>
      <c r="J21" s="221">
        <f t="shared" si="1"/>
        <v>0</v>
      </c>
      <c r="K21" s="221">
        <f t="shared" si="2"/>
        <v>0</v>
      </c>
      <c r="L21" s="221">
        <f t="shared" si="3"/>
        <v>0</v>
      </c>
      <c r="M21" s="221">
        <f t="shared" si="4"/>
        <v>0</v>
      </c>
      <c r="N21" s="221">
        <f t="shared" si="5"/>
        <v>0</v>
      </c>
      <c r="O21" s="221">
        <f t="shared" si="6"/>
        <v>0</v>
      </c>
      <c r="P21" s="221">
        <f t="shared" si="7"/>
        <v>0</v>
      </c>
      <c r="Q21" s="221">
        <f t="shared" si="8"/>
        <v>0</v>
      </c>
      <c r="R21" s="221">
        <f t="shared" si="39"/>
        <v>0</v>
      </c>
      <c r="S21" s="221">
        <f t="shared" si="40"/>
        <v>0</v>
      </c>
      <c r="T21" s="221">
        <f t="shared" si="9"/>
        <v>0</v>
      </c>
      <c r="U21" s="221">
        <f t="shared" si="10"/>
        <v>0</v>
      </c>
      <c r="V21" s="221">
        <f t="shared" si="11"/>
        <v>0</v>
      </c>
      <c r="W21" s="221">
        <f t="shared" si="12"/>
        <v>0</v>
      </c>
      <c r="X21" s="221">
        <f t="shared" si="13"/>
        <v>0</v>
      </c>
      <c r="Y21" s="221">
        <f t="shared" si="14"/>
        <v>0</v>
      </c>
      <c r="Z21" s="221">
        <f t="shared" si="15"/>
        <v>0</v>
      </c>
      <c r="AA21" s="221">
        <f t="shared" si="16"/>
        <v>0</v>
      </c>
      <c r="AB21" s="221">
        <f t="shared" si="17"/>
        <v>0</v>
      </c>
      <c r="AC21" s="221">
        <f t="shared" si="18"/>
        <v>0</v>
      </c>
      <c r="AD21" s="221">
        <f t="shared" si="19"/>
        <v>0</v>
      </c>
      <c r="AE21" s="221">
        <f t="shared" si="20"/>
        <v>0</v>
      </c>
      <c r="AF21" s="221">
        <f t="shared" si="21"/>
        <v>0</v>
      </c>
      <c r="AG21" s="221">
        <f t="shared" si="22"/>
        <v>0</v>
      </c>
      <c r="AH21" s="221">
        <f t="shared" si="23"/>
        <v>0</v>
      </c>
      <c r="AI21" s="221">
        <f t="shared" si="24"/>
        <v>0</v>
      </c>
      <c r="AJ21" s="221">
        <f t="shared" si="25"/>
        <v>0</v>
      </c>
      <c r="AK21" s="221">
        <f t="shared" si="26"/>
        <v>0</v>
      </c>
      <c r="AL21" s="221">
        <f t="shared" si="27"/>
        <v>0</v>
      </c>
      <c r="AM21" s="221">
        <f t="shared" si="28"/>
        <v>0</v>
      </c>
      <c r="AN21" s="221">
        <f t="shared" si="29"/>
        <v>0</v>
      </c>
      <c r="AO21" s="221">
        <f t="shared" si="30"/>
        <v>0</v>
      </c>
      <c r="AP21" s="221">
        <f t="shared" si="31"/>
        <v>0</v>
      </c>
      <c r="AQ21" s="221">
        <f t="shared" si="32"/>
        <v>0</v>
      </c>
      <c r="AR21" s="221">
        <f t="shared" si="33"/>
        <v>0</v>
      </c>
      <c r="AS21" s="221">
        <f t="shared" si="34"/>
        <v>0</v>
      </c>
      <c r="AT21" s="221">
        <f t="shared" si="35"/>
        <v>0</v>
      </c>
      <c r="AU21" s="221">
        <f t="shared" si="36"/>
        <v>0</v>
      </c>
      <c r="AV21" s="221">
        <f t="shared" si="37"/>
        <v>0</v>
      </c>
      <c r="AW21" s="221">
        <f t="shared" si="38"/>
        <v>0</v>
      </c>
    </row>
    <row r="22" spans="1:49" s="218" customFormat="1" ht="12.75" customHeight="1">
      <c r="A22" s="40" t="str">
        <f t="array" ref="A22">IF(C22&lt;&gt;0,SUM(($C$11:C22&lt;&gt;0)*1),"")</f>
        <v/>
      </c>
      <c r="B22" s="219"/>
      <c r="C22" s="219"/>
      <c r="D22" s="219"/>
      <c r="E22" s="268"/>
      <c r="F22" s="269"/>
      <c r="G22" s="270"/>
      <c r="H22" s="270"/>
      <c r="I22" s="40" t="str">
        <f t="shared" si="0"/>
        <v/>
      </c>
      <c r="J22" s="221">
        <f t="shared" si="1"/>
        <v>0</v>
      </c>
      <c r="K22" s="221">
        <f t="shared" si="2"/>
        <v>0</v>
      </c>
      <c r="L22" s="221">
        <f t="shared" si="3"/>
        <v>0</v>
      </c>
      <c r="M22" s="221">
        <f t="shared" si="4"/>
        <v>0</v>
      </c>
      <c r="N22" s="221">
        <f t="shared" si="5"/>
        <v>0</v>
      </c>
      <c r="O22" s="221">
        <f t="shared" si="6"/>
        <v>0</v>
      </c>
      <c r="P22" s="221">
        <f t="shared" si="7"/>
        <v>0</v>
      </c>
      <c r="Q22" s="221">
        <f t="shared" si="8"/>
        <v>0</v>
      </c>
      <c r="R22" s="221">
        <f t="shared" si="39"/>
        <v>0</v>
      </c>
      <c r="S22" s="221">
        <f t="shared" si="40"/>
        <v>0</v>
      </c>
      <c r="T22" s="221">
        <f t="shared" si="9"/>
        <v>0</v>
      </c>
      <c r="U22" s="221">
        <f t="shared" si="10"/>
        <v>0</v>
      </c>
      <c r="V22" s="221">
        <f t="shared" si="11"/>
        <v>0</v>
      </c>
      <c r="W22" s="221">
        <f t="shared" si="12"/>
        <v>0</v>
      </c>
      <c r="X22" s="221">
        <f t="shared" si="13"/>
        <v>0</v>
      </c>
      <c r="Y22" s="221">
        <f t="shared" si="14"/>
        <v>0</v>
      </c>
      <c r="Z22" s="221">
        <f t="shared" si="15"/>
        <v>0</v>
      </c>
      <c r="AA22" s="221">
        <f t="shared" si="16"/>
        <v>0</v>
      </c>
      <c r="AB22" s="221">
        <f t="shared" si="17"/>
        <v>0</v>
      </c>
      <c r="AC22" s="221">
        <f t="shared" si="18"/>
        <v>0</v>
      </c>
      <c r="AD22" s="221">
        <f t="shared" si="19"/>
        <v>0</v>
      </c>
      <c r="AE22" s="221">
        <f t="shared" si="20"/>
        <v>0</v>
      </c>
      <c r="AF22" s="221">
        <f t="shared" si="21"/>
        <v>0</v>
      </c>
      <c r="AG22" s="221">
        <f t="shared" si="22"/>
        <v>0</v>
      </c>
      <c r="AH22" s="221">
        <f t="shared" si="23"/>
        <v>0</v>
      </c>
      <c r="AI22" s="221">
        <f t="shared" si="24"/>
        <v>0</v>
      </c>
      <c r="AJ22" s="221">
        <f t="shared" si="25"/>
        <v>0</v>
      </c>
      <c r="AK22" s="221">
        <f t="shared" si="26"/>
        <v>0</v>
      </c>
      <c r="AL22" s="221">
        <f t="shared" si="27"/>
        <v>0</v>
      </c>
      <c r="AM22" s="221">
        <f t="shared" si="28"/>
        <v>0</v>
      </c>
      <c r="AN22" s="221">
        <f t="shared" si="29"/>
        <v>0</v>
      </c>
      <c r="AO22" s="221">
        <f t="shared" si="30"/>
        <v>0</v>
      </c>
      <c r="AP22" s="221">
        <f t="shared" si="31"/>
        <v>0</v>
      </c>
      <c r="AQ22" s="221">
        <f t="shared" si="32"/>
        <v>0</v>
      </c>
      <c r="AR22" s="221">
        <f t="shared" si="33"/>
        <v>0</v>
      </c>
      <c r="AS22" s="221">
        <f t="shared" si="34"/>
        <v>0</v>
      </c>
      <c r="AT22" s="221">
        <f t="shared" si="35"/>
        <v>0</v>
      </c>
      <c r="AU22" s="221">
        <f t="shared" si="36"/>
        <v>0</v>
      </c>
      <c r="AV22" s="221">
        <f t="shared" si="37"/>
        <v>0</v>
      </c>
      <c r="AW22" s="221">
        <f t="shared" si="38"/>
        <v>0</v>
      </c>
    </row>
    <row r="23" spans="1:49" s="218" customFormat="1" ht="12.75" customHeight="1">
      <c r="A23" s="40">
        <f t="array" aca="1" ref="A23" ca="1">IF(C23&lt;&gt;0,SUM(($C$11:C23&lt;&gt;0)*1),"")</f>
        <v>2</v>
      </c>
      <c r="B23" s="219">
        <v>42094</v>
      </c>
      <c r="C23" s="222" t="s">
        <v>101</v>
      </c>
      <c r="D23" s="222">
        <f>B23</f>
        <v>42094</v>
      </c>
      <c r="E23" s="223" t="s">
        <v>191</v>
      </c>
      <c r="F23" s="62"/>
      <c r="G23" s="224" t="s">
        <v>78</v>
      </c>
      <c r="H23" s="224" t="s">
        <v>80</v>
      </c>
      <c r="I23" s="40">
        <f ca="1">A23</f>
        <v>2</v>
      </c>
      <c r="J23" s="221">
        <f t="shared" si="1"/>
        <v>0</v>
      </c>
      <c r="K23" s="221">
        <f t="shared" si="2"/>
        <v>0</v>
      </c>
      <c r="L23" s="221">
        <f t="shared" si="3"/>
        <v>0</v>
      </c>
      <c r="M23" s="221">
        <f t="shared" si="4"/>
        <v>0</v>
      </c>
      <c r="N23" s="221">
        <f t="shared" si="5"/>
        <v>0</v>
      </c>
      <c r="O23" s="221">
        <f t="shared" si="6"/>
        <v>0</v>
      </c>
      <c r="P23" s="221">
        <f t="shared" si="7"/>
        <v>0</v>
      </c>
      <c r="Q23" s="221">
        <f t="shared" si="8"/>
        <v>0</v>
      </c>
      <c r="R23" s="221">
        <f t="shared" si="39"/>
        <v>0</v>
      </c>
      <c r="S23" s="221">
        <f t="shared" si="40"/>
        <v>0</v>
      </c>
      <c r="T23" s="221">
        <f t="shared" si="9"/>
        <v>0</v>
      </c>
      <c r="U23" s="221">
        <f t="shared" si="10"/>
        <v>0</v>
      </c>
      <c r="V23" s="221">
        <f t="shared" si="11"/>
        <v>0</v>
      </c>
      <c r="W23" s="221">
        <f t="shared" si="12"/>
        <v>0</v>
      </c>
      <c r="X23" s="221">
        <f t="shared" si="13"/>
        <v>0</v>
      </c>
      <c r="Y23" s="221">
        <f t="shared" si="14"/>
        <v>0</v>
      </c>
      <c r="Z23" s="221">
        <f t="shared" si="15"/>
        <v>0</v>
      </c>
      <c r="AA23" s="221">
        <f t="shared" si="16"/>
        <v>0</v>
      </c>
      <c r="AB23" s="221">
        <f t="shared" si="17"/>
        <v>0</v>
      </c>
      <c r="AC23" s="221">
        <f t="shared" si="18"/>
        <v>0</v>
      </c>
      <c r="AD23" s="221">
        <f t="shared" si="19"/>
        <v>0</v>
      </c>
      <c r="AE23" s="221">
        <f t="shared" si="20"/>
        <v>0</v>
      </c>
      <c r="AF23" s="221">
        <f t="shared" si="21"/>
        <v>0</v>
      </c>
      <c r="AG23" s="221">
        <f t="shared" si="22"/>
        <v>0</v>
      </c>
      <c r="AH23" s="221">
        <f t="shared" si="23"/>
        <v>0</v>
      </c>
      <c r="AI23" s="221">
        <f t="shared" si="24"/>
        <v>0</v>
      </c>
      <c r="AJ23" s="221">
        <f t="shared" si="25"/>
        <v>0</v>
      </c>
      <c r="AK23" s="221">
        <f t="shared" si="26"/>
        <v>0</v>
      </c>
      <c r="AL23" s="221">
        <f t="shared" si="27"/>
        <v>0</v>
      </c>
      <c r="AM23" s="221">
        <f t="shared" si="28"/>
        <v>0</v>
      </c>
      <c r="AN23" s="221">
        <f t="shared" si="29"/>
        <v>0</v>
      </c>
      <c r="AO23" s="221">
        <f t="shared" si="30"/>
        <v>0</v>
      </c>
      <c r="AP23" s="221">
        <f t="shared" si="31"/>
        <v>0</v>
      </c>
      <c r="AQ23" s="221">
        <f t="shared" si="32"/>
        <v>0</v>
      </c>
      <c r="AR23" s="221">
        <f t="shared" si="33"/>
        <v>0</v>
      </c>
      <c r="AS23" s="221">
        <f t="shared" si="34"/>
        <v>0</v>
      </c>
      <c r="AT23" s="221">
        <f t="shared" si="35"/>
        <v>0</v>
      </c>
      <c r="AU23" s="221">
        <f t="shared" si="36"/>
        <v>0</v>
      </c>
      <c r="AV23" s="221">
        <f t="shared" si="37"/>
        <v>0</v>
      </c>
      <c r="AW23" s="221">
        <f t="shared" si="38"/>
        <v>0</v>
      </c>
    </row>
    <row r="24" spans="1:49" s="218" customFormat="1" ht="12.75" customHeight="1">
      <c r="A24" s="40">
        <f t="array" aca="1" ref="A24" ca="1">IF(C24&lt;&gt;0,SUM(($C$11:C24&lt;&gt;0)*1),"")</f>
        <v>3</v>
      </c>
      <c r="B24" s="219">
        <v>42094</v>
      </c>
      <c r="C24" s="222" t="s">
        <v>101</v>
      </c>
      <c r="D24" s="222">
        <f t="shared" ref="D24:D27" si="41">B24</f>
        <v>42094</v>
      </c>
      <c r="E24" s="223" t="s">
        <v>102</v>
      </c>
      <c r="F24" s="62">
        <f ca="1">AL31</f>
        <v>0</v>
      </c>
      <c r="G24" s="224" t="s">
        <v>151</v>
      </c>
      <c r="H24" s="224" t="s">
        <v>85</v>
      </c>
      <c r="I24" s="40">
        <f t="shared" ref="I24:I30" ca="1" si="42">A24</f>
        <v>3</v>
      </c>
      <c r="J24" s="221">
        <f t="shared" si="1"/>
        <v>0</v>
      </c>
      <c r="K24" s="221">
        <f t="shared" si="2"/>
        <v>0</v>
      </c>
      <c r="L24" s="221">
        <f t="shared" si="3"/>
        <v>0</v>
      </c>
      <c r="M24" s="221">
        <f t="shared" si="4"/>
        <v>0</v>
      </c>
      <c r="N24" s="221">
        <f t="shared" si="5"/>
        <v>0</v>
      </c>
      <c r="O24" s="221">
        <f t="shared" si="6"/>
        <v>0</v>
      </c>
      <c r="P24" s="221">
        <f t="shared" si="7"/>
        <v>0</v>
      </c>
      <c r="Q24" s="221">
        <f t="shared" si="8"/>
        <v>0</v>
      </c>
      <c r="R24" s="221">
        <f t="shared" ca="1" si="39"/>
        <v>0</v>
      </c>
      <c r="S24" s="221">
        <f t="shared" si="40"/>
        <v>0</v>
      </c>
      <c r="T24" s="221">
        <f t="shared" si="9"/>
        <v>0</v>
      </c>
      <c r="U24" s="221">
        <f t="shared" si="10"/>
        <v>0</v>
      </c>
      <c r="V24" s="221">
        <f t="shared" si="11"/>
        <v>0</v>
      </c>
      <c r="W24" s="221">
        <f t="shared" si="12"/>
        <v>0</v>
      </c>
      <c r="X24" s="221">
        <f t="shared" si="13"/>
        <v>0</v>
      </c>
      <c r="Y24" s="221">
        <f t="shared" si="14"/>
        <v>0</v>
      </c>
      <c r="Z24" s="221">
        <f t="shared" si="15"/>
        <v>0</v>
      </c>
      <c r="AA24" s="221">
        <f t="shared" si="16"/>
        <v>0</v>
      </c>
      <c r="AB24" s="221">
        <f t="shared" si="17"/>
        <v>0</v>
      </c>
      <c r="AC24" s="221">
        <f t="shared" si="18"/>
        <v>0</v>
      </c>
      <c r="AD24" s="221">
        <f t="shared" si="19"/>
        <v>0</v>
      </c>
      <c r="AE24" s="221">
        <f t="shared" si="20"/>
        <v>0</v>
      </c>
      <c r="AF24" s="221">
        <f t="shared" si="21"/>
        <v>0</v>
      </c>
      <c r="AG24" s="221">
        <f t="shared" si="22"/>
        <v>0</v>
      </c>
      <c r="AH24" s="221">
        <f t="shared" si="23"/>
        <v>0</v>
      </c>
      <c r="AI24" s="221">
        <f t="shared" si="24"/>
        <v>0</v>
      </c>
      <c r="AJ24" s="221">
        <f t="shared" si="25"/>
        <v>0</v>
      </c>
      <c r="AK24" s="221">
        <f t="shared" si="26"/>
        <v>0</v>
      </c>
      <c r="AL24" s="221">
        <f t="shared" si="27"/>
        <v>0</v>
      </c>
      <c r="AM24" s="221">
        <f t="shared" ca="1" si="28"/>
        <v>0</v>
      </c>
      <c r="AN24" s="221">
        <f t="shared" si="29"/>
        <v>0</v>
      </c>
      <c r="AO24" s="221">
        <f t="shared" si="30"/>
        <v>0</v>
      </c>
      <c r="AP24" s="221">
        <f t="shared" si="31"/>
        <v>0</v>
      </c>
      <c r="AQ24" s="221">
        <f t="shared" si="32"/>
        <v>0</v>
      </c>
      <c r="AR24" s="221">
        <f t="shared" si="33"/>
        <v>0</v>
      </c>
      <c r="AS24" s="221">
        <f t="shared" si="34"/>
        <v>0</v>
      </c>
      <c r="AT24" s="221">
        <f t="shared" si="35"/>
        <v>0</v>
      </c>
      <c r="AU24" s="221">
        <f t="shared" si="36"/>
        <v>0</v>
      </c>
      <c r="AV24" s="221">
        <f t="shared" si="37"/>
        <v>0</v>
      </c>
      <c r="AW24" s="221">
        <f t="shared" si="38"/>
        <v>0</v>
      </c>
    </row>
    <row r="25" spans="1:49" s="218" customFormat="1" ht="12.75" customHeight="1">
      <c r="A25" s="40">
        <f t="array" aca="1" ref="A25" ca="1">IF(C25&lt;&gt;0,SUM(($C$11:C25&lt;&gt;0)*1),"")</f>
        <v>4</v>
      </c>
      <c r="B25" s="219">
        <v>42094</v>
      </c>
      <c r="C25" s="222" t="s">
        <v>101</v>
      </c>
      <c r="D25" s="222">
        <f t="shared" si="41"/>
        <v>42094</v>
      </c>
      <c r="E25" s="223" t="s">
        <v>103</v>
      </c>
      <c r="F25" s="62">
        <f ca="1">AN31</f>
        <v>0</v>
      </c>
      <c r="G25" s="224" t="s">
        <v>95</v>
      </c>
      <c r="H25" s="224" t="s">
        <v>87</v>
      </c>
      <c r="I25" s="40">
        <f t="shared" ca="1" si="42"/>
        <v>4</v>
      </c>
      <c r="J25" s="221">
        <f t="shared" si="1"/>
        <v>0</v>
      </c>
      <c r="K25" s="221">
        <f t="shared" si="2"/>
        <v>0</v>
      </c>
      <c r="L25" s="221">
        <f t="shared" si="3"/>
        <v>0</v>
      </c>
      <c r="M25" s="221">
        <f t="shared" si="4"/>
        <v>0</v>
      </c>
      <c r="N25" s="221">
        <f t="shared" si="5"/>
        <v>0</v>
      </c>
      <c r="O25" s="221">
        <f t="shared" si="6"/>
        <v>0</v>
      </c>
      <c r="P25" s="221">
        <f t="shared" si="7"/>
        <v>0</v>
      </c>
      <c r="Q25" s="221">
        <f t="shared" si="8"/>
        <v>0</v>
      </c>
      <c r="R25" s="221">
        <f t="shared" si="39"/>
        <v>0</v>
      </c>
      <c r="S25" s="221">
        <f t="shared" si="40"/>
        <v>0</v>
      </c>
      <c r="T25" s="221">
        <f t="shared" si="9"/>
        <v>0</v>
      </c>
      <c r="U25" s="221">
        <f t="shared" si="10"/>
        <v>0</v>
      </c>
      <c r="V25" s="221">
        <f t="shared" si="11"/>
        <v>0</v>
      </c>
      <c r="W25" s="221">
        <f t="shared" si="12"/>
        <v>0</v>
      </c>
      <c r="X25" s="221">
        <f t="shared" si="13"/>
        <v>0</v>
      </c>
      <c r="Y25" s="221">
        <f t="shared" si="14"/>
        <v>0</v>
      </c>
      <c r="Z25" s="221">
        <f t="shared" si="15"/>
        <v>0</v>
      </c>
      <c r="AA25" s="221">
        <f t="shared" si="16"/>
        <v>0</v>
      </c>
      <c r="AB25" s="221">
        <f t="shared" si="17"/>
        <v>0</v>
      </c>
      <c r="AC25" s="221">
        <f t="shared" si="18"/>
        <v>0</v>
      </c>
      <c r="AD25" s="221">
        <f t="shared" si="19"/>
        <v>0</v>
      </c>
      <c r="AE25" s="221">
        <f t="shared" si="20"/>
        <v>0</v>
      </c>
      <c r="AF25" s="221">
        <f t="shared" si="21"/>
        <v>0</v>
      </c>
      <c r="AG25" s="221">
        <f t="shared" si="22"/>
        <v>0</v>
      </c>
      <c r="AH25" s="221">
        <f t="shared" si="23"/>
        <v>0</v>
      </c>
      <c r="AI25" s="221">
        <f t="shared" si="24"/>
        <v>0</v>
      </c>
      <c r="AJ25" s="221">
        <f t="shared" si="25"/>
        <v>0</v>
      </c>
      <c r="AK25" s="221">
        <f t="shared" si="26"/>
        <v>0</v>
      </c>
      <c r="AL25" s="221">
        <f t="shared" si="27"/>
        <v>0</v>
      </c>
      <c r="AM25" s="221">
        <f t="shared" si="28"/>
        <v>0</v>
      </c>
      <c r="AN25" s="221">
        <f t="shared" si="29"/>
        <v>0</v>
      </c>
      <c r="AO25" s="221">
        <f t="shared" ca="1" si="30"/>
        <v>0</v>
      </c>
      <c r="AP25" s="221">
        <f t="shared" si="31"/>
        <v>0</v>
      </c>
      <c r="AQ25" s="221">
        <f t="shared" si="32"/>
        <v>0</v>
      </c>
      <c r="AR25" s="221">
        <f t="shared" si="33"/>
        <v>0</v>
      </c>
      <c r="AS25" s="221">
        <f t="shared" si="34"/>
        <v>0</v>
      </c>
      <c r="AT25" s="221">
        <f t="shared" si="35"/>
        <v>0</v>
      </c>
      <c r="AU25" s="221">
        <f t="shared" si="36"/>
        <v>0</v>
      </c>
      <c r="AV25" s="221">
        <f t="shared" ca="1" si="37"/>
        <v>0</v>
      </c>
      <c r="AW25" s="221">
        <f t="shared" si="38"/>
        <v>0</v>
      </c>
    </row>
    <row r="26" spans="1:49" s="218" customFormat="1" ht="12.75" customHeight="1">
      <c r="A26" s="40">
        <f t="array" aca="1" ref="A26" ca="1">IF(C26&lt;&gt;0,SUM(($C$11:C26&lt;&gt;0)*1),"")</f>
        <v>5</v>
      </c>
      <c r="B26" s="219">
        <v>42094</v>
      </c>
      <c r="C26" s="222" t="s">
        <v>101</v>
      </c>
      <c r="D26" s="222">
        <f t="shared" si="41"/>
        <v>42094</v>
      </c>
      <c r="E26" s="223" t="s">
        <v>192</v>
      </c>
      <c r="F26" s="62"/>
      <c r="G26" s="224" t="s">
        <v>80</v>
      </c>
      <c r="H26" s="224" t="s">
        <v>95</v>
      </c>
      <c r="I26" s="40">
        <f t="shared" ca="1" si="42"/>
        <v>5</v>
      </c>
      <c r="J26" s="221">
        <f t="shared" si="1"/>
        <v>0</v>
      </c>
      <c r="K26" s="221">
        <f t="shared" si="2"/>
        <v>0</v>
      </c>
      <c r="L26" s="221">
        <f t="shared" si="3"/>
        <v>0</v>
      </c>
      <c r="M26" s="221">
        <f t="shared" si="4"/>
        <v>0</v>
      </c>
      <c r="N26" s="221">
        <f t="shared" si="5"/>
        <v>0</v>
      </c>
      <c r="O26" s="221">
        <f t="shared" si="6"/>
        <v>0</v>
      </c>
      <c r="P26" s="221">
        <f t="shared" si="7"/>
        <v>0</v>
      </c>
      <c r="Q26" s="221">
        <f t="shared" si="8"/>
        <v>0</v>
      </c>
      <c r="R26" s="221">
        <f t="shared" si="39"/>
        <v>0</v>
      </c>
      <c r="S26" s="221">
        <f t="shared" si="40"/>
        <v>0</v>
      </c>
      <c r="T26" s="221">
        <f t="shared" si="9"/>
        <v>0</v>
      </c>
      <c r="U26" s="221">
        <f t="shared" si="10"/>
        <v>0</v>
      </c>
      <c r="V26" s="221">
        <f t="shared" si="11"/>
        <v>0</v>
      </c>
      <c r="W26" s="221">
        <f t="shared" si="12"/>
        <v>0</v>
      </c>
      <c r="X26" s="221">
        <f t="shared" si="13"/>
        <v>0</v>
      </c>
      <c r="Y26" s="221">
        <f t="shared" si="14"/>
        <v>0</v>
      </c>
      <c r="Z26" s="221">
        <f t="shared" si="15"/>
        <v>0</v>
      </c>
      <c r="AA26" s="221">
        <f t="shared" si="16"/>
        <v>0</v>
      </c>
      <c r="AB26" s="221">
        <f t="shared" si="17"/>
        <v>0</v>
      </c>
      <c r="AC26" s="221">
        <f t="shared" si="18"/>
        <v>0</v>
      </c>
      <c r="AD26" s="221">
        <f t="shared" si="19"/>
        <v>0</v>
      </c>
      <c r="AE26" s="221">
        <f t="shared" si="20"/>
        <v>0</v>
      </c>
      <c r="AF26" s="221">
        <f t="shared" si="21"/>
        <v>0</v>
      </c>
      <c r="AG26" s="221">
        <f t="shared" si="22"/>
        <v>0</v>
      </c>
      <c r="AH26" s="221">
        <f t="shared" si="23"/>
        <v>0</v>
      </c>
      <c r="AI26" s="221">
        <f t="shared" si="24"/>
        <v>0</v>
      </c>
      <c r="AJ26" s="221">
        <f t="shared" si="25"/>
        <v>0</v>
      </c>
      <c r="AK26" s="221">
        <f t="shared" si="26"/>
        <v>0</v>
      </c>
      <c r="AL26" s="221">
        <f t="shared" si="27"/>
        <v>0</v>
      </c>
      <c r="AM26" s="221">
        <f t="shared" si="28"/>
        <v>0</v>
      </c>
      <c r="AN26" s="221">
        <f t="shared" si="29"/>
        <v>0</v>
      </c>
      <c r="AO26" s="221">
        <f t="shared" si="30"/>
        <v>0</v>
      </c>
      <c r="AP26" s="221">
        <f t="shared" si="31"/>
        <v>0</v>
      </c>
      <c r="AQ26" s="221">
        <f t="shared" si="32"/>
        <v>0</v>
      </c>
      <c r="AR26" s="221">
        <f t="shared" si="33"/>
        <v>0</v>
      </c>
      <c r="AS26" s="221">
        <f t="shared" si="34"/>
        <v>0</v>
      </c>
      <c r="AT26" s="221">
        <f t="shared" si="35"/>
        <v>0</v>
      </c>
      <c r="AU26" s="221">
        <f t="shared" si="36"/>
        <v>0</v>
      </c>
      <c r="AV26" s="221">
        <f t="shared" si="37"/>
        <v>0</v>
      </c>
      <c r="AW26" s="221">
        <f t="shared" si="38"/>
        <v>0</v>
      </c>
    </row>
    <row r="27" spans="1:49" s="218" customFormat="1" ht="12.75" customHeight="1">
      <c r="A27" s="40">
        <f t="array" aca="1" ref="A27" ca="1">IF(C27&lt;&gt;0,SUM(($C$11:C27&lt;&gt;0)*1),"")</f>
        <v>6</v>
      </c>
      <c r="B27" s="219">
        <v>42094</v>
      </c>
      <c r="C27" s="222" t="s">
        <v>101</v>
      </c>
      <c r="D27" s="222">
        <f t="shared" si="41"/>
        <v>42094</v>
      </c>
      <c r="E27" s="223" t="s">
        <v>105</v>
      </c>
      <c r="F27" s="62">
        <f ca="1">AK31</f>
        <v>0</v>
      </c>
      <c r="G27" s="224" t="s">
        <v>34</v>
      </c>
      <c r="H27" s="224" t="s">
        <v>95</v>
      </c>
      <c r="I27" s="40">
        <f t="shared" ca="1" si="42"/>
        <v>6</v>
      </c>
      <c r="J27" s="221">
        <f t="shared" si="1"/>
        <v>0</v>
      </c>
      <c r="K27" s="221">
        <f t="shared" si="2"/>
        <v>0</v>
      </c>
      <c r="L27" s="221">
        <f t="shared" si="3"/>
        <v>0</v>
      </c>
      <c r="M27" s="221">
        <f t="shared" si="4"/>
        <v>0</v>
      </c>
      <c r="N27" s="221">
        <f t="shared" si="5"/>
        <v>0</v>
      </c>
      <c r="O27" s="221">
        <f t="shared" si="6"/>
        <v>0</v>
      </c>
      <c r="P27" s="221">
        <f t="shared" si="7"/>
        <v>0</v>
      </c>
      <c r="Q27" s="221">
        <f t="shared" si="8"/>
        <v>0</v>
      </c>
      <c r="R27" s="221">
        <f t="shared" si="39"/>
        <v>0</v>
      </c>
      <c r="S27" s="221">
        <f t="shared" si="40"/>
        <v>0</v>
      </c>
      <c r="T27" s="221">
        <f t="shared" si="9"/>
        <v>0</v>
      </c>
      <c r="U27" s="221">
        <f t="shared" si="10"/>
        <v>0</v>
      </c>
      <c r="V27" s="221">
        <f t="shared" si="11"/>
        <v>0</v>
      </c>
      <c r="W27" s="221">
        <f t="shared" si="12"/>
        <v>0</v>
      </c>
      <c r="X27" s="221">
        <f t="shared" si="13"/>
        <v>0</v>
      </c>
      <c r="Y27" s="221">
        <f t="shared" si="14"/>
        <v>0</v>
      </c>
      <c r="Z27" s="221">
        <f t="shared" si="15"/>
        <v>0</v>
      </c>
      <c r="AA27" s="221">
        <f t="shared" si="16"/>
        <v>0</v>
      </c>
      <c r="AB27" s="221">
        <f t="shared" si="17"/>
        <v>0</v>
      </c>
      <c r="AC27" s="221">
        <f t="shared" si="18"/>
        <v>0</v>
      </c>
      <c r="AD27" s="221">
        <f t="shared" si="19"/>
        <v>0</v>
      </c>
      <c r="AE27" s="221">
        <f t="shared" si="20"/>
        <v>0</v>
      </c>
      <c r="AF27" s="221">
        <f t="shared" si="21"/>
        <v>0</v>
      </c>
      <c r="AG27" s="221">
        <f t="shared" si="22"/>
        <v>0</v>
      </c>
      <c r="AH27" s="221">
        <f t="shared" si="23"/>
        <v>0</v>
      </c>
      <c r="AI27" s="221">
        <f t="shared" si="24"/>
        <v>0</v>
      </c>
      <c r="AJ27" s="221">
        <f t="shared" ca="1" si="25"/>
        <v>0</v>
      </c>
      <c r="AK27" s="221">
        <f t="shared" si="26"/>
        <v>0</v>
      </c>
      <c r="AL27" s="221">
        <f t="shared" si="27"/>
        <v>0</v>
      </c>
      <c r="AM27" s="221">
        <f t="shared" si="28"/>
        <v>0</v>
      </c>
      <c r="AN27" s="221">
        <f t="shared" si="29"/>
        <v>0</v>
      </c>
      <c r="AO27" s="221">
        <f t="shared" si="30"/>
        <v>0</v>
      </c>
      <c r="AP27" s="221">
        <f t="shared" si="31"/>
        <v>0</v>
      </c>
      <c r="AQ27" s="221">
        <f t="shared" si="32"/>
        <v>0</v>
      </c>
      <c r="AR27" s="221">
        <f t="shared" si="33"/>
        <v>0</v>
      </c>
      <c r="AS27" s="221">
        <f t="shared" si="34"/>
        <v>0</v>
      </c>
      <c r="AT27" s="221">
        <f t="shared" si="35"/>
        <v>0</v>
      </c>
      <c r="AU27" s="221">
        <f t="shared" si="36"/>
        <v>0</v>
      </c>
      <c r="AV27" s="221">
        <f t="shared" si="37"/>
        <v>0</v>
      </c>
      <c r="AW27" s="221">
        <f t="shared" ca="1" si="38"/>
        <v>0</v>
      </c>
    </row>
    <row r="28" spans="1:49" s="218" customFormat="1" ht="12.75" customHeight="1">
      <c r="A28" s="40">
        <f t="array" aca="1" ref="A28" ca="1">IF(C28&lt;&gt;0,SUM(($C$11:C28&lt;&gt;0)*1),"")</f>
        <v>7</v>
      </c>
      <c r="B28" s="219">
        <v>42094</v>
      </c>
      <c r="C28" s="222" t="s">
        <v>101</v>
      </c>
      <c r="D28" s="222">
        <f>B28</f>
        <v>42094</v>
      </c>
      <c r="E28" s="223" t="s">
        <v>106</v>
      </c>
      <c r="F28" s="62">
        <f ca="1">AQ31</f>
        <v>0</v>
      </c>
      <c r="G28" s="224" t="s">
        <v>89</v>
      </c>
      <c r="H28" s="224" t="s">
        <v>95</v>
      </c>
      <c r="I28" s="40">
        <f t="shared" ca="1" si="42"/>
        <v>7</v>
      </c>
      <c r="J28" s="221">
        <f t="shared" si="1"/>
        <v>0</v>
      </c>
      <c r="K28" s="221">
        <f t="shared" si="2"/>
        <v>0</v>
      </c>
      <c r="L28" s="221">
        <f t="shared" si="3"/>
        <v>0</v>
      </c>
      <c r="M28" s="221">
        <f t="shared" si="4"/>
        <v>0</v>
      </c>
      <c r="N28" s="221">
        <f t="shared" si="5"/>
        <v>0</v>
      </c>
      <c r="O28" s="221">
        <f t="shared" si="6"/>
        <v>0</v>
      </c>
      <c r="P28" s="221">
        <f t="shared" si="7"/>
        <v>0</v>
      </c>
      <c r="Q28" s="221">
        <f t="shared" si="8"/>
        <v>0</v>
      </c>
      <c r="R28" s="221">
        <f t="shared" si="39"/>
        <v>0</v>
      </c>
      <c r="S28" s="221">
        <f t="shared" si="40"/>
        <v>0</v>
      </c>
      <c r="T28" s="221">
        <f t="shared" si="9"/>
        <v>0</v>
      </c>
      <c r="U28" s="221">
        <f t="shared" si="10"/>
        <v>0</v>
      </c>
      <c r="V28" s="221">
        <f t="shared" si="11"/>
        <v>0</v>
      </c>
      <c r="W28" s="221">
        <f t="shared" si="12"/>
        <v>0</v>
      </c>
      <c r="X28" s="221">
        <f t="shared" si="13"/>
        <v>0</v>
      </c>
      <c r="Y28" s="221">
        <f t="shared" si="14"/>
        <v>0</v>
      </c>
      <c r="Z28" s="221">
        <f t="shared" si="15"/>
        <v>0</v>
      </c>
      <c r="AA28" s="221">
        <f t="shared" si="16"/>
        <v>0</v>
      </c>
      <c r="AB28" s="221">
        <f t="shared" si="17"/>
        <v>0</v>
      </c>
      <c r="AC28" s="221">
        <f t="shared" si="18"/>
        <v>0</v>
      </c>
      <c r="AD28" s="221">
        <f t="shared" si="19"/>
        <v>0</v>
      </c>
      <c r="AE28" s="221">
        <f t="shared" si="20"/>
        <v>0</v>
      </c>
      <c r="AF28" s="221">
        <f t="shared" si="21"/>
        <v>0</v>
      </c>
      <c r="AG28" s="221">
        <f t="shared" si="22"/>
        <v>0</v>
      </c>
      <c r="AH28" s="221">
        <f t="shared" si="23"/>
        <v>0</v>
      </c>
      <c r="AI28" s="221">
        <f t="shared" si="24"/>
        <v>0</v>
      </c>
      <c r="AJ28" s="221">
        <f t="shared" si="25"/>
        <v>0</v>
      </c>
      <c r="AK28" s="221">
        <f t="shared" si="26"/>
        <v>0</v>
      </c>
      <c r="AL28" s="221">
        <f t="shared" si="27"/>
        <v>0</v>
      </c>
      <c r="AM28" s="221">
        <f t="shared" si="28"/>
        <v>0</v>
      </c>
      <c r="AN28" s="221">
        <f t="shared" si="29"/>
        <v>0</v>
      </c>
      <c r="AO28" s="221">
        <f t="shared" si="30"/>
        <v>0</v>
      </c>
      <c r="AP28" s="221">
        <f t="shared" ca="1" si="31"/>
        <v>0</v>
      </c>
      <c r="AQ28" s="221">
        <f t="shared" si="32"/>
        <v>0</v>
      </c>
      <c r="AR28" s="221">
        <f t="shared" si="33"/>
        <v>0</v>
      </c>
      <c r="AS28" s="221">
        <f t="shared" si="34"/>
        <v>0</v>
      </c>
      <c r="AT28" s="221">
        <f t="shared" si="35"/>
        <v>0</v>
      </c>
      <c r="AU28" s="221">
        <f t="shared" si="36"/>
        <v>0</v>
      </c>
      <c r="AV28" s="221">
        <f t="shared" si="37"/>
        <v>0</v>
      </c>
      <c r="AW28" s="221">
        <f t="shared" ca="1" si="38"/>
        <v>0</v>
      </c>
    </row>
    <row r="29" spans="1:49" s="218" customFormat="1" ht="12.75" customHeight="1">
      <c r="A29" s="40">
        <f t="array" aca="1" ref="A29" ca="1">IF(C29&lt;&gt;0,SUM(($C$11:C29&lt;&gt;0)*1),"")</f>
        <v>8</v>
      </c>
      <c r="B29" s="219">
        <v>42094</v>
      </c>
      <c r="C29" s="222" t="s">
        <v>101</v>
      </c>
      <c r="D29" s="222">
        <f>B29</f>
        <v>42094</v>
      </c>
      <c r="E29" s="223" t="s">
        <v>107</v>
      </c>
      <c r="F29" s="62">
        <f ca="1">AR31</f>
        <v>0</v>
      </c>
      <c r="G29" s="224" t="s">
        <v>95</v>
      </c>
      <c r="H29" s="224" t="s">
        <v>91</v>
      </c>
      <c r="I29" s="40">
        <f t="shared" ca="1" si="42"/>
        <v>8</v>
      </c>
      <c r="J29" s="221">
        <f t="shared" si="1"/>
        <v>0</v>
      </c>
      <c r="K29" s="221">
        <f t="shared" si="2"/>
        <v>0</v>
      </c>
      <c r="L29" s="221">
        <f t="shared" si="3"/>
        <v>0</v>
      </c>
      <c r="M29" s="221">
        <f t="shared" si="4"/>
        <v>0</v>
      </c>
      <c r="N29" s="221">
        <f t="shared" si="5"/>
        <v>0</v>
      </c>
      <c r="O29" s="221">
        <f t="shared" si="6"/>
        <v>0</v>
      </c>
      <c r="P29" s="221">
        <f t="shared" si="7"/>
        <v>0</v>
      </c>
      <c r="Q29" s="221">
        <f t="shared" si="8"/>
        <v>0</v>
      </c>
      <c r="R29" s="221">
        <f t="shared" si="39"/>
        <v>0</v>
      </c>
      <c r="S29" s="221">
        <f t="shared" si="40"/>
        <v>0</v>
      </c>
      <c r="T29" s="221">
        <f t="shared" si="9"/>
        <v>0</v>
      </c>
      <c r="U29" s="221">
        <f t="shared" si="10"/>
        <v>0</v>
      </c>
      <c r="V29" s="221">
        <f t="shared" si="11"/>
        <v>0</v>
      </c>
      <c r="W29" s="221">
        <f t="shared" si="12"/>
        <v>0</v>
      </c>
      <c r="X29" s="221">
        <f t="shared" si="13"/>
        <v>0</v>
      </c>
      <c r="Y29" s="221">
        <f t="shared" si="14"/>
        <v>0</v>
      </c>
      <c r="Z29" s="221">
        <f t="shared" si="15"/>
        <v>0</v>
      </c>
      <c r="AA29" s="221">
        <f t="shared" si="16"/>
        <v>0</v>
      </c>
      <c r="AB29" s="221">
        <f t="shared" si="17"/>
        <v>0</v>
      </c>
      <c r="AC29" s="221">
        <f t="shared" si="18"/>
        <v>0</v>
      </c>
      <c r="AD29" s="221">
        <f t="shared" si="19"/>
        <v>0</v>
      </c>
      <c r="AE29" s="221">
        <f t="shared" si="20"/>
        <v>0</v>
      </c>
      <c r="AF29" s="221">
        <f t="shared" si="21"/>
        <v>0</v>
      </c>
      <c r="AG29" s="221">
        <f t="shared" si="22"/>
        <v>0</v>
      </c>
      <c r="AH29" s="221">
        <f t="shared" si="23"/>
        <v>0</v>
      </c>
      <c r="AI29" s="221">
        <f t="shared" si="24"/>
        <v>0</v>
      </c>
      <c r="AJ29" s="221">
        <f t="shared" si="25"/>
        <v>0</v>
      </c>
      <c r="AK29" s="221">
        <f t="shared" si="26"/>
        <v>0</v>
      </c>
      <c r="AL29" s="221">
        <f t="shared" si="27"/>
        <v>0</v>
      </c>
      <c r="AM29" s="221">
        <f t="shared" si="28"/>
        <v>0</v>
      </c>
      <c r="AN29" s="221">
        <f t="shared" si="29"/>
        <v>0</v>
      </c>
      <c r="AO29" s="221">
        <f t="shared" si="30"/>
        <v>0</v>
      </c>
      <c r="AP29" s="221">
        <f t="shared" si="31"/>
        <v>0</v>
      </c>
      <c r="AQ29" s="221">
        <f t="shared" si="32"/>
        <v>0</v>
      </c>
      <c r="AR29" s="221">
        <f t="shared" si="33"/>
        <v>0</v>
      </c>
      <c r="AS29" s="221">
        <f t="shared" ca="1" si="34"/>
        <v>0</v>
      </c>
      <c r="AT29" s="221">
        <f t="shared" si="35"/>
        <v>0</v>
      </c>
      <c r="AU29" s="221">
        <f t="shared" si="36"/>
        <v>0</v>
      </c>
      <c r="AV29" s="221">
        <f t="shared" ca="1" si="37"/>
        <v>0</v>
      </c>
      <c r="AW29" s="221">
        <f t="shared" si="38"/>
        <v>0</v>
      </c>
    </row>
    <row r="30" spans="1:49" s="218" customFormat="1" ht="12.75" customHeight="1">
      <c r="A30" s="40" t="str">
        <f t="array" ref="A30">IF(C30&lt;&gt;0,SUM(($C$11:C30&lt;&gt;0)*1),"")</f>
        <v/>
      </c>
      <c r="B30" s="169"/>
      <c r="C30" s="225"/>
      <c r="D30" s="169"/>
      <c r="E30" s="220"/>
      <c r="F30" s="42"/>
      <c r="G30" s="226"/>
      <c r="H30" s="226"/>
      <c r="I30" s="40" t="str">
        <f t="shared" si="42"/>
        <v/>
      </c>
      <c r="J30" s="221">
        <f t="shared" si="1"/>
        <v>0</v>
      </c>
      <c r="K30" s="221">
        <f t="shared" si="2"/>
        <v>0</v>
      </c>
      <c r="L30" s="221">
        <f t="shared" si="3"/>
        <v>0</v>
      </c>
      <c r="M30" s="221">
        <f t="shared" si="4"/>
        <v>0</v>
      </c>
      <c r="N30" s="221">
        <f t="shared" si="5"/>
        <v>0</v>
      </c>
      <c r="O30" s="221">
        <f t="shared" si="6"/>
        <v>0</v>
      </c>
      <c r="P30" s="221">
        <f t="shared" si="7"/>
        <v>0</v>
      </c>
      <c r="Q30" s="221">
        <f t="shared" si="8"/>
        <v>0</v>
      </c>
      <c r="R30" s="221">
        <f t="shared" si="39"/>
        <v>0</v>
      </c>
      <c r="S30" s="221">
        <f t="shared" si="40"/>
        <v>0</v>
      </c>
      <c r="T30" s="221">
        <f t="shared" si="9"/>
        <v>0</v>
      </c>
      <c r="U30" s="221">
        <f t="shared" si="10"/>
        <v>0</v>
      </c>
      <c r="V30" s="221">
        <f t="shared" si="11"/>
        <v>0</v>
      </c>
      <c r="W30" s="221">
        <f t="shared" si="12"/>
        <v>0</v>
      </c>
      <c r="X30" s="221">
        <f t="shared" si="13"/>
        <v>0</v>
      </c>
      <c r="Y30" s="221">
        <f t="shared" si="14"/>
        <v>0</v>
      </c>
      <c r="Z30" s="221">
        <f t="shared" si="15"/>
        <v>0</v>
      </c>
      <c r="AA30" s="221">
        <f t="shared" si="16"/>
        <v>0</v>
      </c>
      <c r="AB30" s="221">
        <f t="shared" si="17"/>
        <v>0</v>
      </c>
      <c r="AC30" s="221">
        <f t="shared" si="18"/>
        <v>0</v>
      </c>
      <c r="AD30" s="221">
        <f t="shared" si="19"/>
        <v>0</v>
      </c>
      <c r="AE30" s="221">
        <f t="shared" si="20"/>
        <v>0</v>
      </c>
      <c r="AF30" s="221">
        <f t="shared" si="21"/>
        <v>0</v>
      </c>
      <c r="AG30" s="221">
        <f t="shared" si="22"/>
        <v>0</v>
      </c>
      <c r="AH30" s="221">
        <f t="shared" si="23"/>
        <v>0</v>
      </c>
      <c r="AI30" s="221">
        <f t="shared" si="24"/>
        <v>0</v>
      </c>
      <c r="AJ30" s="221">
        <f t="shared" si="25"/>
        <v>0</v>
      </c>
      <c r="AK30" s="221">
        <f t="shared" si="26"/>
        <v>0</v>
      </c>
      <c r="AL30" s="221">
        <f t="shared" si="27"/>
        <v>0</v>
      </c>
      <c r="AM30" s="221">
        <f t="shared" si="28"/>
        <v>0</v>
      </c>
      <c r="AN30" s="221">
        <f t="shared" si="29"/>
        <v>0</v>
      </c>
      <c r="AO30" s="221">
        <f t="shared" si="30"/>
        <v>0</v>
      </c>
      <c r="AP30" s="221">
        <f t="shared" si="31"/>
        <v>0</v>
      </c>
      <c r="AQ30" s="221">
        <f t="shared" si="32"/>
        <v>0</v>
      </c>
      <c r="AR30" s="221">
        <f t="shared" si="33"/>
        <v>0</v>
      </c>
      <c r="AS30" s="221">
        <f t="shared" si="34"/>
        <v>0</v>
      </c>
      <c r="AT30" s="221">
        <f t="shared" si="35"/>
        <v>0</v>
      </c>
      <c r="AU30" s="221">
        <f t="shared" si="36"/>
        <v>0</v>
      </c>
      <c r="AV30" s="221">
        <f t="shared" si="37"/>
        <v>0</v>
      </c>
      <c r="AW30" s="221">
        <f t="shared" si="38"/>
        <v>0</v>
      </c>
    </row>
    <row r="31" spans="1:49" s="218" customFormat="1" ht="12.75" customHeight="1">
      <c r="A31" s="40" t="str">
        <f t="array" ref="A31">IF(C31&lt;&gt;0,SUM(($C$11:C31&lt;&gt;0)*1),"")</f>
        <v/>
      </c>
      <c r="B31" s="227"/>
      <c r="C31" s="227"/>
      <c r="D31" s="227"/>
      <c r="E31" s="220" t="s">
        <v>155</v>
      </c>
      <c r="F31" s="227"/>
      <c r="G31" s="226"/>
      <c r="H31" s="226"/>
      <c r="I31" s="227"/>
      <c r="J31" s="221">
        <f t="shared" ref="J31:AW31" ca="1" si="43">SUM(J11:J30)</f>
        <v>0</v>
      </c>
      <c r="K31" s="221">
        <f t="shared" ca="1" si="43"/>
        <v>0</v>
      </c>
      <c r="L31" s="221">
        <f t="shared" ca="1" si="43"/>
        <v>0</v>
      </c>
      <c r="M31" s="221">
        <f t="shared" ca="1" si="43"/>
        <v>0</v>
      </c>
      <c r="N31" s="221">
        <f t="shared" ca="1" si="43"/>
        <v>0</v>
      </c>
      <c r="O31" s="221">
        <f t="shared" ca="1" si="43"/>
        <v>0</v>
      </c>
      <c r="P31" s="221">
        <f t="shared" ca="1" si="43"/>
        <v>0</v>
      </c>
      <c r="Q31" s="221">
        <f t="shared" ca="1" si="43"/>
        <v>0</v>
      </c>
      <c r="R31" s="221">
        <f t="shared" ca="1" si="43"/>
        <v>0</v>
      </c>
      <c r="S31" s="221">
        <f t="shared" ca="1" si="43"/>
        <v>0</v>
      </c>
      <c r="T31" s="221">
        <f t="shared" ca="1" si="43"/>
        <v>0</v>
      </c>
      <c r="U31" s="221">
        <f t="shared" ca="1" si="43"/>
        <v>0</v>
      </c>
      <c r="V31" s="221">
        <f t="shared" ca="1" si="43"/>
        <v>0</v>
      </c>
      <c r="W31" s="221">
        <f t="shared" ca="1" si="43"/>
        <v>0</v>
      </c>
      <c r="X31" s="221">
        <f t="shared" ca="1" si="43"/>
        <v>0</v>
      </c>
      <c r="Y31" s="221">
        <f t="shared" ca="1" si="43"/>
        <v>0</v>
      </c>
      <c r="Z31" s="221">
        <f t="shared" ca="1" si="43"/>
        <v>0</v>
      </c>
      <c r="AA31" s="221">
        <f t="shared" ca="1" si="43"/>
        <v>0</v>
      </c>
      <c r="AB31" s="221">
        <f t="shared" ca="1" si="43"/>
        <v>0</v>
      </c>
      <c r="AC31" s="221">
        <f t="shared" ca="1" si="43"/>
        <v>0</v>
      </c>
      <c r="AD31" s="221">
        <f t="shared" ca="1" si="43"/>
        <v>0</v>
      </c>
      <c r="AE31" s="221">
        <f t="shared" ca="1" si="43"/>
        <v>0</v>
      </c>
      <c r="AF31" s="221">
        <f t="shared" ca="1" si="43"/>
        <v>0</v>
      </c>
      <c r="AG31" s="221">
        <f t="shared" ca="1" si="43"/>
        <v>0</v>
      </c>
      <c r="AH31" s="221">
        <f t="shared" ca="1" si="43"/>
        <v>0</v>
      </c>
      <c r="AI31" s="221">
        <f t="shared" ca="1" si="43"/>
        <v>0</v>
      </c>
      <c r="AJ31" s="221">
        <f t="shared" ca="1" si="43"/>
        <v>0</v>
      </c>
      <c r="AK31" s="221">
        <f t="shared" ca="1" si="43"/>
        <v>0</v>
      </c>
      <c r="AL31" s="221">
        <f t="shared" ca="1" si="43"/>
        <v>0</v>
      </c>
      <c r="AM31" s="221">
        <f t="shared" ca="1" si="43"/>
        <v>0</v>
      </c>
      <c r="AN31" s="221">
        <f t="shared" ca="1" si="43"/>
        <v>0</v>
      </c>
      <c r="AO31" s="221">
        <f t="shared" ca="1" si="43"/>
        <v>0</v>
      </c>
      <c r="AP31" s="221">
        <f t="shared" ca="1" si="43"/>
        <v>0</v>
      </c>
      <c r="AQ31" s="221">
        <f t="shared" ca="1" si="43"/>
        <v>0</v>
      </c>
      <c r="AR31" s="221">
        <f t="shared" ca="1" si="43"/>
        <v>0</v>
      </c>
      <c r="AS31" s="221">
        <f t="shared" ca="1" si="43"/>
        <v>0</v>
      </c>
      <c r="AT31" s="221">
        <f t="shared" ca="1" si="43"/>
        <v>0</v>
      </c>
      <c r="AU31" s="221">
        <f t="shared" ca="1" si="43"/>
        <v>0</v>
      </c>
      <c r="AV31" s="221">
        <f t="shared" ca="1" si="43"/>
        <v>0</v>
      </c>
      <c r="AW31" s="221">
        <f t="shared" ca="1" si="43"/>
        <v>0</v>
      </c>
    </row>
    <row r="32" spans="1:49" s="218" customFormat="1" ht="12.75" customHeight="1">
      <c r="A32" s="228"/>
      <c r="B32" s="228"/>
      <c r="C32" s="228"/>
      <c r="D32" s="228"/>
      <c r="E32" s="229" t="s">
        <v>193</v>
      </c>
      <c r="F32" s="228"/>
      <c r="G32" s="230"/>
      <c r="H32" s="230"/>
      <c r="I32" s="228"/>
      <c r="J32" s="231">
        <f ca="1">MAX(J10+J31-K10-K31,0)</f>
        <v>3996700000</v>
      </c>
      <c r="K32" s="231">
        <f ca="1">MAX(K10+K31-J10-J31,0)</f>
        <v>0</v>
      </c>
      <c r="L32" s="231">
        <f ca="1">MAX(L10+L31-M10-M31,0)</f>
        <v>0</v>
      </c>
      <c r="M32" s="231">
        <f ca="1">MAX(M10+M31-L10-L31,0)</f>
        <v>0</v>
      </c>
      <c r="N32" s="231">
        <f ca="1">MAX(N10+N31-O10-O31,0)</f>
        <v>0</v>
      </c>
      <c r="O32" s="231">
        <f ca="1">MAX(O10+O31-N10-N31,0)</f>
        <v>0</v>
      </c>
      <c r="P32" s="231">
        <f ca="1">MAX(P10+P31-Q10-Q31,0)</f>
        <v>0</v>
      </c>
      <c r="Q32" s="231">
        <f ca="1">MAX(Q10+Q31-P10-P31,0)</f>
        <v>0</v>
      </c>
      <c r="R32" s="231">
        <f ca="1">MAX(R10+R31-S10-S31,0)</f>
        <v>0</v>
      </c>
      <c r="S32" s="231">
        <f ca="1">MAX(S10+S31-R10-R31,0)</f>
        <v>0</v>
      </c>
      <c r="T32" s="231">
        <f ca="1">MAX(T10+T31-U10-U31,0)</f>
        <v>0</v>
      </c>
      <c r="U32" s="231">
        <f ca="1">MAX(U10+U31-T10-T31,0)</f>
        <v>0</v>
      </c>
      <c r="V32" s="231">
        <f ca="1">MAX(V10+V31-W10-W31,0)</f>
        <v>0</v>
      </c>
      <c r="W32" s="231">
        <f ca="1">MAX(W10+W31-V10-V31,0)</f>
        <v>0</v>
      </c>
      <c r="X32" s="231">
        <f ca="1">MAX(X10+X31-Y10-Y31,0)</f>
        <v>0</v>
      </c>
      <c r="Y32" s="231">
        <f ca="1">MAX(Y10+Y31-X10-X31,0)</f>
        <v>0</v>
      </c>
      <c r="Z32" s="231">
        <f ca="1">MAX(Z10+Z31-AA10-AA31,0)</f>
        <v>0</v>
      </c>
      <c r="AA32" s="231">
        <f ca="1">MAX(AA10+AA31-Z10-Z31,0)</f>
        <v>0</v>
      </c>
      <c r="AB32" s="231">
        <f ca="1">MAX(AB10+AB31-AC10-AC31,0)</f>
        <v>0</v>
      </c>
      <c r="AC32" s="231">
        <f ca="1">MAX(AC10+AC31-AB10-AB31,0)</f>
        <v>0</v>
      </c>
      <c r="AD32" s="231">
        <f ca="1">MAX(AD10+AD31-AE10-AE31,0)</f>
        <v>0</v>
      </c>
      <c r="AE32" s="231">
        <f ca="1">MAX(AE10+AE31-AD10-AD31,0)</f>
        <v>4000000000</v>
      </c>
      <c r="AF32" s="231">
        <f ca="1">MAX(AF10+AF31-AG10-AG31,0)</f>
        <v>0</v>
      </c>
      <c r="AG32" s="231">
        <f ca="1">MAX(AG10+AG31-AF10-AF31,0)</f>
        <v>0</v>
      </c>
      <c r="AH32" s="231">
        <f ca="1">MAX(AH10+AH31-AI10-AI31,0)</f>
        <v>3300000</v>
      </c>
      <c r="AI32" s="231">
        <f ca="1">MAX(AI10+AI31-AH10-AH31,0)</f>
        <v>0</v>
      </c>
      <c r="AJ32" s="231">
        <f ca="1">MAX(AJ10+AJ31-AK10-AK31,0)</f>
        <v>0</v>
      </c>
      <c r="AK32" s="231">
        <f ca="1">MAX(AK10+AK31-AJ10-AJ31,0)</f>
        <v>0</v>
      </c>
      <c r="AL32" s="231">
        <f ca="1">MAX(AL10+AL31-AM10-AM31,0)</f>
        <v>0</v>
      </c>
      <c r="AM32" s="231">
        <f ca="1">MAX(AM10+AM31-AL10-AL31,0)</f>
        <v>0</v>
      </c>
      <c r="AN32" s="231">
        <f ca="1">MAX(AN10+AN31-AO10-AO31,0)</f>
        <v>0</v>
      </c>
      <c r="AO32" s="231">
        <f ca="1">MAX(AO10+AO31-AN10-AN31,0)</f>
        <v>0</v>
      </c>
      <c r="AP32" s="231">
        <f ca="1">MAX(AP10+AP31-AQ10-AQ31,0)</f>
        <v>0</v>
      </c>
      <c r="AQ32" s="231">
        <f ca="1">MAX(AQ10+AQ31-AP10-AP31,0)</f>
        <v>0</v>
      </c>
      <c r="AR32" s="231">
        <f ca="1">MAX(AR10+AR31-AS10-AS31,0)</f>
        <v>0</v>
      </c>
      <c r="AS32" s="231">
        <f ca="1">MAX(AS10+AS31-AR10-AR31,0)</f>
        <v>0</v>
      </c>
      <c r="AT32" s="231">
        <f ca="1">MAX(AT10+AT31-AU10-AU31,0)</f>
        <v>0</v>
      </c>
      <c r="AU32" s="231">
        <f ca="1">MAX(AU10+AU31-AT10-AT31,0)</f>
        <v>0</v>
      </c>
      <c r="AV32" s="231">
        <f ca="1">MAX(AV10+AV31-AW10-AW31,0)</f>
        <v>0</v>
      </c>
      <c r="AW32" s="231">
        <f ca="1">MAX(AW10+AW31-AV10-AV31,0)</f>
        <v>0</v>
      </c>
    </row>
    <row r="33" spans="1:49" s="218" customFormat="1" ht="12.75" customHeight="1">
      <c r="A33" s="232"/>
      <c r="B33" s="232"/>
      <c r="C33" s="233"/>
      <c r="D33" s="232"/>
      <c r="E33" s="234" t="s">
        <v>194</v>
      </c>
      <c r="F33" s="232"/>
      <c r="G33" s="235"/>
      <c r="H33" s="235"/>
      <c r="I33" s="232"/>
      <c r="J33" s="236">
        <f ca="1">J31</f>
        <v>0</v>
      </c>
      <c r="K33" s="236">
        <f ca="1">K31</f>
        <v>0</v>
      </c>
      <c r="L33" s="236">
        <f t="shared" ref="L33:AW33" ca="1" si="44">L31</f>
        <v>0</v>
      </c>
      <c r="M33" s="236">
        <f t="shared" ca="1" si="44"/>
        <v>0</v>
      </c>
      <c r="N33" s="236">
        <f t="shared" ca="1" si="44"/>
        <v>0</v>
      </c>
      <c r="O33" s="236">
        <f t="shared" ca="1" si="44"/>
        <v>0</v>
      </c>
      <c r="P33" s="236">
        <f t="shared" ca="1" si="44"/>
        <v>0</v>
      </c>
      <c r="Q33" s="236">
        <f t="shared" ca="1" si="44"/>
        <v>0</v>
      </c>
      <c r="R33" s="236">
        <f t="shared" ca="1" si="44"/>
        <v>0</v>
      </c>
      <c r="S33" s="236">
        <f t="shared" ca="1" si="44"/>
        <v>0</v>
      </c>
      <c r="T33" s="236">
        <f t="shared" ca="1" si="44"/>
        <v>0</v>
      </c>
      <c r="U33" s="236">
        <f t="shared" ca="1" si="44"/>
        <v>0</v>
      </c>
      <c r="V33" s="236">
        <f t="shared" ca="1" si="44"/>
        <v>0</v>
      </c>
      <c r="W33" s="236">
        <f t="shared" ca="1" si="44"/>
        <v>0</v>
      </c>
      <c r="X33" s="236">
        <f t="shared" ca="1" si="44"/>
        <v>0</v>
      </c>
      <c r="Y33" s="236">
        <f t="shared" ca="1" si="44"/>
        <v>0</v>
      </c>
      <c r="Z33" s="236">
        <f ca="1">Z31</f>
        <v>0</v>
      </c>
      <c r="AA33" s="236">
        <f t="shared" ca="1" si="44"/>
        <v>0</v>
      </c>
      <c r="AB33" s="236">
        <f t="shared" ca="1" si="44"/>
        <v>0</v>
      </c>
      <c r="AC33" s="236">
        <f t="shared" ca="1" si="44"/>
        <v>0</v>
      </c>
      <c r="AD33" s="236">
        <f t="shared" ca="1" si="44"/>
        <v>0</v>
      </c>
      <c r="AE33" s="236">
        <f t="shared" ca="1" si="44"/>
        <v>0</v>
      </c>
      <c r="AF33" s="236">
        <f t="shared" ca="1" si="44"/>
        <v>0</v>
      </c>
      <c r="AG33" s="236">
        <f t="shared" ca="1" si="44"/>
        <v>0</v>
      </c>
      <c r="AH33" s="236">
        <f t="shared" ca="1" si="44"/>
        <v>0</v>
      </c>
      <c r="AI33" s="236">
        <f t="shared" ca="1" si="44"/>
        <v>0</v>
      </c>
      <c r="AJ33" s="236">
        <f t="shared" ca="1" si="44"/>
        <v>0</v>
      </c>
      <c r="AK33" s="236">
        <f t="shared" ca="1" si="44"/>
        <v>0</v>
      </c>
      <c r="AL33" s="236">
        <f t="shared" ca="1" si="44"/>
        <v>0</v>
      </c>
      <c r="AM33" s="236">
        <f t="shared" ca="1" si="44"/>
        <v>0</v>
      </c>
      <c r="AN33" s="236">
        <f t="shared" ca="1" si="44"/>
        <v>0</v>
      </c>
      <c r="AO33" s="236">
        <f t="shared" ca="1" si="44"/>
        <v>0</v>
      </c>
      <c r="AP33" s="236">
        <f t="shared" ca="1" si="44"/>
        <v>0</v>
      </c>
      <c r="AQ33" s="236">
        <f t="shared" ca="1" si="44"/>
        <v>0</v>
      </c>
      <c r="AR33" s="236">
        <f t="shared" ca="1" si="44"/>
        <v>0</v>
      </c>
      <c r="AS33" s="236">
        <f t="shared" ca="1" si="44"/>
        <v>0</v>
      </c>
      <c r="AT33" s="236">
        <f ca="1">AT31</f>
        <v>0</v>
      </c>
      <c r="AU33" s="236">
        <f ca="1">AU31</f>
        <v>0</v>
      </c>
      <c r="AV33" s="236">
        <f t="shared" ca="1" si="44"/>
        <v>0</v>
      </c>
      <c r="AW33" s="236">
        <f t="shared" ca="1" si="44"/>
        <v>0</v>
      </c>
    </row>
    <row r="34" spans="1:49" ht="12" customHeight="1">
      <c r="B34" s="237"/>
      <c r="C34" s="238"/>
      <c r="D34" s="238"/>
      <c r="E34" s="238"/>
      <c r="F34" s="238"/>
      <c r="G34" s="239"/>
      <c r="H34" s="239"/>
      <c r="I34" s="238"/>
      <c r="J34" s="238"/>
      <c r="K34" s="238"/>
    </row>
    <row r="35" spans="1:49">
      <c r="F35" s="240"/>
      <c r="M35" s="240"/>
      <c r="O35" s="240"/>
      <c r="P35" s="240"/>
      <c r="Q35" s="240"/>
      <c r="R35" s="240"/>
      <c r="S35" s="240"/>
      <c r="T35" s="240"/>
      <c r="AH35" s="241" t="s">
        <v>195</v>
      </c>
      <c r="AI35" s="242"/>
      <c r="AJ35" s="242"/>
      <c r="AK35" s="242"/>
      <c r="AL35" s="242"/>
      <c r="AM35" s="242"/>
      <c r="AN35" s="243"/>
      <c r="AO35" s="243"/>
      <c r="AP35" s="242"/>
    </row>
    <row r="36" spans="1:49">
      <c r="F36" s="240"/>
      <c r="M36" s="240"/>
      <c r="O36" s="240"/>
      <c r="P36" s="240"/>
      <c r="Q36" s="240"/>
      <c r="R36" s="240"/>
      <c r="S36" s="240"/>
      <c r="T36" s="240"/>
      <c r="AH36" s="244" t="s">
        <v>196</v>
      </c>
      <c r="AI36" s="242"/>
      <c r="AJ36" s="242"/>
      <c r="AK36" s="242"/>
      <c r="AL36" s="242"/>
      <c r="AM36" s="242"/>
      <c r="AN36" s="243"/>
      <c r="AO36" s="243"/>
      <c r="AP36" s="242"/>
    </row>
    <row r="37" spans="1:49">
      <c r="F37" s="240"/>
      <c r="M37" s="240"/>
      <c r="O37" s="240"/>
      <c r="P37" s="240"/>
      <c r="Q37" s="240"/>
      <c r="R37" s="240"/>
      <c r="S37" s="240"/>
      <c r="T37" s="240"/>
      <c r="AH37" s="242"/>
      <c r="AI37" s="242"/>
      <c r="AJ37" s="242"/>
      <c r="AK37" s="242"/>
      <c r="AL37" s="242"/>
      <c r="AM37" s="242"/>
      <c r="AN37" s="242"/>
      <c r="AO37" s="242"/>
      <c r="AP37" s="243"/>
    </row>
    <row r="38" spans="1:49">
      <c r="F38" s="240"/>
      <c r="AH38" s="242"/>
      <c r="AI38" s="242"/>
      <c r="AJ38" s="242"/>
      <c r="AK38" s="242"/>
      <c r="AL38" s="242"/>
      <c r="AM38" s="242"/>
      <c r="AN38" s="242"/>
      <c r="AO38" s="242"/>
      <c r="AP38" s="243"/>
      <c r="AV38" s="245" t="str">
        <f>"Ngày 31 tháng 03 năm 2015 "</f>
        <v xml:space="preserve">Ngày 31 tháng 03 năm 2015 </v>
      </c>
    </row>
    <row r="39" spans="1:49">
      <c r="F39" s="240"/>
      <c r="M39" s="240"/>
      <c r="O39" s="240"/>
      <c r="P39" s="240"/>
      <c r="Q39" s="240"/>
      <c r="R39" s="240"/>
      <c r="S39" s="240"/>
      <c r="T39" s="240"/>
      <c r="AH39" s="242"/>
      <c r="AI39" s="246" t="s">
        <v>11</v>
      </c>
      <c r="AJ39" s="242"/>
      <c r="AK39" s="242"/>
      <c r="AL39" s="242"/>
      <c r="AM39" s="242"/>
      <c r="AN39" s="242"/>
      <c r="AO39" s="247" t="s">
        <v>12</v>
      </c>
      <c r="AP39" s="243"/>
      <c r="AV39" s="246" t="s">
        <v>118</v>
      </c>
    </row>
    <row r="40" spans="1:49">
      <c r="F40" s="240"/>
      <c r="M40" s="240"/>
      <c r="O40" s="240"/>
      <c r="P40" s="240"/>
      <c r="Q40" s="240"/>
      <c r="R40" s="240"/>
      <c r="S40" s="240"/>
      <c r="T40" s="240"/>
      <c r="AH40" s="242"/>
      <c r="AI40" s="248" t="s">
        <v>13</v>
      </c>
      <c r="AJ40" s="242"/>
      <c r="AK40" s="242"/>
      <c r="AL40" s="242"/>
      <c r="AM40" s="242"/>
      <c r="AN40" s="242"/>
      <c r="AO40" s="249" t="s">
        <v>13</v>
      </c>
      <c r="AP40" s="243"/>
      <c r="AV40" s="248" t="s">
        <v>149</v>
      </c>
    </row>
    <row r="41" spans="1:49">
      <c r="F41" s="240"/>
      <c r="M41" s="240"/>
      <c r="O41" s="240"/>
      <c r="P41" s="240"/>
      <c r="Q41" s="240"/>
      <c r="R41" s="240"/>
      <c r="S41" s="240"/>
      <c r="T41" s="240"/>
      <c r="AH41" s="242"/>
      <c r="AI41" s="242"/>
      <c r="AJ41" s="242"/>
      <c r="AK41" s="242"/>
      <c r="AL41" s="242"/>
      <c r="AM41" s="242"/>
      <c r="AN41" s="242"/>
      <c r="AO41" s="242"/>
      <c r="AP41" s="243"/>
      <c r="AV41" s="242"/>
    </row>
    <row r="42" spans="1:49">
      <c r="F42" s="240"/>
      <c r="M42" s="240"/>
      <c r="O42" s="240"/>
      <c r="P42" s="240"/>
      <c r="Q42" s="240"/>
      <c r="R42" s="240"/>
      <c r="S42" s="240"/>
      <c r="T42" s="240"/>
      <c r="AV42" s="242"/>
    </row>
    <row r="43" spans="1:49">
      <c r="F43" s="240"/>
      <c r="M43" s="240"/>
      <c r="O43" s="240"/>
      <c r="P43" s="240"/>
      <c r="Q43" s="240"/>
      <c r="R43" s="240"/>
      <c r="S43" s="240"/>
      <c r="T43" s="240"/>
    </row>
    <row r="44" spans="1:49">
      <c r="F44" s="240"/>
      <c r="M44" s="240"/>
      <c r="O44" s="240"/>
      <c r="P44" s="240"/>
      <c r="Q44" s="240"/>
      <c r="R44" s="240"/>
      <c r="S44" s="240"/>
      <c r="T44" s="240"/>
    </row>
    <row r="45" spans="1:49">
      <c r="F45" s="240"/>
    </row>
    <row r="46" spans="1:49">
      <c r="F46" s="240"/>
      <c r="M46" s="240"/>
      <c r="O46" s="240"/>
      <c r="P46" s="240"/>
      <c r="Q46" s="240"/>
      <c r="R46" s="240"/>
      <c r="S46" s="240"/>
      <c r="T46" s="240"/>
    </row>
    <row r="47" spans="1:49">
      <c r="F47" s="240"/>
      <c r="M47" s="240"/>
      <c r="O47" s="240"/>
      <c r="P47" s="240"/>
      <c r="Q47" s="240"/>
      <c r="R47" s="240"/>
      <c r="S47" s="240"/>
      <c r="T47" s="240"/>
    </row>
    <row r="48" spans="1:49">
      <c r="F48" s="240"/>
      <c r="M48" s="240"/>
      <c r="O48" s="240"/>
      <c r="P48" s="240"/>
      <c r="Q48" s="240"/>
      <c r="R48" s="240"/>
      <c r="S48" s="240"/>
      <c r="T48" s="240"/>
    </row>
    <row r="49" spans="6:20">
      <c r="F49" s="240"/>
      <c r="M49" s="240"/>
      <c r="O49" s="240"/>
      <c r="P49" s="240"/>
      <c r="Q49" s="240"/>
      <c r="R49" s="240"/>
      <c r="S49" s="240"/>
      <c r="T49" s="240"/>
    </row>
    <row r="50" spans="6:20">
      <c r="F50" s="240"/>
      <c r="M50" s="240"/>
      <c r="O50" s="240"/>
      <c r="P50" s="240"/>
      <c r="Q50" s="240"/>
      <c r="R50" s="240"/>
      <c r="S50" s="240"/>
      <c r="T50" s="240"/>
    </row>
    <row r="51" spans="6:20">
      <c r="F51" s="240"/>
      <c r="M51" s="240"/>
      <c r="O51" s="240"/>
      <c r="P51" s="240"/>
      <c r="Q51" s="240"/>
      <c r="R51" s="240"/>
      <c r="S51" s="240"/>
      <c r="T51" s="240"/>
    </row>
    <row r="52" spans="6:20">
      <c r="F52" s="240"/>
      <c r="M52" s="240"/>
      <c r="O52" s="240"/>
      <c r="P52" s="240"/>
      <c r="Q52" s="240"/>
      <c r="R52" s="240"/>
      <c r="S52" s="240"/>
      <c r="T52" s="240"/>
    </row>
    <row r="53" spans="6:20">
      <c r="F53" s="240"/>
      <c r="M53" s="240"/>
      <c r="O53" s="240"/>
      <c r="P53" s="240"/>
      <c r="Q53" s="240"/>
      <c r="R53" s="240"/>
      <c r="S53" s="240"/>
      <c r="T53" s="240"/>
    </row>
    <row r="54" spans="6:20">
      <c r="F54" s="240"/>
      <c r="M54" s="240"/>
      <c r="O54" s="240"/>
      <c r="P54" s="240"/>
      <c r="Q54" s="240"/>
      <c r="R54" s="240"/>
      <c r="S54" s="240"/>
      <c r="T54" s="240"/>
    </row>
    <row r="55" spans="6:20">
      <c r="F55" s="240"/>
      <c r="M55" s="240"/>
      <c r="O55" s="240"/>
      <c r="P55" s="240"/>
      <c r="Q55" s="240"/>
      <c r="R55" s="240"/>
      <c r="S55" s="240"/>
      <c r="T55" s="240"/>
    </row>
    <row r="56" spans="6:20">
      <c r="F56" s="240"/>
      <c r="M56" s="240"/>
      <c r="O56" s="240"/>
      <c r="P56" s="240"/>
      <c r="Q56" s="240"/>
      <c r="R56" s="240"/>
      <c r="S56" s="240"/>
      <c r="T56" s="240"/>
    </row>
    <row r="57" spans="6:20">
      <c r="F57" s="240"/>
      <c r="M57" s="240"/>
      <c r="O57" s="240"/>
      <c r="P57" s="240"/>
      <c r="Q57" s="240"/>
      <c r="R57" s="240"/>
      <c r="S57" s="240"/>
      <c r="T57" s="240"/>
    </row>
    <row r="58" spans="6:20">
      <c r="F58" s="240"/>
      <c r="M58" s="240"/>
      <c r="O58" s="240"/>
      <c r="P58" s="240"/>
      <c r="Q58" s="240"/>
      <c r="R58" s="240"/>
      <c r="S58" s="240"/>
      <c r="T58" s="240"/>
    </row>
    <row r="59" spans="6:20">
      <c r="F59" s="240"/>
      <c r="M59" s="240"/>
      <c r="O59" s="240"/>
      <c r="P59" s="240"/>
      <c r="Q59" s="240"/>
      <c r="R59" s="240"/>
      <c r="S59" s="240"/>
      <c r="T59" s="240"/>
    </row>
    <row r="60" spans="6:20">
      <c r="F60" s="240"/>
      <c r="M60" s="240"/>
      <c r="O60" s="240"/>
      <c r="P60" s="240"/>
      <c r="Q60" s="240"/>
      <c r="R60" s="240"/>
      <c r="S60" s="240"/>
      <c r="T60" s="240"/>
    </row>
    <row r="61" spans="6:20">
      <c r="F61" s="240"/>
      <c r="M61" s="240"/>
      <c r="O61" s="240"/>
      <c r="P61" s="240"/>
      <c r="Q61" s="240"/>
      <c r="R61" s="240"/>
      <c r="S61" s="240"/>
      <c r="T61" s="240"/>
    </row>
    <row r="62" spans="6:20">
      <c r="F62" s="240"/>
      <c r="M62" s="240"/>
      <c r="O62" s="240"/>
      <c r="P62" s="240"/>
      <c r="Q62" s="240"/>
      <c r="R62" s="240"/>
      <c r="S62" s="240"/>
      <c r="T62" s="240"/>
    </row>
    <row r="63" spans="6:20">
      <c r="F63" s="240"/>
      <c r="M63" s="240"/>
      <c r="O63" s="240"/>
      <c r="P63" s="240"/>
      <c r="Q63" s="240"/>
      <c r="R63" s="240"/>
      <c r="S63" s="240"/>
      <c r="T63" s="240"/>
    </row>
    <row r="64" spans="6:20">
      <c r="F64" s="240"/>
      <c r="M64" s="240"/>
      <c r="O64" s="240"/>
      <c r="P64" s="240"/>
      <c r="Q64" s="240"/>
      <c r="R64" s="240"/>
      <c r="S64" s="240"/>
      <c r="T64" s="240"/>
    </row>
    <row r="65" spans="6:20">
      <c r="F65" s="240"/>
      <c r="M65" s="240"/>
      <c r="O65" s="240"/>
      <c r="P65" s="240"/>
      <c r="Q65" s="240"/>
      <c r="R65" s="240"/>
      <c r="S65" s="240"/>
      <c r="T65" s="240"/>
    </row>
    <row r="66" spans="6:20">
      <c r="F66" s="240"/>
      <c r="M66" s="240"/>
      <c r="O66" s="240"/>
      <c r="P66" s="240"/>
      <c r="Q66" s="240"/>
      <c r="R66" s="240"/>
      <c r="S66" s="240"/>
      <c r="T66" s="240"/>
    </row>
    <row r="67" spans="6:20">
      <c r="F67" s="240"/>
      <c r="M67" s="240"/>
      <c r="O67" s="240"/>
      <c r="P67" s="240"/>
      <c r="Q67" s="240"/>
      <c r="R67" s="240"/>
      <c r="S67" s="240"/>
      <c r="T67" s="240"/>
    </row>
    <row r="68" spans="6:20">
      <c r="F68" s="240"/>
      <c r="M68" s="240"/>
      <c r="O68" s="240"/>
      <c r="P68" s="240"/>
      <c r="Q68" s="240"/>
      <c r="R68" s="240"/>
      <c r="S68" s="240"/>
      <c r="T68" s="240"/>
    </row>
    <row r="69" spans="6:20">
      <c r="F69" s="240"/>
      <c r="M69" s="240"/>
      <c r="O69" s="240"/>
      <c r="P69" s="240"/>
      <c r="Q69" s="240"/>
      <c r="R69" s="240"/>
      <c r="S69" s="240"/>
      <c r="T69" s="240"/>
    </row>
    <row r="70" spans="6:20">
      <c r="F70" s="240"/>
      <c r="M70" s="240"/>
      <c r="O70" s="240"/>
      <c r="P70" s="240"/>
      <c r="Q70" s="240"/>
      <c r="R70" s="240"/>
      <c r="S70" s="240"/>
      <c r="T70" s="240"/>
    </row>
    <row r="71" spans="6:20">
      <c r="F71" s="240"/>
      <c r="M71" s="240"/>
      <c r="O71" s="240"/>
      <c r="P71" s="240"/>
      <c r="Q71" s="240"/>
      <c r="R71" s="240"/>
      <c r="S71" s="240"/>
      <c r="T71" s="240"/>
    </row>
    <row r="72" spans="6:20">
      <c r="F72" s="240"/>
      <c r="M72" s="240"/>
      <c r="O72" s="240"/>
      <c r="P72" s="240"/>
      <c r="Q72" s="240"/>
      <c r="R72" s="240"/>
      <c r="S72" s="240"/>
      <c r="T72" s="240"/>
    </row>
    <row r="73" spans="6:20">
      <c r="F73" s="240"/>
      <c r="M73" s="240"/>
      <c r="O73" s="240"/>
      <c r="P73" s="240"/>
      <c r="Q73" s="240"/>
      <c r="R73" s="240"/>
      <c r="S73" s="240"/>
      <c r="T73" s="240"/>
    </row>
    <row r="74" spans="6:20">
      <c r="F74" s="240"/>
      <c r="M74" s="240"/>
      <c r="O74" s="240"/>
      <c r="P74" s="240"/>
      <c r="Q74" s="240"/>
      <c r="R74" s="240"/>
      <c r="S74" s="240"/>
      <c r="T74" s="240"/>
    </row>
    <row r="75" spans="6:20">
      <c r="F75" s="240"/>
      <c r="M75" s="240"/>
      <c r="O75" s="240"/>
      <c r="P75" s="240"/>
      <c r="Q75" s="240"/>
      <c r="R75" s="240"/>
      <c r="S75" s="240"/>
      <c r="T75" s="240"/>
    </row>
    <row r="76" spans="6:20">
      <c r="F76" s="240"/>
      <c r="M76" s="240"/>
      <c r="O76" s="240"/>
      <c r="P76" s="240"/>
      <c r="Q76" s="240"/>
      <c r="R76" s="240"/>
      <c r="S76" s="240"/>
      <c r="T76" s="240"/>
    </row>
    <row r="77" spans="6:20">
      <c r="F77" s="240"/>
      <c r="M77" s="240"/>
      <c r="O77" s="240"/>
      <c r="P77" s="240"/>
      <c r="Q77" s="240"/>
      <c r="R77" s="240"/>
      <c r="S77" s="240"/>
      <c r="T77" s="240"/>
    </row>
    <row r="78" spans="6:20">
      <c r="F78" s="240"/>
      <c r="M78" s="240"/>
      <c r="O78" s="240"/>
      <c r="P78" s="240"/>
      <c r="Q78" s="240"/>
      <c r="R78" s="240"/>
      <c r="S78" s="240"/>
      <c r="T78" s="240"/>
    </row>
    <row r="79" spans="6:20">
      <c r="F79" s="240"/>
      <c r="M79" s="240"/>
      <c r="O79" s="240"/>
      <c r="P79" s="240"/>
      <c r="Q79" s="240"/>
      <c r="R79" s="240"/>
      <c r="S79" s="240"/>
      <c r="T79" s="240"/>
    </row>
    <row r="80" spans="6:20">
      <c r="F80" s="240"/>
      <c r="M80" s="240"/>
      <c r="O80" s="240"/>
      <c r="P80" s="240"/>
      <c r="Q80" s="240"/>
      <c r="R80" s="240"/>
      <c r="S80" s="240"/>
      <c r="T80" s="240"/>
    </row>
    <row r="81" spans="6:20">
      <c r="F81" s="240"/>
      <c r="M81" s="240"/>
      <c r="O81" s="240"/>
      <c r="P81" s="240"/>
      <c r="Q81" s="240"/>
      <c r="R81" s="240"/>
      <c r="S81" s="240"/>
      <c r="T81" s="240"/>
    </row>
    <row r="82" spans="6:20">
      <c r="F82" s="240"/>
      <c r="M82" s="240"/>
      <c r="O82" s="240"/>
      <c r="P82" s="240"/>
      <c r="Q82" s="240"/>
      <c r="R82" s="240"/>
      <c r="S82" s="240"/>
      <c r="T82" s="240"/>
    </row>
    <row r="83" spans="6:20">
      <c r="F83" s="240"/>
      <c r="M83" s="240"/>
      <c r="O83" s="240"/>
      <c r="P83" s="240"/>
      <c r="Q83" s="240"/>
      <c r="R83" s="240"/>
      <c r="S83" s="240"/>
      <c r="T83" s="240"/>
    </row>
    <row r="84" spans="6:20">
      <c r="F84" s="240"/>
      <c r="M84" s="240"/>
      <c r="O84" s="240"/>
      <c r="P84" s="240"/>
      <c r="Q84" s="240"/>
      <c r="R84" s="240"/>
      <c r="S84" s="240"/>
      <c r="T84" s="240"/>
    </row>
    <row r="85" spans="6:20">
      <c r="F85" s="240"/>
      <c r="M85" s="240"/>
      <c r="O85" s="240"/>
      <c r="P85" s="240"/>
      <c r="Q85" s="240"/>
      <c r="R85" s="240"/>
      <c r="S85" s="240"/>
      <c r="T85" s="240"/>
    </row>
    <row r="86" spans="6:20">
      <c r="F86" s="240"/>
      <c r="M86" s="240"/>
      <c r="O86" s="240"/>
      <c r="P86" s="240"/>
      <c r="Q86" s="240"/>
      <c r="R86" s="240"/>
      <c r="S86" s="240"/>
      <c r="T86" s="240"/>
    </row>
    <row r="87" spans="6:20">
      <c r="F87" s="240"/>
      <c r="M87" s="240"/>
      <c r="O87" s="240"/>
      <c r="P87" s="240"/>
      <c r="Q87" s="240"/>
      <c r="R87" s="240"/>
      <c r="S87" s="240"/>
      <c r="T87" s="240"/>
    </row>
    <row r="88" spans="6:20">
      <c r="F88" s="240"/>
      <c r="M88" s="240"/>
      <c r="O88" s="240"/>
      <c r="P88" s="240"/>
      <c r="Q88" s="240"/>
      <c r="R88" s="240"/>
      <c r="S88" s="240"/>
      <c r="T88" s="240"/>
    </row>
    <row r="89" spans="6:20">
      <c r="F89" s="240"/>
      <c r="M89" s="240"/>
      <c r="O89" s="240"/>
      <c r="P89" s="240"/>
      <c r="Q89" s="240"/>
      <c r="R89" s="240"/>
      <c r="S89" s="240"/>
      <c r="T89" s="240"/>
    </row>
    <row r="90" spans="6:20">
      <c r="M90" s="240"/>
      <c r="O90" s="240"/>
      <c r="P90" s="240"/>
      <c r="Q90" s="240"/>
      <c r="R90" s="240"/>
      <c r="S90" s="240"/>
      <c r="T90" s="240"/>
    </row>
    <row r="91" spans="6:20">
      <c r="M91" s="240"/>
      <c r="O91" s="240"/>
      <c r="P91" s="240"/>
      <c r="Q91" s="240"/>
      <c r="R91" s="240"/>
      <c r="S91" s="240"/>
      <c r="T91" s="240"/>
    </row>
  </sheetData>
  <autoFilter ref="A9:AW33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83"/>
  <sheetViews>
    <sheetView topLeftCell="A7" workbookViewId="0">
      <pane xSplit="8" ySplit="5" topLeftCell="AB12" activePane="bottomRight" state="frozen"/>
      <selection activeCell="E170" sqref="E170"/>
      <selection pane="topRight" activeCell="E170" sqref="E170"/>
      <selection pane="bottomLeft" activeCell="E170" sqref="E170"/>
      <selection pane="bottomRight" activeCell="F14" sqref="F14"/>
    </sheetView>
  </sheetViews>
  <sheetFormatPr defaultRowHeight="12.75"/>
  <cols>
    <col min="1" max="1" width="4.85546875" style="196" customWidth="1"/>
    <col min="2" max="2" width="9" style="196" customWidth="1"/>
    <col min="3" max="3" width="7.85546875" style="196" customWidth="1"/>
    <col min="4" max="4" width="9.42578125" style="196" customWidth="1"/>
    <col min="5" max="5" width="53.28515625" style="196" customWidth="1"/>
    <col min="6" max="6" width="14.42578125" style="196" customWidth="1"/>
    <col min="7" max="8" width="5.85546875" style="197" customWidth="1"/>
    <col min="9" max="9" width="4.85546875" style="196" customWidth="1"/>
    <col min="10" max="10" width="15.42578125" style="196" customWidth="1"/>
    <col min="11" max="11" width="15.140625" style="196" customWidth="1"/>
    <col min="12" max="12" width="15" style="196" customWidth="1"/>
    <col min="13" max="13" width="15.5703125" style="196" customWidth="1"/>
    <col min="14" max="14" width="14.28515625" style="196" customWidth="1"/>
    <col min="15" max="15" width="7.85546875" style="196" customWidth="1"/>
    <col min="16" max="16" width="13" style="196" customWidth="1"/>
    <col min="17" max="17" width="12.7109375" style="196" customWidth="1"/>
    <col min="18" max="18" width="14.5703125" style="196" customWidth="1"/>
    <col min="19" max="19" width="6" style="196" customWidth="1"/>
    <col min="20" max="20" width="14.5703125" style="196" customWidth="1"/>
    <col min="21" max="21" width="14" style="196" customWidth="1"/>
    <col min="22" max="22" width="6.5703125" style="196" customWidth="1"/>
    <col min="23" max="23" width="7.42578125" style="196" customWidth="1"/>
    <col min="24" max="25" width="11.140625" style="196" customWidth="1"/>
    <col min="26" max="27" width="12.5703125" style="196" customWidth="1"/>
    <col min="28" max="28" width="5.28515625" style="196" customWidth="1"/>
    <col min="29" max="29" width="15" style="196" customWidth="1"/>
    <col min="30" max="30" width="5.85546875" style="196" customWidth="1"/>
    <col min="31" max="31" width="13.85546875" style="196" customWidth="1"/>
    <col min="32" max="32" width="12.5703125" style="196" customWidth="1"/>
    <col min="33" max="33" width="5.7109375" style="196" customWidth="1"/>
    <col min="34" max="34" width="14.42578125" style="196" customWidth="1"/>
    <col min="35" max="35" width="13.85546875" style="196" customWidth="1"/>
    <col min="36" max="36" width="9.85546875" style="196" customWidth="1"/>
    <col min="37" max="37" width="9.7109375" style="196" customWidth="1"/>
    <col min="38" max="38" width="13.140625" style="196" customWidth="1"/>
    <col min="39" max="39" width="12.5703125" style="196" customWidth="1"/>
    <col min="40" max="41" width="14.28515625" style="196" customWidth="1"/>
    <col min="42" max="42" width="7" style="196" customWidth="1"/>
    <col min="43" max="43" width="7.5703125" style="196" customWidth="1"/>
    <col min="44" max="44" width="4.7109375" style="196" customWidth="1"/>
    <col min="45" max="45" width="9.5703125" style="196" customWidth="1"/>
    <col min="46" max="47" width="12.28515625" style="196" customWidth="1"/>
    <col min="48" max="48" width="15.7109375" style="196" customWidth="1"/>
    <col min="49" max="49" width="15.85546875" style="196" customWidth="1"/>
    <col min="50" max="16384" width="9.140625" style="196"/>
  </cols>
  <sheetData>
    <row r="1" spans="1:49" ht="12.75" customHeight="1">
      <c r="A1" s="192"/>
      <c r="B1" s="193" t="s">
        <v>108</v>
      </c>
      <c r="C1" s="194"/>
      <c r="D1" s="194"/>
      <c r="E1" s="195"/>
      <c r="I1" s="194"/>
      <c r="M1" s="301" t="s">
        <v>167</v>
      </c>
      <c r="N1" s="301"/>
      <c r="O1" s="301"/>
      <c r="P1" s="195"/>
      <c r="V1" s="194"/>
      <c r="W1" s="194"/>
      <c r="X1" s="194"/>
      <c r="Y1" s="194"/>
      <c r="Z1" s="195"/>
      <c r="AA1" s="195"/>
      <c r="AB1" s="195"/>
      <c r="AC1" s="195"/>
      <c r="AD1" s="195"/>
      <c r="AE1" s="195"/>
      <c r="AF1" s="195"/>
      <c r="AG1" s="195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</row>
    <row r="2" spans="1:49" ht="12.75" customHeight="1">
      <c r="A2" s="192"/>
      <c r="B2" s="193" t="s">
        <v>156</v>
      </c>
      <c r="C2" s="194"/>
      <c r="D2" s="194"/>
      <c r="E2" s="194"/>
      <c r="I2" s="198"/>
      <c r="M2" s="302" t="s">
        <v>168</v>
      </c>
      <c r="N2" s="302"/>
      <c r="O2" s="302"/>
      <c r="P2" s="199"/>
      <c r="V2" s="198"/>
      <c r="W2" s="198"/>
      <c r="X2" s="198"/>
      <c r="Y2" s="198"/>
      <c r="Z2" s="199"/>
      <c r="AA2" s="199"/>
      <c r="AB2" s="199"/>
      <c r="AC2" s="199"/>
      <c r="AD2" s="199"/>
      <c r="AE2" s="199"/>
      <c r="AF2" s="199"/>
      <c r="AG2" s="199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</row>
    <row r="3" spans="1:49" ht="10.5" customHeight="1">
      <c r="A3" s="194"/>
      <c r="B3" s="194"/>
      <c r="C3" s="194"/>
      <c r="D3" s="194"/>
      <c r="E3" s="194"/>
      <c r="F3" s="198"/>
      <c r="G3" s="200"/>
      <c r="H3" s="200"/>
      <c r="I3" s="198"/>
      <c r="M3" s="302"/>
      <c r="N3" s="302"/>
      <c r="O3" s="302"/>
      <c r="P3" s="199"/>
      <c r="V3" s="198"/>
      <c r="W3" s="198"/>
      <c r="X3" s="198"/>
      <c r="Y3" s="198"/>
      <c r="Z3" s="199"/>
      <c r="AA3" s="199"/>
      <c r="AB3" s="199"/>
      <c r="AC3" s="199"/>
      <c r="AD3" s="199"/>
      <c r="AE3" s="199"/>
      <c r="AF3" s="199"/>
      <c r="AG3" s="199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</row>
    <row r="4" spans="1:49" ht="19.5" customHeight="1">
      <c r="B4" s="303" t="s">
        <v>98</v>
      </c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201"/>
      <c r="R4" s="201"/>
      <c r="S4" s="201"/>
      <c r="T4" s="201"/>
      <c r="U4" s="201"/>
      <c r="V4" s="202"/>
      <c r="W4" s="202"/>
      <c r="X4" s="203"/>
      <c r="Y4" s="203"/>
      <c r="Z4" s="201"/>
      <c r="AA4" s="201"/>
      <c r="AB4" s="201"/>
      <c r="AC4" s="201"/>
      <c r="AD4" s="201"/>
      <c r="AE4" s="201"/>
      <c r="AF4" s="201"/>
      <c r="AG4" s="201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  <c r="AW4" s="203"/>
    </row>
    <row r="5" spans="1:49" ht="15">
      <c r="B5" s="304" t="s">
        <v>197</v>
      </c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204"/>
      <c r="R5" s="204"/>
      <c r="S5" s="204"/>
      <c r="T5" s="204"/>
      <c r="U5" s="204"/>
      <c r="V5" s="205"/>
      <c r="W5" s="205"/>
      <c r="Z5" s="204"/>
      <c r="AA5" s="204"/>
      <c r="AB5" s="204"/>
      <c r="AC5" s="204"/>
      <c r="AD5" s="204"/>
      <c r="AE5" s="204"/>
      <c r="AF5" s="204"/>
      <c r="AG5" s="204"/>
    </row>
    <row r="6" spans="1:49">
      <c r="N6" s="196" t="s">
        <v>136</v>
      </c>
    </row>
    <row r="7" spans="1:49" ht="13.5" customHeight="1">
      <c r="A7" s="305" t="s">
        <v>31</v>
      </c>
      <c r="B7" s="299" t="s">
        <v>20</v>
      </c>
      <c r="C7" s="307" t="s">
        <v>1</v>
      </c>
      <c r="D7" s="308"/>
      <c r="E7" s="299" t="s">
        <v>0</v>
      </c>
      <c r="F7" s="299" t="s">
        <v>99</v>
      </c>
      <c r="G7" s="309" t="s">
        <v>100</v>
      </c>
      <c r="H7" s="309"/>
      <c r="I7" s="300" t="s">
        <v>31</v>
      </c>
      <c r="J7" s="299" t="s">
        <v>170</v>
      </c>
      <c r="K7" s="299"/>
      <c r="L7" s="299" t="s">
        <v>171</v>
      </c>
      <c r="M7" s="299"/>
      <c r="N7" s="299" t="s">
        <v>172</v>
      </c>
      <c r="O7" s="299"/>
      <c r="P7" s="299" t="s">
        <v>173</v>
      </c>
      <c r="Q7" s="299"/>
      <c r="R7" s="299" t="s">
        <v>174</v>
      </c>
      <c r="S7" s="299"/>
      <c r="T7" s="299" t="s">
        <v>175</v>
      </c>
      <c r="U7" s="299"/>
      <c r="V7" s="299" t="s">
        <v>176</v>
      </c>
      <c r="W7" s="299"/>
      <c r="X7" s="299" t="s">
        <v>177</v>
      </c>
      <c r="Y7" s="299"/>
      <c r="Z7" s="299" t="s">
        <v>178</v>
      </c>
      <c r="AA7" s="299"/>
      <c r="AB7" s="299" t="s">
        <v>179</v>
      </c>
      <c r="AC7" s="299"/>
      <c r="AD7" s="299" t="s">
        <v>180</v>
      </c>
      <c r="AE7" s="299"/>
      <c r="AF7" s="299" t="s">
        <v>181</v>
      </c>
      <c r="AG7" s="299"/>
      <c r="AH7" s="299" t="s">
        <v>182</v>
      </c>
      <c r="AI7" s="299"/>
      <c r="AJ7" s="299" t="s">
        <v>183</v>
      </c>
      <c r="AK7" s="299"/>
      <c r="AL7" s="299" t="s">
        <v>184</v>
      </c>
      <c r="AM7" s="299"/>
      <c r="AN7" s="299" t="s">
        <v>185</v>
      </c>
      <c r="AO7" s="299"/>
      <c r="AP7" s="299" t="s">
        <v>186</v>
      </c>
      <c r="AQ7" s="299"/>
      <c r="AR7" s="299" t="s">
        <v>187</v>
      </c>
      <c r="AS7" s="299"/>
      <c r="AT7" s="299" t="s">
        <v>188</v>
      </c>
      <c r="AU7" s="299"/>
      <c r="AV7" s="299" t="s">
        <v>189</v>
      </c>
      <c r="AW7" s="299"/>
    </row>
    <row r="8" spans="1:49" ht="22.5" customHeight="1">
      <c r="A8" s="306"/>
      <c r="B8" s="299"/>
      <c r="C8" s="207" t="s">
        <v>15</v>
      </c>
      <c r="D8" s="206" t="s">
        <v>28</v>
      </c>
      <c r="E8" s="299"/>
      <c r="F8" s="299"/>
      <c r="G8" s="208" t="s">
        <v>22</v>
      </c>
      <c r="H8" s="208" t="s">
        <v>23</v>
      </c>
      <c r="I8" s="300"/>
      <c r="J8" s="206" t="s">
        <v>22</v>
      </c>
      <c r="K8" s="206" t="s">
        <v>23</v>
      </c>
      <c r="L8" s="206" t="s">
        <v>22</v>
      </c>
      <c r="M8" s="206" t="s">
        <v>23</v>
      </c>
      <c r="N8" s="206" t="s">
        <v>22</v>
      </c>
      <c r="O8" s="206" t="s">
        <v>23</v>
      </c>
      <c r="P8" s="206" t="s">
        <v>22</v>
      </c>
      <c r="Q8" s="206" t="s">
        <v>23</v>
      </c>
      <c r="R8" s="206" t="s">
        <v>22</v>
      </c>
      <c r="S8" s="206" t="s">
        <v>23</v>
      </c>
      <c r="T8" s="206" t="s">
        <v>22</v>
      </c>
      <c r="U8" s="206" t="s">
        <v>23</v>
      </c>
      <c r="V8" s="206" t="s">
        <v>22</v>
      </c>
      <c r="W8" s="206" t="s">
        <v>23</v>
      </c>
      <c r="X8" s="206" t="s">
        <v>22</v>
      </c>
      <c r="Y8" s="206" t="s">
        <v>23</v>
      </c>
      <c r="Z8" s="206" t="s">
        <v>22</v>
      </c>
      <c r="AA8" s="206" t="s">
        <v>23</v>
      </c>
      <c r="AB8" s="206" t="s">
        <v>22</v>
      </c>
      <c r="AC8" s="206" t="s">
        <v>23</v>
      </c>
      <c r="AD8" s="206" t="s">
        <v>22</v>
      </c>
      <c r="AE8" s="206" t="s">
        <v>23</v>
      </c>
      <c r="AF8" s="206" t="s">
        <v>22</v>
      </c>
      <c r="AG8" s="206" t="s">
        <v>23</v>
      </c>
      <c r="AH8" s="206" t="s">
        <v>22</v>
      </c>
      <c r="AI8" s="206" t="s">
        <v>23</v>
      </c>
      <c r="AJ8" s="206" t="s">
        <v>22</v>
      </c>
      <c r="AK8" s="206" t="s">
        <v>23</v>
      </c>
      <c r="AL8" s="206" t="s">
        <v>22</v>
      </c>
      <c r="AM8" s="206" t="s">
        <v>23</v>
      </c>
      <c r="AN8" s="206" t="s">
        <v>22</v>
      </c>
      <c r="AO8" s="206" t="s">
        <v>23</v>
      </c>
      <c r="AP8" s="206" t="s">
        <v>22</v>
      </c>
      <c r="AQ8" s="206" t="s">
        <v>23</v>
      </c>
      <c r="AR8" s="206" t="s">
        <v>22</v>
      </c>
      <c r="AS8" s="206" t="s">
        <v>23</v>
      </c>
      <c r="AT8" s="206" t="s">
        <v>22</v>
      </c>
      <c r="AU8" s="206" t="s">
        <v>23</v>
      </c>
      <c r="AV8" s="206" t="s">
        <v>22</v>
      </c>
      <c r="AW8" s="206" t="s">
        <v>23</v>
      </c>
    </row>
    <row r="9" spans="1:49" s="210" customFormat="1" ht="8.25" customHeight="1">
      <c r="A9" s="209">
        <v>1</v>
      </c>
      <c r="B9" s="209">
        <v>2</v>
      </c>
      <c r="C9" s="209">
        <v>3</v>
      </c>
      <c r="D9" s="209">
        <v>4</v>
      </c>
      <c r="E9" s="209">
        <v>5</v>
      </c>
      <c r="F9" s="209">
        <v>6</v>
      </c>
      <c r="G9" s="209">
        <v>7</v>
      </c>
      <c r="H9" s="209">
        <v>8</v>
      </c>
      <c r="I9" s="209">
        <v>9</v>
      </c>
      <c r="J9" s="209">
        <v>10</v>
      </c>
      <c r="K9" s="209">
        <v>11</v>
      </c>
      <c r="L9" s="209">
        <v>12</v>
      </c>
      <c r="M9" s="209">
        <v>13</v>
      </c>
      <c r="N9" s="209">
        <v>14</v>
      </c>
      <c r="O9" s="209">
        <v>15</v>
      </c>
      <c r="P9" s="209">
        <v>16</v>
      </c>
      <c r="Q9" s="209">
        <v>17</v>
      </c>
      <c r="R9" s="209">
        <v>18</v>
      </c>
      <c r="S9" s="209">
        <v>19</v>
      </c>
      <c r="T9" s="209">
        <v>20</v>
      </c>
      <c r="U9" s="209">
        <v>21</v>
      </c>
      <c r="V9" s="209">
        <v>22</v>
      </c>
      <c r="W9" s="209">
        <v>23</v>
      </c>
      <c r="X9" s="209">
        <v>24</v>
      </c>
      <c r="Y9" s="209">
        <v>25</v>
      </c>
      <c r="Z9" s="209">
        <v>26</v>
      </c>
      <c r="AA9" s="209">
        <v>27</v>
      </c>
      <c r="AB9" s="209">
        <v>28</v>
      </c>
      <c r="AC9" s="209">
        <v>29</v>
      </c>
      <c r="AD9" s="209">
        <v>30</v>
      </c>
      <c r="AE9" s="209">
        <v>31</v>
      </c>
      <c r="AF9" s="209">
        <v>32</v>
      </c>
      <c r="AG9" s="209">
        <v>33</v>
      </c>
      <c r="AH9" s="209">
        <v>34</v>
      </c>
      <c r="AI9" s="209">
        <v>35</v>
      </c>
      <c r="AJ9" s="209">
        <v>36</v>
      </c>
      <c r="AK9" s="209">
        <v>37</v>
      </c>
      <c r="AL9" s="209">
        <v>38</v>
      </c>
      <c r="AM9" s="209">
        <v>39</v>
      </c>
      <c r="AN9" s="209">
        <v>40</v>
      </c>
      <c r="AO9" s="209">
        <v>41</v>
      </c>
      <c r="AP9" s="209">
        <v>42</v>
      </c>
      <c r="AQ9" s="209">
        <v>43</v>
      </c>
      <c r="AR9" s="209">
        <v>44</v>
      </c>
      <c r="AS9" s="209">
        <v>45</v>
      </c>
      <c r="AT9" s="209">
        <v>46</v>
      </c>
      <c r="AU9" s="209">
        <v>47</v>
      </c>
      <c r="AV9" s="209">
        <v>48</v>
      </c>
      <c r="AW9" s="209">
        <v>49</v>
      </c>
    </row>
    <row r="10" spans="1:49" s="218" customFormat="1" ht="12" customHeight="1">
      <c r="A10" s="40" t="str">
        <f t="array" ref="A10">IF(C10&lt;&gt;0,SUM(($C10:C$12&lt;&gt;0)*1),"")</f>
        <v/>
      </c>
      <c r="B10" s="211"/>
      <c r="C10" s="212"/>
      <c r="D10" s="211"/>
      <c r="E10" s="213" t="s">
        <v>154</v>
      </c>
      <c r="F10" s="214"/>
      <c r="G10" s="215"/>
      <c r="H10" s="215"/>
      <c r="I10" s="216"/>
      <c r="J10" s="217">
        <f ca="1">'01-03'!J32</f>
        <v>3996700000</v>
      </c>
      <c r="K10" s="217">
        <f ca="1">'01-03'!K32</f>
        <v>0</v>
      </c>
      <c r="L10" s="217">
        <f ca="1">'01-03'!L32</f>
        <v>0</v>
      </c>
      <c r="M10" s="217">
        <f ca="1">'01-03'!M32</f>
        <v>0</v>
      </c>
      <c r="N10" s="217">
        <f ca="1">'01-03'!N32</f>
        <v>0</v>
      </c>
      <c r="O10" s="217">
        <f ca="1">'01-03'!O32</f>
        <v>0</v>
      </c>
      <c r="P10" s="217">
        <f ca="1">'01-03'!P32</f>
        <v>0</v>
      </c>
      <c r="Q10" s="217">
        <f ca="1">'01-03'!Q32</f>
        <v>0</v>
      </c>
      <c r="R10" s="217">
        <f ca="1">'01-03'!R32</f>
        <v>0</v>
      </c>
      <c r="S10" s="217">
        <f ca="1">'01-03'!S32</f>
        <v>0</v>
      </c>
      <c r="T10" s="217">
        <f ca="1">'01-03'!T32</f>
        <v>0</v>
      </c>
      <c r="U10" s="217">
        <f ca="1">'01-03'!U32</f>
        <v>0</v>
      </c>
      <c r="V10" s="217">
        <f ca="1">'01-03'!V32</f>
        <v>0</v>
      </c>
      <c r="W10" s="217">
        <f ca="1">'01-03'!W32</f>
        <v>0</v>
      </c>
      <c r="X10" s="217">
        <f ca="1">'01-03'!X32</f>
        <v>0</v>
      </c>
      <c r="Y10" s="217">
        <f ca="1">'01-03'!Y32</f>
        <v>0</v>
      </c>
      <c r="Z10" s="217">
        <f ca="1">'01-03'!Z32</f>
        <v>0</v>
      </c>
      <c r="AA10" s="217">
        <f ca="1">'01-03'!AA32</f>
        <v>0</v>
      </c>
      <c r="AB10" s="217">
        <f ca="1">'01-03'!AB32</f>
        <v>0</v>
      </c>
      <c r="AC10" s="217">
        <f ca="1">'01-03'!AC32</f>
        <v>0</v>
      </c>
      <c r="AD10" s="217">
        <f ca="1">'01-03'!AD32</f>
        <v>0</v>
      </c>
      <c r="AE10" s="217">
        <f ca="1">'01-03'!AE32</f>
        <v>4000000000</v>
      </c>
      <c r="AF10" s="217">
        <f ca="1">'01-03'!AF32</f>
        <v>0</v>
      </c>
      <c r="AG10" s="217">
        <f ca="1">'01-03'!AG32</f>
        <v>0</v>
      </c>
      <c r="AH10" s="217">
        <f ca="1">'01-03'!AH32</f>
        <v>3300000</v>
      </c>
      <c r="AI10" s="217">
        <f ca="1">'01-03'!AI32</f>
        <v>0</v>
      </c>
      <c r="AJ10" s="217">
        <f ca="1">'01-03'!AJ32</f>
        <v>0</v>
      </c>
      <c r="AK10" s="217">
        <f ca="1">'01-03'!AK32</f>
        <v>0</v>
      </c>
      <c r="AL10" s="217">
        <f ca="1">'01-03'!AL32</f>
        <v>0</v>
      </c>
      <c r="AM10" s="217">
        <f ca="1">'01-03'!AM32</f>
        <v>0</v>
      </c>
      <c r="AN10" s="217">
        <f ca="1">'01-03'!AN32</f>
        <v>0</v>
      </c>
      <c r="AO10" s="217">
        <f ca="1">'01-03'!AO32</f>
        <v>0</v>
      </c>
      <c r="AP10" s="217">
        <f ca="1">'01-03'!AP32</f>
        <v>0</v>
      </c>
      <c r="AQ10" s="217">
        <f ca="1">'01-03'!AQ32</f>
        <v>0</v>
      </c>
      <c r="AR10" s="217">
        <f ca="1">'01-03'!AR32</f>
        <v>0</v>
      </c>
      <c r="AS10" s="217">
        <f ca="1">'01-03'!AS32</f>
        <v>0</v>
      </c>
      <c r="AT10" s="217">
        <f ca="1">'01-03'!AT32</f>
        <v>0</v>
      </c>
      <c r="AU10" s="217">
        <f ca="1">'01-03'!AU32</f>
        <v>0</v>
      </c>
      <c r="AV10" s="217">
        <f ca="1">'01-03'!AV32</f>
        <v>0</v>
      </c>
      <c r="AW10" s="217">
        <f ca="1">'01-03'!AW32</f>
        <v>0</v>
      </c>
    </row>
    <row r="11" spans="1:49" s="218" customFormat="1" ht="12" customHeight="1">
      <c r="A11" s="40">
        <f t="array" aca="1" ref="A11" ca="1">IF(C11&lt;&gt;0,SUM(($C$11:C11&lt;&gt;0)*1),"")</f>
        <v>1</v>
      </c>
      <c r="B11" s="219">
        <f ca="1">IF(ROWS($1:1)&gt;COUNT(Dong7),"",OFFSET(TH!C$1,SMALL(Dong7,ROWS($1:1)),))</f>
        <v>40317</v>
      </c>
      <c r="C11" s="219" t="str">
        <f ca="1">IF(ROWS($1:1)&gt;COUNT(Dong7),"",OFFSET(TH!D$1,SMALL(Dong7,ROWS($1:1)),))</f>
        <v>C01</v>
      </c>
      <c r="D11" s="219">
        <f ca="1">IF(ROWS($1:1)&gt;COUNT(Dong7),"",OFFSET(TH!E$1,SMALL(Dong7,ROWS($1:1)),))</f>
        <v>40317</v>
      </c>
      <c r="E11" s="268" t="str">
        <f ca="1">IF(ROWS($1:1)&gt;COUNT(Dong7),"",OFFSET(TH!F$1,SMALL(Dong7,ROWS($1:1)),))</f>
        <v>Nộp thuế môn bài 2010</v>
      </c>
      <c r="F11" s="269">
        <f ca="1">IF(ROWS($1:1)&gt;COUNT(Dong7),"",OFFSET(TH!I$1,SMALL(Dong7,ROWS($1:1)),))</f>
        <v>1500000</v>
      </c>
      <c r="G11" s="271" t="str">
        <f ca="1">IF(ROWS($1:1)&gt;COUNT(Dong7),"",OFFSET(TH!J$1,SMALL(Dong7,ROWS($1:1)),))</f>
        <v>33382</v>
      </c>
      <c r="H11" s="271" t="str">
        <f ca="1">IF(ROWS($1:1)&gt;COUNT(Dong7),"",OFFSET(TH!K$1,SMALL(Dong7,ROWS($1:1)),))</f>
        <v>1111</v>
      </c>
      <c r="I11" s="40">
        <f t="shared" ref="I11:I13" ca="1" si="0">A11</f>
        <v>1</v>
      </c>
      <c r="J11" s="221">
        <f t="shared" ref="J11:J12" ca="1" si="1">IF($G11="1111",$F11,0)</f>
        <v>0</v>
      </c>
      <c r="K11" s="221">
        <f t="shared" ref="K11:K12" ca="1" si="2">IF($H11="1111",$F11,0)</f>
        <v>1500000</v>
      </c>
      <c r="L11" s="221">
        <f t="shared" ref="L11:L12" ca="1" si="3">IF($G11="1121",$F11,0)</f>
        <v>0</v>
      </c>
      <c r="M11" s="221">
        <f t="shared" ref="M11:M12" ca="1" si="4">IF($H11="1121",$F11,0)</f>
        <v>0</v>
      </c>
      <c r="N11" s="221">
        <f t="shared" ref="N11:N12" ca="1" si="5">IF($G11="1331",$F11,0)</f>
        <v>0</v>
      </c>
      <c r="O11" s="221">
        <f t="shared" ref="O11:O12" ca="1" si="6">IF($H11="1331",$F11,0)</f>
        <v>0</v>
      </c>
      <c r="P11" s="221">
        <f t="shared" ref="P11:P12" ca="1" si="7">IF($G11="1388",$F11,0)</f>
        <v>0</v>
      </c>
      <c r="Q11" s="221">
        <f t="shared" ref="Q11:Q12" ca="1" si="8">IF($H11="1388",$F11,0)</f>
        <v>0</v>
      </c>
      <c r="R11" s="221">
        <f ca="1">IF($G11="2412",$F11,0)</f>
        <v>0</v>
      </c>
      <c r="S11" s="221">
        <f ca="1">IF($H11="2412",$F11,0)</f>
        <v>0</v>
      </c>
      <c r="T11" s="221">
        <f t="shared" ref="T11:T12" ca="1" si="9">IF($G11="331",$F11,0)</f>
        <v>0</v>
      </c>
      <c r="U11" s="221">
        <f t="shared" ref="U11:U12" ca="1" si="10">IF($H11="331",$F11,0)</f>
        <v>0</v>
      </c>
      <c r="V11" s="221">
        <f t="shared" ref="V11:V12" ca="1" si="11">IF($G11="3334",$F11,0)</f>
        <v>0</v>
      </c>
      <c r="W11" s="221">
        <f t="shared" ref="W11:W12" ca="1" si="12">IF($H11="3334",$F11,0)</f>
        <v>0</v>
      </c>
      <c r="X11" s="221">
        <f t="shared" ref="X11:X12" ca="1" si="13">IF($G11="33382",$F11,0)</f>
        <v>1500000</v>
      </c>
      <c r="Y11" s="221">
        <f t="shared" ref="Y11:Y12" ca="1" si="14">IF($H11="33382",$F11,0)</f>
        <v>0</v>
      </c>
      <c r="Z11" s="221">
        <f t="shared" ref="Z11:Z12" ca="1" si="15">IF($G11="3388",$F11,0)</f>
        <v>0</v>
      </c>
      <c r="AA11" s="221">
        <f t="shared" ref="AA11:AA12" ca="1" si="16">IF($H11="3388",$F11,0)</f>
        <v>0</v>
      </c>
      <c r="AB11" s="221">
        <f t="shared" ref="AB11:AB12" ca="1" si="17">IF($G11="3411",$F11,0)</f>
        <v>0</v>
      </c>
      <c r="AC11" s="221">
        <f t="shared" ref="AC11:AC12" ca="1" si="18">IF($H11="3411",$F11,0)</f>
        <v>0</v>
      </c>
      <c r="AD11" s="221">
        <f t="shared" ref="AD11:AD12" ca="1" si="19">IF($G11="4111",$F11,0)</f>
        <v>0</v>
      </c>
      <c r="AE11" s="221">
        <f t="shared" ref="AE11:AE12" ca="1" si="20">IF($H11="4111",$F11,0)</f>
        <v>0</v>
      </c>
      <c r="AF11" s="221">
        <f t="shared" ref="AF11:AF12" ca="1" si="21">IF($G11="4211",$F11,0)</f>
        <v>0</v>
      </c>
      <c r="AG11" s="221">
        <f t="shared" ref="AG11:AG12" ca="1" si="22">IF($H11="4211",$F11,0)</f>
        <v>0</v>
      </c>
      <c r="AH11" s="221">
        <f t="shared" ref="AH11:AH12" ca="1" si="23">IF($G11="4212",$F11,0)</f>
        <v>0</v>
      </c>
      <c r="AI11" s="221">
        <f t="shared" ref="AI11:AI12" ca="1" si="24">IF($H11="4212",$F11,0)</f>
        <v>0</v>
      </c>
      <c r="AJ11" s="221">
        <f t="shared" ref="AJ11:AJ12" ca="1" si="25">IF($G11="515",$F11,0)</f>
        <v>0</v>
      </c>
      <c r="AK11" s="221">
        <f t="shared" ref="AK11:AK12" ca="1" si="26">IF($H11="515",$F11,0)</f>
        <v>0</v>
      </c>
      <c r="AL11" s="221">
        <f t="shared" ref="AL11:AL12" ca="1" si="27">IF($G11="635",$F11,0)</f>
        <v>0</v>
      </c>
      <c r="AM11" s="221">
        <f t="shared" ref="AM11:AM12" ca="1" si="28">IF($H11="635",$F11,0)</f>
        <v>0</v>
      </c>
      <c r="AN11" s="221">
        <f t="shared" ref="AN11:AN12" ca="1" si="29">IF($G11="642",$F11,0)</f>
        <v>0</v>
      </c>
      <c r="AO11" s="221">
        <f t="shared" ref="AO11:AO12" ca="1" si="30">IF($H11="642",$F11,0)</f>
        <v>0</v>
      </c>
      <c r="AP11" s="221">
        <f t="shared" ref="AP11:AP12" ca="1" si="31">IF($G11="711",$F11,0)</f>
        <v>0</v>
      </c>
      <c r="AQ11" s="221">
        <f t="shared" ref="AQ11:AQ12" ca="1" si="32">IF($H11="711",$F11,0)</f>
        <v>0</v>
      </c>
      <c r="AR11" s="221">
        <f t="shared" ref="AR11:AR12" ca="1" si="33">IF($G11="811",$F11,0)</f>
        <v>0</v>
      </c>
      <c r="AS11" s="221">
        <f t="shared" ref="AS11:AS12" ca="1" si="34">IF($H11="811",$F11,0)</f>
        <v>0</v>
      </c>
      <c r="AT11" s="221">
        <f t="shared" ref="AT11:AT12" ca="1" si="35">IF($G11="821",$F11,0)</f>
        <v>0</v>
      </c>
      <c r="AU11" s="221">
        <f t="shared" ref="AU11:AU12" ca="1" si="36">IF($H11="821",$F11,0)</f>
        <v>0</v>
      </c>
      <c r="AV11" s="221">
        <f t="shared" ref="AV11:AV12" ca="1" si="37">IF($G11="911",$F11,0)</f>
        <v>0</v>
      </c>
      <c r="AW11" s="221">
        <f t="shared" ref="AW11:AW12" ca="1" si="38">IF($H11="911",$F11,0)</f>
        <v>0</v>
      </c>
    </row>
    <row r="12" spans="1:49" s="218" customFormat="1" ht="12" customHeight="1">
      <c r="A12" s="40">
        <f t="array" aca="1" ref="A12" ca="1">IF(C12&lt;&gt;0,SUM(($C$11:C12&lt;&gt;0)*1),"")</f>
        <v>2</v>
      </c>
      <c r="B12" s="219">
        <f ca="1">IF(ROWS($1:2)&gt;COUNT(Dong7),"",OFFSET(TH!C$1,SMALL(Dong7,ROWS($1:2)),))</f>
        <v>40317</v>
      </c>
      <c r="C12" s="219" t="str">
        <f ca="1">IF(ROWS($1:2)&gt;COUNT(Dong7),"",OFFSET(TH!D$1,SMALL(Dong7,ROWS($1:2)),))</f>
        <v>CTGS</v>
      </c>
      <c r="D12" s="219">
        <f ca="1">IF(ROWS($1:2)&gt;COUNT(Dong7),"",OFFSET(TH!E$1,SMALL(Dong7,ROWS($1:2)),))</f>
        <v>40317</v>
      </c>
      <c r="E12" s="268" t="str">
        <f ca="1">IF(ROWS($1:2)&gt;COUNT(Dong7),"",OFFSET(TH!F$1,SMALL(Dong7,ROWS($1:2)),))</f>
        <v>Nộp thuế môn bài 2010</v>
      </c>
      <c r="F12" s="269">
        <f ca="1">IF(ROWS($1:2)&gt;COUNT(Dong7),"",OFFSET(TH!I$1,SMALL(Dong7,ROWS($1:2)),))</f>
        <v>1500000</v>
      </c>
      <c r="G12" s="271" t="str">
        <f ca="1">IF(ROWS($1:2)&gt;COUNT(Dong7),"",OFFSET(TH!J$1,SMALL(Dong7,ROWS($1:2)),))</f>
        <v>642</v>
      </c>
      <c r="H12" s="271" t="str">
        <f ca="1">IF(ROWS($1:2)&gt;COUNT(Dong7),"",OFFSET(TH!K$1,SMALL(Dong7,ROWS($1:2)),))</f>
        <v>33382</v>
      </c>
      <c r="I12" s="40">
        <f t="shared" ca="1" si="0"/>
        <v>2</v>
      </c>
      <c r="J12" s="221">
        <f t="shared" ca="1" si="1"/>
        <v>0</v>
      </c>
      <c r="K12" s="221">
        <f t="shared" ca="1" si="2"/>
        <v>0</v>
      </c>
      <c r="L12" s="221">
        <f t="shared" ca="1" si="3"/>
        <v>0</v>
      </c>
      <c r="M12" s="221">
        <f t="shared" ca="1" si="4"/>
        <v>0</v>
      </c>
      <c r="N12" s="221">
        <f t="shared" ca="1" si="5"/>
        <v>0</v>
      </c>
      <c r="O12" s="221">
        <f t="shared" ca="1" si="6"/>
        <v>0</v>
      </c>
      <c r="P12" s="221">
        <f t="shared" ca="1" si="7"/>
        <v>0</v>
      </c>
      <c r="Q12" s="221">
        <f t="shared" ca="1" si="8"/>
        <v>0</v>
      </c>
      <c r="R12" s="221">
        <f t="shared" ref="R12" ca="1" si="39">IF($G12="2412",$F12,0)</f>
        <v>0</v>
      </c>
      <c r="S12" s="221">
        <f t="shared" ref="S12" ca="1" si="40">IF($H12="2412",$F12,0)</f>
        <v>0</v>
      </c>
      <c r="T12" s="221">
        <f t="shared" ca="1" si="9"/>
        <v>0</v>
      </c>
      <c r="U12" s="221">
        <f t="shared" ca="1" si="10"/>
        <v>0</v>
      </c>
      <c r="V12" s="221">
        <f t="shared" ca="1" si="11"/>
        <v>0</v>
      </c>
      <c r="W12" s="221">
        <f t="shared" ca="1" si="12"/>
        <v>0</v>
      </c>
      <c r="X12" s="221">
        <f t="shared" ca="1" si="13"/>
        <v>0</v>
      </c>
      <c r="Y12" s="221">
        <f t="shared" ca="1" si="14"/>
        <v>1500000</v>
      </c>
      <c r="Z12" s="221">
        <f t="shared" ca="1" si="15"/>
        <v>0</v>
      </c>
      <c r="AA12" s="221">
        <f t="shared" ca="1" si="16"/>
        <v>0</v>
      </c>
      <c r="AB12" s="221">
        <f t="shared" ca="1" si="17"/>
        <v>0</v>
      </c>
      <c r="AC12" s="221">
        <f t="shared" ca="1" si="18"/>
        <v>0</v>
      </c>
      <c r="AD12" s="221">
        <f t="shared" ca="1" si="19"/>
        <v>0</v>
      </c>
      <c r="AE12" s="221">
        <f t="shared" ca="1" si="20"/>
        <v>0</v>
      </c>
      <c r="AF12" s="221">
        <f t="shared" ca="1" si="21"/>
        <v>0</v>
      </c>
      <c r="AG12" s="221">
        <f t="shared" ca="1" si="22"/>
        <v>0</v>
      </c>
      <c r="AH12" s="221">
        <f t="shared" ca="1" si="23"/>
        <v>0</v>
      </c>
      <c r="AI12" s="221">
        <f t="shared" ca="1" si="24"/>
        <v>0</v>
      </c>
      <c r="AJ12" s="221">
        <f t="shared" ca="1" si="25"/>
        <v>0</v>
      </c>
      <c r="AK12" s="221">
        <f t="shared" ca="1" si="26"/>
        <v>0</v>
      </c>
      <c r="AL12" s="221">
        <f t="shared" ca="1" si="27"/>
        <v>0</v>
      </c>
      <c r="AM12" s="221">
        <f t="shared" ca="1" si="28"/>
        <v>0</v>
      </c>
      <c r="AN12" s="221">
        <f t="shared" ca="1" si="29"/>
        <v>1500000</v>
      </c>
      <c r="AO12" s="221">
        <f t="shared" ca="1" si="30"/>
        <v>0</v>
      </c>
      <c r="AP12" s="221">
        <f t="shared" ca="1" si="31"/>
        <v>0</v>
      </c>
      <c r="AQ12" s="221">
        <f t="shared" ca="1" si="32"/>
        <v>0</v>
      </c>
      <c r="AR12" s="221">
        <f t="shared" ca="1" si="33"/>
        <v>0</v>
      </c>
      <c r="AS12" s="221">
        <f t="shared" ca="1" si="34"/>
        <v>0</v>
      </c>
      <c r="AT12" s="221">
        <f t="shared" ca="1" si="35"/>
        <v>0</v>
      </c>
      <c r="AU12" s="221">
        <f t="shared" ca="1" si="36"/>
        <v>0</v>
      </c>
      <c r="AV12" s="221">
        <f t="shared" ca="1" si="37"/>
        <v>0</v>
      </c>
      <c r="AW12" s="221">
        <f t="shared" ca="1" si="38"/>
        <v>0</v>
      </c>
    </row>
    <row r="13" spans="1:49" s="218" customFormat="1" ht="12" customHeight="1">
      <c r="A13" s="40">
        <f t="array" aca="1" ref="A13" ca="1">IF(C13&lt;&gt;0,SUM(($C$11:C13&lt;&gt;0)*1),"")</f>
        <v>3</v>
      </c>
      <c r="B13" s="219">
        <v>42094</v>
      </c>
      <c r="C13" s="222" t="s">
        <v>101</v>
      </c>
      <c r="D13" s="222">
        <f>B13</f>
        <v>42094</v>
      </c>
      <c r="E13" s="223" t="s">
        <v>191</v>
      </c>
      <c r="F13" s="62">
        <f ca="1">AF10</f>
        <v>0</v>
      </c>
      <c r="G13" s="224" t="s">
        <v>78</v>
      </c>
      <c r="H13" s="224" t="s">
        <v>80</v>
      </c>
      <c r="I13" s="40">
        <f t="shared" ca="1" si="0"/>
        <v>3</v>
      </c>
      <c r="J13" s="221">
        <f t="shared" ref="J13:J20" si="41">IF($G13="1111",$F13,0)</f>
        <v>0</v>
      </c>
      <c r="K13" s="221">
        <f t="shared" ref="K13:K20" si="42">IF($H13="1111",$F13,0)</f>
        <v>0</v>
      </c>
      <c r="L13" s="221">
        <f t="shared" ref="L13:L20" si="43">IF($G13="1121",$F13,0)</f>
        <v>0</v>
      </c>
      <c r="M13" s="221">
        <f t="shared" ref="M13:M20" si="44">IF($H13="1121",$F13,0)</f>
        <v>0</v>
      </c>
      <c r="N13" s="221">
        <f t="shared" ref="N13:N20" si="45">IF($G13="1331",$F13,0)</f>
        <v>0</v>
      </c>
      <c r="O13" s="221">
        <f t="shared" ref="O13:O20" si="46">IF($H13="1331",$F13,0)</f>
        <v>0</v>
      </c>
      <c r="P13" s="221">
        <f t="shared" ref="P13:P20" si="47">IF($G13="1388",$F13,0)</f>
        <v>0</v>
      </c>
      <c r="Q13" s="221">
        <f t="shared" ref="Q13:Q20" si="48">IF($H13="1388",$F13,0)</f>
        <v>0</v>
      </c>
      <c r="R13" s="221">
        <f t="shared" ref="R13:R20" si="49">IF($G13="2412",$F13,0)</f>
        <v>0</v>
      </c>
      <c r="S13" s="221">
        <f t="shared" ref="S13:S20" si="50">IF($H13="2412",$F13,0)</f>
        <v>0</v>
      </c>
      <c r="T13" s="221">
        <f t="shared" ref="T13:T20" si="51">IF($G13="331",$F13,0)</f>
        <v>0</v>
      </c>
      <c r="U13" s="221">
        <f t="shared" ref="U13:U20" si="52">IF($H13="331",$F13,0)</f>
        <v>0</v>
      </c>
      <c r="V13" s="221">
        <f t="shared" ref="V13:V20" si="53">IF($G13="3334",$F13,0)</f>
        <v>0</v>
      </c>
      <c r="W13" s="221">
        <f t="shared" ref="W13:W20" si="54">IF($H13="3334",$F13,0)</f>
        <v>0</v>
      </c>
      <c r="X13" s="221">
        <f t="shared" ref="X13:X20" si="55">IF($G13="33382",$F13,0)</f>
        <v>0</v>
      </c>
      <c r="Y13" s="221">
        <f t="shared" ref="Y13:Y20" si="56">IF($H13="33382",$F13,0)</f>
        <v>0</v>
      </c>
      <c r="Z13" s="221">
        <f t="shared" ref="Z13:Z20" si="57">IF($G13="3388",$F13,0)</f>
        <v>0</v>
      </c>
      <c r="AA13" s="221">
        <f t="shared" ref="AA13:AA20" si="58">IF($H13="3388",$F13,0)</f>
        <v>0</v>
      </c>
      <c r="AB13" s="221">
        <f t="shared" ref="AB13:AB20" si="59">IF($G13="3411",$F13,0)</f>
        <v>0</v>
      </c>
      <c r="AC13" s="221">
        <f t="shared" ref="AC13:AC20" si="60">IF($H13="3411",$F13,0)</f>
        <v>0</v>
      </c>
      <c r="AD13" s="221">
        <f t="shared" ref="AD13:AD20" si="61">IF($G13="4111",$F13,0)</f>
        <v>0</v>
      </c>
      <c r="AE13" s="221">
        <f t="shared" ref="AE13:AE20" si="62">IF($H13="4111",$F13,0)</f>
        <v>0</v>
      </c>
      <c r="AF13" s="221">
        <f t="shared" ref="AF13:AF20" ca="1" si="63">IF($G13="4211",$F13,0)</f>
        <v>0</v>
      </c>
      <c r="AG13" s="221">
        <f t="shared" ref="AG13:AG20" si="64">IF($H13="4211",$F13,0)</f>
        <v>0</v>
      </c>
      <c r="AH13" s="221">
        <f t="shared" ref="AH13:AH20" si="65">IF($G13="4212",$F13,0)</f>
        <v>0</v>
      </c>
      <c r="AI13" s="221">
        <f t="shared" ref="AI13:AI20" ca="1" si="66">IF($H13="4212",$F13,0)</f>
        <v>0</v>
      </c>
      <c r="AJ13" s="221">
        <f t="shared" ref="AJ13:AJ20" si="67">IF($G13="515",$F13,0)</f>
        <v>0</v>
      </c>
      <c r="AK13" s="221">
        <f t="shared" ref="AK13:AK20" si="68">IF($H13="515",$F13,0)</f>
        <v>0</v>
      </c>
      <c r="AL13" s="221">
        <f t="shared" ref="AL13:AL20" si="69">IF($G13="635",$F13,0)</f>
        <v>0</v>
      </c>
      <c r="AM13" s="221">
        <f t="shared" ref="AM13:AM20" si="70">IF($H13="635",$F13,0)</f>
        <v>0</v>
      </c>
      <c r="AN13" s="221">
        <f t="shared" ref="AN13:AN20" si="71">IF($G13="642",$F13,0)</f>
        <v>0</v>
      </c>
      <c r="AO13" s="221">
        <f t="shared" ref="AO13:AO20" si="72">IF($H13="642",$F13,0)</f>
        <v>0</v>
      </c>
      <c r="AP13" s="221">
        <f t="shared" ref="AP13:AP20" si="73">IF($G13="711",$F13,0)</f>
        <v>0</v>
      </c>
      <c r="AQ13" s="221">
        <f t="shared" ref="AQ13:AQ20" si="74">IF($H13="711",$F13,0)</f>
        <v>0</v>
      </c>
      <c r="AR13" s="221">
        <f t="shared" ref="AR13:AR20" si="75">IF($G13="811",$F13,0)</f>
        <v>0</v>
      </c>
      <c r="AS13" s="221">
        <f t="shared" ref="AS13:AS20" si="76">IF($H13="811",$F13,0)</f>
        <v>0</v>
      </c>
      <c r="AT13" s="221">
        <f t="shared" ref="AT13:AT20" si="77">IF($G13="821",$F13,0)</f>
        <v>0</v>
      </c>
      <c r="AU13" s="221">
        <f t="shared" ref="AU13:AU20" si="78">IF($H13="821",$F13,0)</f>
        <v>0</v>
      </c>
      <c r="AV13" s="221">
        <f t="shared" ref="AV13:AV20" si="79">IF($G13="911",$F13,0)</f>
        <v>0</v>
      </c>
      <c r="AW13" s="221">
        <f t="shared" ref="AW13:AW20" si="80">IF($H13="911",$F13,0)</f>
        <v>0</v>
      </c>
    </row>
    <row r="14" spans="1:49" s="218" customFormat="1" ht="12" customHeight="1">
      <c r="A14" s="40">
        <f t="array" aca="1" ref="A14" ca="1">IF(C14&lt;&gt;0,SUM(($C$11:C14&lt;&gt;0)*1),"")</f>
        <v>4</v>
      </c>
      <c r="B14" s="169">
        <v>42185</v>
      </c>
      <c r="C14" s="222" t="s">
        <v>101</v>
      </c>
      <c r="D14" s="222">
        <f t="shared" ref="D14:D19" si="81">B14</f>
        <v>42185</v>
      </c>
      <c r="E14" s="223" t="s">
        <v>102</v>
      </c>
      <c r="F14" s="62">
        <f ca="1">AL21</f>
        <v>0</v>
      </c>
      <c r="G14" s="224" t="s">
        <v>151</v>
      </c>
      <c r="H14" s="224" t="s">
        <v>85</v>
      </c>
      <c r="I14" s="40">
        <f t="shared" ref="I14:I19" ca="1" si="82">A14</f>
        <v>4</v>
      </c>
      <c r="J14" s="221">
        <f t="shared" si="41"/>
        <v>0</v>
      </c>
      <c r="K14" s="221">
        <f t="shared" si="42"/>
        <v>0</v>
      </c>
      <c r="L14" s="221">
        <f t="shared" si="43"/>
        <v>0</v>
      </c>
      <c r="M14" s="221">
        <f t="shared" si="44"/>
        <v>0</v>
      </c>
      <c r="N14" s="221">
        <f t="shared" si="45"/>
        <v>0</v>
      </c>
      <c r="O14" s="221">
        <f t="shared" si="46"/>
        <v>0</v>
      </c>
      <c r="P14" s="221">
        <f t="shared" si="47"/>
        <v>0</v>
      </c>
      <c r="Q14" s="221">
        <f t="shared" si="48"/>
        <v>0</v>
      </c>
      <c r="R14" s="221">
        <f t="shared" ca="1" si="49"/>
        <v>0</v>
      </c>
      <c r="S14" s="221">
        <f t="shared" si="50"/>
        <v>0</v>
      </c>
      <c r="T14" s="221">
        <f t="shared" si="51"/>
        <v>0</v>
      </c>
      <c r="U14" s="221">
        <f t="shared" si="52"/>
        <v>0</v>
      </c>
      <c r="V14" s="221">
        <f t="shared" si="53"/>
        <v>0</v>
      </c>
      <c r="W14" s="221">
        <f t="shared" si="54"/>
        <v>0</v>
      </c>
      <c r="X14" s="221">
        <f t="shared" si="55"/>
        <v>0</v>
      </c>
      <c r="Y14" s="221">
        <f t="shared" si="56"/>
        <v>0</v>
      </c>
      <c r="Z14" s="221">
        <f t="shared" si="57"/>
        <v>0</v>
      </c>
      <c r="AA14" s="221">
        <f t="shared" si="58"/>
        <v>0</v>
      </c>
      <c r="AB14" s="221">
        <f t="shared" si="59"/>
        <v>0</v>
      </c>
      <c r="AC14" s="221">
        <f t="shared" si="60"/>
        <v>0</v>
      </c>
      <c r="AD14" s="221">
        <f t="shared" si="61"/>
        <v>0</v>
      </c>
      <c r="AE14" s="221">
        <f t="shared" si="62"/>
        <v>0</v>
      </c>
      <c r="AF14" s="221">
        <f t="shared" si="63"/>
        <v>0</v>
      </c>
      <c r="AG14" s="221">
        <f t="shared" si="64"/>
        <v>0</v>
      </c>
      <c r="AH14" s="221">
        <f t="shared" si="65"/>
        <v>0</v>
      </c>
      <c r="AI14" s="221">
        <f t="shared" si="66"/>
        <v>0</v>
      </c>
      <c r="AJ14" s="221">
        <f t="shared" si="67"/>
        <v>0</v>
      </c>
      <c r="AK14" s="221">
        <f t="shared" si="68"/>
        <v>0</v>
      </c>
      <c r="AL14" s="221">
        <f t="shared" si="69"/>
        <v>0</v>
      </c>
      <c r="AM14" s="221">
        <f t="shared" ca="1" si="70"/>
        <v>0</v>
      </c>
      <c r="AN14" s="221">
        <f t="shared" si="71"/>
        <v>0</v>
      </c>
      <c r="AO14" s="221">
        <f t="shared" si="72"/>
        <v>0</v>
      </c>
      <c r="AP14" s="221">
        <f t="shared" si="73"/>
        <v>0</v>
      </c>
      <c r="AQ14" s="221">
        <f t="shared" si="74"/>
        <v>0</v>
      </c>
      <c r="AR14" s="221">
        <f t="shared" si="75"/>
        <v>0</v>
      </c>
      <c r="AS14" s="221">
        <f t="shared" si="76"/>
        <v>0</v>
      </c>
      <c r="AT14" s="221">
        <f t="shared" si="77"/>
        <v>0</v>
      </c>
      <c r="AU14" s="221">
        <f t="shared" si="78"/>
        <v>0</v>
      </c>
      <c r="AV14" s="221">
        <f t="shared" si="79"/>
        <v>0</v>
      </c>
      <c r="AW14" s="221">
        <f t="shared" si="80"/>
        <v>0</v>
      </c>
    </row>
    <row r="15" spans="1:49" s="218" customFormat="1" ht="12" customHeight="1">
      <c r="A15" s="40">
        <f t="array" aca="1" ref="A15" ca="1">IF(C15&lt;&gt;0,SUM(($C$11:C15&lt;&gt;0)*1),"")</f>
        <v>5</v>
      </c>
      <c r="B15" s="169">
        <v>42185</v>
      </c>
      <c r="C15" s="222" t="s">
        <v>101</v>
      </c>
      <c r="D15" s="222">
        <f t="shared" si="81"/>
        <v>42185</v>
      </c>
      <c r="E15" s="223" t="s">
        <v>103</v>
      </c>
      <c r="F15" s="62">
        <f ca="1">AN21</f>
        <v>1500000</v>
      </c>
      <c r="G15" s="224" t="s">
        <v>95</v>
      </c>
      <c r="H15" s="224" t="s">
        <v>87</v>
      </c>
      <c r="I15" s="40">
        <f t="shared" ca="1" si="82"/>
        <v>5</v>
      </c>
      <c r="J15" s="221">
        <f t="shared" si="41"/>
        <v>0</v>
      </c>
      <c r="K15" s="221">
        <f t="shared" si="42"/>
        <v>0</v>
      </c>
      <c r="L15" s="221">
        <f t="shared" si="43"/>
        <v>0</v>
      </c>
      <c r="M15" s="221">
        <f t="shared" si="44"/>
        <v>0</v>
      </c>
      <c r="N15" s="221">
        <f t="shared" si="45"/>
        <v>0</v>
      </c>
      <c r="O15" s="221">
        <f t="shared" si="46"/>
        <v>0</v>
      </c>
      <c r="P15" s="221">
        <f t="shared" si="47"/>
        <v>0</v>
      </c>
      <c r="Q15" s="221">
        <f t="shared" si="48"/>
        <v>0</v>
      </c>
      <c r="R15" s="221">
        <f t="shared" si="49"/>
        <v>0</v>
      </c>
      <c r="S15" s="221">
        <f t="shared" si="50"/>
        <v>0</v>
      </c>
      <c r="T15" s="221">
        <f t="shared" si="51"/>
        <v>0</v>
      </c>
      <c r="U15" s="221">
        <f t="shared" si="52"/>
        <v>0</v>
      </c>
      <c r="V15" s="221">
        <f t="shared" si="53"/>
        <v>0</v>
      </c>
      <c r="W15" s="221">
        <f t="shared" si="54"/>
        <v>0</v>
      </c>
      <c r="X15" s="221">
        <f t="shared" si="55"/>
        <v>0</v>
      </c>
      <c r="Y15" s="221">
        <f t="shared" si="56"/>
        <v>0</v>
      </c>
      <c r="Z15" s="221">
        <f t="shared" si="57"/>
        <v>0</v>
      </c>
      <c r="AA15" s="221">
        <f t="shared" si="58"/>
        <v>0</v>
      </c>
      <c r="AB15" s="221">
        <f t="shared" si="59"/>
        <v>0</v>
      </c>
      <c r="AC15" s="221">
        <f t="shared" si="60"/>
        <v>0</v>
      </c>
      <c r="AD15" s="221">
        <f t="shared" si="61"/>
        <v>0</v>
      </c>
      <c r="AE15" s="221">
        <f t="shared" si="62"/>
        <v>0</v>
      </c>
      <c r="AF15" s="221">
        <f t="shared" si="63"/>
        <v>0</v>
      </c>
      <c r="AG15" s="221">
        <f t="shared" si="64"/>
        <v>0</v>
      </c>
      <c r="AH15" s="221">
        <f t="shared" si="65"/>
        <v>0</v>
      </c>
      <c r="AI15" s="221">
        <f t="shared" si="66"/>
        <v>0</v>
      </c>
      <c r="AJ15" s="221">
        <f t="shared" si="67"/>
        <v>0</v>
      </c>
      <c r="AK15" s="221">
        <f t="shared" si="68"/>
        <v>0</v>
      </c>
      <c r="AL15" s="221">
        <f t="shared" si="69"/>
        <v>0</v>
      </c>
      <c r="AM15" s="221">
        <f t="shared" si="70"/>
        <v>0</v>
      </c>
      <c r="AN15" s="221">
        <f t="shared" si="71"/>
        <v>0</v>
      </c>
      <c r="AO15" s="221">
        <f t="shared" ca="1" si="72"/>
        <v>1500000</v>
      </c>
      <c r="AP15" s="221">
        <f t="shared" si="73"/>
        <v>0</v>
      </c>
      <c r="AQ15" s="221">
        <f t="shared" si="74"/>
        <v>0</v>
      </c>
      <c r="AR15" s="221">
        <f t="shared" si="75"/>
        <v>0</v>
      </c>
      <c r="AS15" s="221">
        <f t="shared" si="76"/>
        <v>0</v>
      </c>
      <c r="AT15" s="221">
        <f t="shared" si="77"/>
        <v>0</v>
      </c>
      <c r="AU15" s="221">
        <f t="shared" si="78"/>
        <v>0</v>
      </c>
      <c r="AV15" s="221">
        <f t="shared" ca="1" si="79"/>
        <v>1500000</v>
      </c>
      <c r="AW15" s="221">
        <f t="shared" si="80"/>
        <v>0</v>
      </c>
    </row>
    <row r="16" spans="1:49" s="218" customFormat="1" ht="12" customHeight="1">
      <c r="A16" s="40">
        <f t="array" aca="1" ref="A16" ca="1">IF(C16&lt;&gt;0,SUM(($C$11:C16&lt;&gt;0)*1),"")</f>
        <v>6</v>
      </c>
      <c r="B16" s="169">
        <v>42185</v>
      </c>
      <c r="C16" s="222" t="s">
        <v>101</v>
      </c>
      <c r="D16" s="222">
        <f t="shared" si="81"/>
        <v>42185</v>
      </c>
      <c r="E16" s="223" t="s">
        <v>192</v>
      </c>
      <c r="F16" s="62">
        <f ca="1">AV21</f>
        <v>1500000</v>
      </c>
      <c r="G16" s="224" t="s">
        <v>80</v>
      </c>
      <c r="H16" s="224" t="s">
        <v>95</v>
      </c>
      <c r="I16" s="40">
        <f t="shared" ca="1" si="82"/>
        <v>6</v>
      </c>
      <c r="J16" s="221">
        <f t="shared" si="41"/>
        <v>0</v>
      </c>
      <c r="K16" s="221">
        <f t="shared" si="42"/>
        <v>0</v>
      </c>
      <c r="L16" s="221">
        <f t="shared" si="43"/>
        <v>0</v>
      </c>
      <c r="M16" s="221">
        <f t="shared" si="44"/>
        <v>0</v>
      </c>
      <c r="N16" s="221">
        <f t="shared" si="45"/>
        <v>0</v>
      </c>
      <c r="O16" s="221">
        <f t="shared" si="46"/>
        <v>0</v>
      </c>
      <c r="P16" s="221">
        <f t="shared" si="47"/>
        <v>0</v>
      </c>
      <c r="Q16" s="221">
        <f t="shared" si="48"/>
        <v>0</v>
      </c>
      <c r="R16" s="221">
        <f t="shared" si="49"/>
        <v>0</v>
      </c>
      <c r="S16" s="221">
        <f t="shared" si="50"/>
        <v>0</v>
      </c>
      <c r="T16" s="221">
        <f t="shared" si="51"/>
        <v>0</v>
      </c>
      <c r="U16" s="221">
        <f t="shared" si="52"/>
        <v>0</v>
      </c>
      <c r="V16" s="221">
        <f t="shared" si="53"/>
        <v>0</v>
      </c>
      <c r="W16" s="221">
        <f t="shared" si="54"/>
        <v>0</v>
      </c>
      <c r="X16" s="221">
        <f t="shared" si="55"/>
        <v>0</v>
      </c>
      <c r="Y16" s="221">
        <f t="shared" si="56"/>
        <v>0</v>
      </c>
      <c r="Z16" s="221">
        <f t="shared" si="57"/>
        <v>0</v>
      </c>
      <c r="AA16" s="221">
        <f t="shared" si="58"/>
        <v>0</v>
      </c>
      <c r="AB16" s="221">
        <f t="shared" si="59"/>
        <v>0</v>
      </c>
      <c r="AC16" s="221">
        <f t="shared" si="60"/>
        <v>0</v>
      </c>
      <c r="AD16" s="221">
        <f t="shared" si="61"/>
        <v>0</v>
      </c>
      <c r="AE16" s="221">
        <f t="shared" si="62"/>
        <v>0</v>
      </c>
      <c r="AF16" s="221">
        <f t="shared" si="63"/>
        <v>0</v>
      </c>
      <c r="AG16" s="221">
        <f t="shared" si="64"/>
        <v>0</v>
      </c>
      <c r="AH16" s="221">
        <f t="shared" ca="1" si="65"/>
        <v>1500000</v>
      </c>
      <c r="AI16" s="221">
        <f t="shared" si="66"/>
        <v>0</v>
      </c>
      <c r="AJ16" s="221">
        <f t="shared" si="67"/>
        <v>0</v>
      </c>
      <c r="AK16" s="221">
        <f t="shared" si="68"/>
        <v>0</v>
      </c>
      <c r="AL16" s="221">
        <f t="shared" si="69"/>
        <v>0</v>
      </c>
      <c r="AM16" s="221">
        <f t="shared" si="70"/>
        <v>0</v>
      </c>
      <c r="AN16" s="221">
        <f t="shared" si="71"/>
        <v>0</v>
      </c>
      <c r="AO16" s="221">
        <f t="shared" si="72"/>
        <v>0</v>
      </c>
      <c r="AP16" s="221">
        <f t="shared" si="73"/>
        <v>0</v>
      </c>
      <c r="AQ16" s="221">
        <f t="shared" si="74"/>
        <v>0</v>
      </c>
      <c r="AR16" s="221">
        <f t="shared" si="75"/>
        <v>0</v>
      </c>
      <c r="AS16" s="221">
        <f t="shared" si="76"/>
        <v>0</v>
      </c>
      <c r="AT16" s="221">
        <f t="shared" si="77"/>
        <v>0</v>
      </c>
      <c r="AU16" s="221">
        <f t="shared" si="78"/>
        <v>0</v>
      </c>
      <c r="AV16" s="221">
        <f t="shared" si="79"/>
        <v>0</v>
      </c>
      <c r="AW16" s="221">
        <f t="shared" ca="1" si="80"/>
        <v>1500000</v>
      </c>
    </row>
    <row r="17" spans="1:49" s="218" customFormat="1" ht="12" customHeight="1">
      <c r="A17" s="40">
        <f t="array" aca="1" ref="A17" ca="1">IF(C17&lt;&gt;0,SUM(($C$11:C17&lt;&gt;0)*1),"")</f>
        <v>7</v>
      </c>
      <c r="B17" s="169">
        <v>42185</v>
      </c>
      <c r="C17" s="222" t="s">
        <v>101</v>
      </c>
      <c r="D17" s="222">
        <f t="shared" si="81"/>
        <v>42185</v>
      </c>
      <c r="E17" s="223" t="s">
        <v>105</v>
      </c>
      <c r="F17" s="62">
        <f ca="1">AK21</f>
        <v>0</v>
      </c>
      <c r="G17" s="224" t="s">
        <v>34</v>
      </c>
      <c r="H17" s="224" t="s">
        <v>95</v>
      </c>
      <c r="I17" s="40">
        <f t="shared" ca="1" si="82"/>
        <v>7</v>
      </c>
      <c r="J17" s="221">
        <f t="shared" si="41"/>
        <v>0</v>
      </c>
      <c r="K17" s="221">
        <f t="shared" si="42"/>
        <v>0</v>
      </c>
      <c r="L17" s="221">
        <f t="shared" si="43"/>
        <v>0</v>
      </c>
      <c r="M17" s="221">
        <f t="shared" si="44"/>
        <v>0</v>
      </c>
      <c r="N17" s="221">
        <f t="shared" si="45"/>
        <v>0</v>
      </c>
      <c r="O17" s="221">
        <f t="shared" si="46"/>
        <v>0</v>
      </c>
      <c r="P17" s="221">
        <f t="shared" si="47"/>
        <v>0</v>
      </c>
      <c r="Q17" s="221">
        <f t="shared" si="48"/>
        <v>0</v>
      </c>
      <c r="R17" s="221">
        <f t="shared" si="49"/>
        <v>0</v>
      </c>
      <c r="S17" s="221">
        <f t="shared" si="50"/>
        <v>0</v>
      </c>
      <c r="T17" s="221">
        <f t="shared" si="51"/>
        <v>0</v>
      </c>
      <c r="U17" s="221">
        <f t="shared" si="52"/>
        <v>0</v>
      </c>
      <c r="V17" s="221">
        <f t="shared" si="53"/>
        <v>0</v>
      </c>
      <c r="W17" s="221">
        <f t="shared" si="54"/>
        <v>0</v>
      </c>
      <c r="X17" s="221">
        <f t="shared" si="55"/>
        <v>0</v>
      </c>
      <c r="Y17" s="221">
        <f t="shared" si="56"/>
        <v>0</v>
      </c>
      <c r="Z17" s="221">
        <f t="shared" si="57"/>
        <v>0</v>
      </c>
      <c r="AA17" s="221">
        <f t="shared" si="58"/>
        <v>0</v>
      </c>
      <c r="AB17" s="221">
        <f t="shared" si="59"/>
        <v>0</v>
      </c>
      <c r="AC17" s="221">
        <f t="shared" si="60"/>
        <v>0</v>
      </c>
      <c r="AD17" s="221">
        <f t="shared" si="61"/>
        <v>0</v>
      </c>
      <c r="AE17" s="221">
        <f t="shared" si="62"/>
        <v>0</v>
      </c>
      <c r="AF17" s="221">
        <f t="shared" si="63"/>
        <v>0</v>
      </c>
      <c r="AG17" s="221">
        <f t="shared" si="64"/>
        <v>0</v>
      </c>
      <c r="AH17" s="221">
        <f t="shared" si="65"/>
        <v>0</v>
      </c>
      <c r="AI17" s="221">
        <f t="shared" si="66"/>
        <v>0</v>
      </c>
      <c r="AJ17" s="221">
        <f t="shared" ca="1" si="67"/>
        <v>0</v>
      </c>
      <c r="AK17" s="221">
        <f t="shared" si="68"/>
        <v>0</v>
      </c>
      <c r="AL17" s="221">
        <f t="shared" si="69"/>
        <v>0</v>
      </c>
      <c r="AM17" s="221">
        <f t="shared" si="70"/>
        <v>0</v>
      </c>
      <c r="AN17" s="221">
        <f t="shared" si="71"/>
        <v>0</v>
      </c>
      <c r="AO17" s="221">
        <f t="shared" si="72"/>
        <v>0</v>
      </c>
      <c r="AP17" s="221">
        <f t="shared" si="73"/>
        <v>0</v>
      </c>
      <c r="AQ17" s="221">
        <f t="shared" si="74"/>
        <v>0</v>
      </c>
      <c r="AR17" s="221">
        <f t="shared" si="75"/>
        <v>0</v>
      </c>
      <c r="AS17" s="221">
        <f t="shared" si="76"/>
        <v>0</v>
      </c>
      <c r="AT17" s="221">
        <f t="shared" si="77"/>
        <v>0</v>
      </c>
      <c r="AU17" s="221">
        <f t="shared" si="78"/>
        <v>0</v>
      </c>
      <c r="AV17" s="221">
        <f t="shared" si="79"/>
        <v>0</v>
      </c>
      <c r="AW17" s="221">
        <f t="shared" ca="1" si="80"/>
        <v>0</v>
      </c>
    </row>
    <row r="18" spans="1:49" s="218" customFormat="1" ht="12" customHeight="1">
      <c r="A18" s="40">
        <f t="array" aca="1" ref="A18" ca="1">IF(C18&lt;&gt;0,SUM(($C$11:C18&lt;&gt;0)*1),"")</f>
        <v>8</v>
      </c>
      <c r="B18" s="169">
        <v>42185</v>
      </c>
      <c r="C18" s="222" t="s">
        <v>101</v>
      </c>
      <c r="D18" s="222">
        <f t="shared" si="81"/>
        <v>42185</v>
      </c>
      <c r="E18" s="223" t="s">
        <v>106</v>
      </c>
      <c r="F18" s="62">
        <f ca="1">AQ21</f>
        <v>0</v>
      </c>
      <c r="G18" s="224" t="s">
        <v>89</v>
      </c>
      <c r="H18" s="224" t="s">
        <v>95</v>
      </c>
      <c r="I18" s="40">
        <f t="shared" ca="1" si="82"/>
        <v>8</v>
      </c>
      <c r="J18" s="221">
        <f t="shared" si="41"/>
        <v>0</v>
      </c>
      <c r="K18" s="221">
        <f t="shared" si="42"/>
        <v>0</v>
      </c>
      <c r="L18" s="221">
        <f t="shared" si="43"/>
        <v>0</v>
      </c>
      <c r="M18" s="221">
        <f t="shared" si="44"/>
        <v>0</v>
      </c>
      <c r="N18" s="221">
        <f t="shared" si="45"/>
        <v>0</v>
      </c>
      <c r="O18" s="221">
        <f t="shared" si="46"/>
        <v>0</v>
      </c>
      <c r="P18" s="221">
        <f t="shared" si="47"/>
        <v>0</v>
      </c>
      <c r="Q18" s="221">
        <f t="shared" si="48"/>
        <v>0</v>
      </c>
      <c r="R18" s="221">
        <f t="shared" si="49"/>
        <v>0</v>
      </c>
      <c r="S18" s="221">
        <f t="shared" si="50"/>
        <v>0</v>
      </c>
      <c r="T18" s="221">
        <f t="shared" si="51"/>
        <v>0</v>
      </c>
      <c r="U18" s="221">
        <f t="shared" si="52"/>
        <v>0</v>
      </c>
      <c r="V18" s="221">
        <f t="shared" si="53"/>
        <v>0</v>
      </c>
      <c r="W18" s="221">
        <f t="shared" si="54"/>
        <v>0</v>
      </c>
      <c r="X18" s="221">
        <f t="shared" si="55"/>
        <v>0</v>
      </c>
      <c r="Y18" s="221">
        <f t="shared" si="56"/>
        <v>0</v>
      </c>
      <c r="Z18" s="221">
        <f t="shared" si="57"/>
        <v>0</v>
      </c>
      <c r="AA18" s="221">
        <f t="shared" si="58"/>
        <v>0</v>
      </c>
      <c r="AB18" s="221">
        <f t="shared" si="59"/>
        <v>0</v>
      </c>
      <c r="AC18" s="221">
        <f t="shared" si="60"/>
        <v>0</v>
      </c>
      <c r="AD18" s="221">
        <f t="shared" si="61"/>
        <v>0</v>
      </c>
      <c r="AE18" s="221">
        <f t="shared" si="62"/>
        <v>0</v>
      </c>
      <c r="AF18" s="221">
        <f t="shared" si="63"/>
        <v>0</v>
      </c>
      <c r="AG18" s="221">
        <f t="shared" si="64"/>
        <v>0</v>
      </c>
      <c r="AH18" s="221">
        <f t="shared" si="65"/>
        <v>0</v>
      </c>
      <c r="AI18" s="221">
        <f t="shared" si="66"/>
        <v>0</v>
      </c>
      <c r="AJ18" s="221">
        <f t="shared" si="67"/>
        <v>0</v>
      </c>
      <c r="AK18" s="221">
        <f t="shared" si="68"/>
        <v>0</v>
      </c>
      <c r="AL18" s="221">
        <f t="shared" si="69"/>
        <v>0</v>
      </c>
      <c r="AM18" s="221">
        <f t="shared" si="70"/>
        <v>0</v>
      </c>
      <c r="AN18" s="221">
        <f t="shared" si="71"/>
        <v>0</v>
      </c>
      <c r="AO18" s="221">
        <f t="shared" si="72"/>
        <v>0</v>
      </c>
      <c r="AP18" s="221">
        <f t="shared" ca="1" si="73"/>
        <v>0</v>
      </c>
      <c r="AQ18" s="221">
        <f t="shared" si="74"/>
        <v>0</v>
      </c>
      <c r="AR18" s="221">
        <f t="shared" si="75"/>
        <v>0</v>
      </c>
      <c r="AS18" s="221">
        <f t="shared" si="76"/>
        <v>0</v>
      </c>
      <c r="AT18" s="221">
        <f t="shared" si="77"/>
        <v>0</v>
      </c>
      <c r="AU18" s="221">
        <f t="shared" si="78"/>
        <v>0</v>
      </c>
      <c r="AV18" s="221">
        <f t="shared" si="79"/>
        <v>0</v>
      </c>
      <c r="AW18" s="221">
        <f t="shared" ca="1" si="80"/>
        <v>0</v>
      </c>
    </row>
    <row r="19" spans="1:49" s="218" customFormat="1" ht="12" customHeight="1">
      <c r="A19" s="40">
        <f t="array" aca="1" ref="A19" ca="1">IF(C19&lt;&gt;0,SUM(($C$11:C19&lt;&gt;0)*1),"")</f>
        <v>9</v>
      </c>
      <c r="B19" s="169">
        <v>42185</v>
      </c>
      <c r="C19" s="222" t="s">
        <v>101</v>
      </c>
      <c r="D19" s="222">
        <f t="shared" si="81"/>
        <v>42185</v>
      </c>
      <c r="E19" s="223" t="s">
        <v>107</v>
      </c>
      <c r="F19" s="62">
        <f ca="1">AR21</f>
        <v>0</v>
      </c>
      <c r="G19" s="224" t="s">
        <v>95</v>
      </c>
      <c r="H19" s="224" t="s">
        <v>91</v>
      </c>
      <c r="I19" s="40">
        <f t="shared" ca="1" si="82"/>
        <v>9</v>
      </c>
      <c r="J19" s="221">
        <f t="shared" si="41"/>
        <v>0</v>
      </c>
      <c r="K19" s="221">
        <f t="shared" si="42"/>
        <v>0</v>
      </c>
      <c r="L19" s="221">
        <f t="shared" si="43"/>
        <v>0</v>
      </c>
      <c r="M19" s="221">
        <f t="shared" si="44"/>
        <v>0</v>
      </c>
      <c r="N19" s="221">
        <f t="shared" si="45"/>
        <v>0</v>
      </c>
      <c r="O19" s="221">
        <f t="shared" si="46"/>
        <v>0</v>
      </c>
      <c r="P19" s="221">
        <f t="shared" si="47"/>
        <v>0</v>
      </c>
      <c r="Q19" s="221">
        <f t="shared" si="48"/>
        <v>0</v>
      </c>
      <c r="R19" s="221">
        <f t="shared" si="49"/>
        <v>0</v>
      </c>
      <c r="S19" s="221">
        <f t="shared" si="50"/>
        <v>0</v>
      </c>
      <c r="T19" s="221">
        <f t="shared" si="51"/>
        <v>0</v>
      </c>
      <c r="U19" s="221">
        <f t="shared" si="52"/>
        <v>0</v>
      </c>
      <c r="V19" s="221">
        <f t="shared" si="53"/>
        <v>0</v>
      </c>
      <c r="W19" s="221">
        <f t="shared" si="54"/>
        <v>0</v>
      </c>
      <c r="X19" s="221">
        <f t="shared" si="55"/>
        <v>0</v>
      </c>
      <c r="Y19" s="221">
        <f t="shared" si="56"/>
        <v>0</v>
      </c>
      <c r="Z19" s="221">
        <f t="shared" si="57"/>
        <v>0</v>
      </c>
      <c r="AA19" s="221">
        <f t="shared" si="58"/>
        <v>0</v>
      </c>
      <c r="AB19" s="221">
        <f t="shared" si="59"/>
        <v>0</v>
      </c>
      <c r="AC19" s="221">
        <f t="shared" si="60"/>
        <v>0</v>
      </c>
      <c r="AD19" s="221">
        <f t="shared" si="61"/>
        <v>0</v>
      </c>
      <c r="AE19" s="221">
        <f t="shared" si="62"/>
        <v>0</v>
      </c>
      <c r="AF19" s="221">
        <f t="shared" si="63"/>
        <v>0</v>
      </c>
      <c r="AG19" s="221">
        <f t="shared" si="64"/>
        <v>0</v>
      </c>
      <c r="AH19" s="221">
        <f t="shared" si="65"/>
        <v>0</v>
      </c>
      <c r="AI19" s="221">
        <f t="shared" si="66"/>
        <v>0</v>
      </c>
      <c r="AJ19" s="221">
        <f t="shared" si="67"/>
        <v>0</v>
      </c>
      <c r="AK19" s="221">
        <f t="shared" si="68"/>
        <v>0</v>
      </c>
      <c r="AL19" s="221">
        <f t="shared" si="69"/>
        <v>0</v>
      </c>
      <c r="AM19" s="221">
        <f t="shared" si="70"/>
        <v>0</v>
      </c>
      <c r="AN19" s="221">
        <f t="shared" si="71"/>
        <v>0</v>
      </c>
      <c r="AO19" s="221">
        <f t="shared" si="72"/>
        <v>0</v>
      </c>
      <c r="AP19" s="221">
        <f t="shared" si="73"/>
        <v>0</v>
      </c>
      <c r="AQ19" s="221">
        <f t="shared" si="74"/>
        <v>0</v>
      </c>
      <c r="AR19" s="221">
        <f t="shared" si="75"/>
        <v>0</v>
      </c>
      <c r="AS19" s="221">
        <f t="shared" ca="1" si="76"/>
        <v>0</v>
      </c>
      <c r="AT19" s="221">
        <f t="shared" si="77"/>
        <v>0</v>
      </c>
      <c r="AU19" s="221">
        <f t="shared" si="78"/>
        <v>0</v>
      </c>
      <c r="AV19" s="221">
        <f t="shared" ca="1" si="79"/>
        <v>0</v>
      </c>
      <c r="AW19" s="221">
        <f t="shared" si="80"/>
        <v>0</v>
      </c>
    </row>
    <row r="20" spans="1:49" s="218" customFormat="1" ht="12" customHeight="1">
      <c r="A20" s="40" t="str">
        <f t="array" ref="A20">IF(C20&lt;&gt;0,SUM(($C$11:C20&lt;&gt;0)*1),"")</f>
        <v/>
      </c>
      <c r="B20" s="169"/>
      <c r="C20" s="225"/>
      <c r="D20" s="169"/>
      <c r="E20" s="220"/>
      <c r="F20" s="42"/>
      <c r="G20" s="226"/>
      <c r="H20" s="226"/>
      <c r="I20" s="40" t="str">
        <f>A20</f>
        <v/>
      </c>
      <c r="J20" s="221">
        <f t="shared" si="41"/>
        <v>0</v>
      </c>
      <c r="K20" s="221">
        <f t="shared" si="42"/>
        <v>0</v>
      </c>
      <c r="L20" s="221">
        <f t="shared" si="43"/>
        <v>0</v>
      </c>
      <c r="M20" s="221">
        <f t="shared" si="44"/>
        <v>0</v>
      </c>
      <c r="N20" s="221">
        <f t="shared" si="45"/>
        <v>0</v>
      </c>
      <c r="O20" s="221">
        <f t="shared" si="46"/>
        <v>0</v>
      </c>
      <c r="P20" s="221">
        <f t="shared" si="47"/>
        <v>0</v>
      </c>
      <c r="Q20" s="221">
        <f t="shared" si="48"/>
        <v>0</v>
      </c>
      <c r="R20" s="221">
        <f t="shared" si="49"/>
        <v>0</v>
      </c>
      <c r="S20" s="221">
        <f t="shared" si="50"/>
        <v>0</v>
      </c>
      <c r="T20" s="221">
        <f t="shared" si="51"/>
        <v>0</v>
      </c>
      <c r="U20" s="221">
        <f t="shared" si="52"/>
        <v>0</v>
      </c>
      <c r="V20" s="221">
        <f t="shared" si="53"/>
        <v>0</v>
      </c>
      <c r="W20" s="221">
        <f t="shared" si="54"/>
        <v>0</v>
      </c>
      <c r="X20" s="221">
        <f t="shared" si="55"/>
        <v>0</v>
      </c>
      <c r="Y20" s="221">
        <f t="shared" si="56"/>
        <v>0</v>
      </c>
      <c r="Z20" s="221">
        <f t="shared" si="57"/>
        <v>0</v>
      </c>
      <c r="AA20" s="221">
        <f t="shared" si="58"/>
        <v>0</v>
      </c>
      <c r="AB20" s="221">
        <f t="shared" si="59"/>
        <v>0</v>
      </c>
      <c r="AC20" s="221">
        <f t="shared" si="60"/>
        <v>0</v>
      </c>
      <c r="AD20" s="221">
        <f t="shared" si="61"/>
        <v>0</v>
      </c>
      <c r="AE20" s="221">
        <f t="shared" si="62"/>
        <v>0</v>
      </c>
      <c r="AF20" s="221">
        <f t="shared" si="63"/>
        <v>0</v>
      </c>
      <c r="AG20" s="221">
        <f t="shared" si="64"/>
        <v>0</v>
      </c>
      <c r="AH20" s="221">
        <f t="shared" si="65"/>
        <v>0</v>
      </c>
      <c r="AI20" s="221">
        <f t="shared" si="66"/>
        <v>0</v>
      </c>
      <c r="AJ20" s="221">
        <f t="shared" si="67"/>
        <v>0</v>
      </c>
      <c r="AK20" s="221">
        <f t="shared" si="68"/>
        <v>0</v>
      </c>
      <c r="AL20" s="221">
        <f t="shared" si="69"/>
        <v>0</v>
      </c>
      <c r="AM20" s="221">
        <f t="shared" si="70"/>
        <v>0</v>
      </c>
      <c r="AN20" s="221">
        <f t="shared" si="71"/>
        <v>0</v>
      </c>
      <c r="AO20" s="221">
        <f t="shared" si="72"/>
        <v>0</v>
      </c>
      <c r="AP20" s="221">
        <f t="shared" si="73"/>
        <v>0</v>
      </c>
      <c r="AQ20" s="221">
        <f t="shared" si="74"/>
        <v>0</v>
      </c>
      <c r="AR20" s="221">
        <f t="shared" si="75"/>
        <v>0</v>
      </c>
      <c r="AS20" s="221">
        <f t="shared" si="76"/>
        <v>0</v>
      </c>
      <c r="AT20" s="221">
        <f t="shared" si="77"/>
        <v>0</v>
      </c>
      <c r="AU20" s="221">
        <f t="shared" si="78"/>
        <v>0</v>
      </c>
      <c r="AV20" s="221">
        <f t="shared" si="79"/>
        <v>0</v>
      </c>
      <c r="AW20" s="221">
        <f t="shared" si="80"/>
        <v>0</v>
      </c>
    </row>
    <row r="21" spans="1:49" s="218" customFormat="1" ht="12" customHeight="1">
      <c r="A21" s="227"/>
      <c r="B21" s="227"/>
      <c r="C21" s="227"/>
      <c r="D21" s="227"/>
      <c r="E21" s="220" t="s">
        <v>155</v>
      </c>
      <c r="F21" s="227"/>
      <c r="G21" s="226"/>
      <c r="H21" s="226"/>
      <c r="I21" s="227"/>
      <c r="J21" s="227">
        <f t="shared" ref="J21:AW21" ca="1" si="83">SUM(J11:J20)</f>
        <v>0</v>
      </c>
      <c r="K21" s="227">
        <f t="shared" ca="1" si="83"/>
        <v>1500000</v>
      </c>
      <c r="L21" s="227">
        <f t="shared" ca="1" si="83"/>
        <v>0</v>
      </c>
      <c r="M21" s="227">
        <f t="shared" ca="1" si="83"/>
        <v>0</v>
      </c>
      <c r="N21" s="227">
        <f t="shared" ca="1" si="83"/>
        <v>0</v>
      </c>
      <c r="O21" s="227">
        <f t="shared" ca="1" si="83"/>
        <v>0</v>
      </c>
      <c r="P21" s="227">
        <f t="shared" ca="1" si="83"/>
        <v>0</v>
      </c>
      <c r="Q21" s="227">
        <f t="shared" ca="1" si="83"/>
        <v>0</v>
      </c>
      <c r="R21" s="227">
        <f t="shared" ca="1" si="83"/>
        <v>0</v>
      </c>
      <c r="S21" s="227">
        <f t="shared" ca="1" si="83"/>
        <v>0</v>
      </c>
      <c r="T21" s="227">
        <f t="shared" ca="1" si="83"/>
        <v>0</v>
      </c>
      <c r="U21" s="227">
        <f t="shared" ca="1" si="83"/>
        <v>0</v>
      </c>
      <c r="V21" s="227">
        <f t="shared" ca="1" si="83"/>
        <v>0</v>
      </c>
      <c r="W21" s="227">
        <f t="shared" ca="1" si="83"/>
        <v>0</v>
      </c>
      <c r="X21" s="227">
        <f t="shared" ca="1" si="83"/>
        <v>1500000</v>
      </c>
      <c r="Y21" s="227">
        <f t="shared" ca="1" si="83"/>
        <v>1500000</v>
      </c>
      <c r="Z21" s="227">
        <f t="shared" ca="1" si="83"/>
        <v>0</v>
      </c>
      <c r="AA21" s="227">
        <f t="shared" ca="1" si="83"/>
        <v>0</v>
      </c>
      <c r="AB21" s="227">
        <f t="shared" ca="1" si="83"/>
        <v>0</v>
      </c>
      <c r="AC21" s="227">
        <f t="shared" ca="1" si="83"/>
        <v>0</v>
      </c>
      <c r="AD21" s="227">
        <f t="shared" ca="1" si="83"/>
        <v>0</v>
      </c>
      <c r="AE21" s="227">
        <f t="shared" ca="1" si="83"/>
        <v>0</v>
      </c>
      <c r="AF21" s="227">
        <f t="shared" ca="1" si="83"/>
        <v>0</v>
      </c>
      <c r="AG21" s="227">
        <f t="shared" ca="1" si="83"/>
        <v>0</v>
      </c>
      <c r="AH21" s="227">
        <f t="shared" ca="1" si="83"/>
        <v>1500000</v>
      </c>
      <c r="AI21" s="227">
        <f t="shared" ca="1" si="83"/>
        <v>0</v>
      </c>
      <c r="AJ21" s="227">
        <f t="shared" ca="1" si="83"/>
        <v>0</v>
      </c>
      <c r="AK21" s="227">
        <f t="shared" ca="1" si="83"/>
        <v>0</v>
      </c>
      <c r="AL21" s="227">
        <f t="shared" ca="1" si="83"/>
        <v>0</v>
      </c>
      <c r="AM21" s="227">
        <f t="shared" ca="1" si="83"/>
        <v>0</v>
      </c>
      <c r="AN21" s="227">
        <f t="shared" ca="1" si="83"/>
        <v>1500000</v>
      </c>
      <c r="AO21" s="227">
        <f t="shared" ca="1" si="83"/>
        <v>1500000</v>
      </c>
      <c r="AP21" s="227">
        <f t="shared" ca="1" si="83"/>
        <v>0</v>
      </c>
      <c r="AQ21" s="227">
        <f t="shared" ca="1" si="83"/>
        <v>0</v>
      </c>
      <c r="AR21" s="227">
        <f t="shared" ca="1" si="83"/>
        <v>0</v>
      </c>
      <c r="AS21" s="227">
        <f t="shared" ca="1" si="83"/>
        <v>0</v>
      </c>
      <c r="AT21" s="227">
        <f t="shared" ca="1" si="83"/>
        <v>0</v>
      </c>
      <c r="AU21" s="227">
        <f t="shared" ca="1" si="83"/>
        <v>0</v>
      </c>
      <c r="AV21" s="227">
        <f t="shared" ca="1" si="83"/>
        <v>1500000</v>
      </c>
      <c r="AW21" s="227">
        <f t="shared" ca="1" si="83"/>
        <v>1500000</v>
      </c>
    </row>
    <row r="22" spans="1:49" s="218" customFormat="1" ht="12" customHeight="1">
      <c r="A22" s="228"/>
      <c r="B22" s="228"/>
      <c r="C22" s="228"/>
      <c r="D22" s="228"/>
      <c r="E22" s="229" t="s">
        <v>193</v>
      </c>
      <c r="F22" s="228"/>
      <c r="G22" s="230"/>
      <c r="H22" s="230"/>
      <c r="I22" s="228"/>
      <c r="J22" s="250">
        <f ca="1">MAX(J10+J21-K10-K21,0)</f>
        <v>3995200000</v>
      </c>
      <c r="K22" s="250">
        <f ca="1">MAX(K10+K21-J10-J21,0)</f>
        <v>0</v>
      </c>
      <c r="L22" s="250">
        <f ca="1">MAX(L10+L21-M10-M21,0)</f>
        <v>0</v>
      </c>
      <c r="M22" s="250">
        <f ca="1">MAX(M10+M21-L10-L21,0)</f>
        <v>0</v>
      </c>
      <c r="N22" s="250">
        <f ca="1">MAX(N10+N21-O10-O21,0)</f>
        <v>0</v>
      </c>
      <c r="O22" s="250">
        <f ca="1">MAX(O10+O21-N10-N21,0)</f>
        <v>0</v>
      </c>
      <c r="P22" s="250">
        <f ca="1">MAX(P10+P21-Q10-Q21,0)</f>
        <v>0</v>
      </c>
      <c r="Q22" s="250">
        <f ca="1">MAX(Q10+Q21-P10-P21,0)</f>
        <v>0</v>
      </c>
      <c r="R22" s="250">
        <f ca="1">MAX(R10+R21-S10-S21,0)</f>
        <v>0</v>
      </c>
      <c r="S22" s="250">
        <f ca="1">MAX(S10+S21-R10-R21,0)</f>
        <v>0</v>
      </c>
      <c r="T22" s="250">
        <f ca="1">MAX(T10+T21-U10-U21,0)</f>
        <v>0</v>
      </c>
      <c r="U22" s="250">
        <f ca="1">MAX(U10+U21-T10-T21,0)</f>
        <v>0</v>
      </c>
      <c r="V22" s="250">
        <f ca="1">MAX(V10+V21-W10-W21,0)</f>
        <v>0</v>
      </c>
      <c r="W22" s="250">
        <f ca="1">MAX(W10+W21-V10-V21,0)</f>
        <v>0</v>
      </c>
      <c r="X22" s="250">
        <f ca="1">MAX(X10+X21-Y10-Y21,0)</f>
        <v>0</v>
      </c>
      <c r="Y22" s="250">
        <f ca="1">MAX(Y10+Y21-X10-X21,0)</f>
        <v>0</v>
      </c>
      <c r="Z22" s="250">
        <f ca="1">MAX(Z10+Z21-AA10-AA21,0)</f>
        <v>0</v>
      </c>
      <c r="AA22" s="250">
        <f ca="1">MAX(AA10+AA21-Z10-Z21,0)</f>
        <v>0</v>
      </c>
      <c r="AB22" s="250">
        <f ca="1">MAX(AB10+AB21-AC10-AC21,0)</f>
        <v>0</v>
      </c>
      <c r="AC22" s="250">
        <f ca="1">MAX(AC10+AC21-AB10-AB21,0)</f>
        <v>0</v>
      </c>
      <c r="AD22" s="250">
        <f ca="1">MAX(AD10+AD21-AE10-AE21,0)</f>
        <v>0</v>
      </c>
      <c r="AE22" s="250">
        <f ca="1">MAX(AE10+AE21-AD10-AD21,0)</f>
        <v>4000000000</v>
      </c>
      <c r="AF22" s="250">
        <f ca="1">MAX(AF10+AF21-AG10-AG21,0)</f>
        <v>0</v>
      </c>
      <c r="AG22" s="250">
        <f ca="1">MAX(AG10+AG21-AF10-AF21,0)</f>
        <v>0</v>
      </c>
      <c r="AH22" s="250">
        <f ca="1">MAX(AH10+AH21-AI10-AI21,0)</f>
        <v>4800000</v>
      </c>
      <c r="AI22" s="250">
        <f ca="1">MAX(AI10+AI21-AH10-AH21,0)</f>
        <v>0</v>
      </c>
      <c r="AJ22" s="250">
        <f ca="1">MAX(AJ10+AJ21-AK10-AK21,0)</f>
        <v>0</v>
      </c>
      <c r="AK22" s="250">
        <f ca="1">MAX(AK10+AK21-AJ10-AJ21,0)</f>
        <v>0</v>
      </c>
      <c r="AL22" s="250">
        <f ca="1">MAX(AL10+AL21-AM10-AM21,0)</f>
        <v>0</v>
      </c>
      <c r="AM22" s="250">
        <f ca="1">MAX(AM10+AM21-AL10-AL21,0)</f>
        <v>0</v>
      </c>
      <c r="AN22" s="250">
        <f ca="1">MAX(AN10+AN21-AO10-AO21,0)</f>
        <v>0</v>
      </c>
      <c r="AO22" s="250">
        <f ca="1">MAX(AO10+AO21-AN10-AN21,0)</f>
        <v>0</v>
      </c>
      <c r="AP22" s="250">
        <f ca="1">MAX(AP10+AP21-AQ10-AQ21,0)</f>
        <v>0</v>
      </c>
      <c r="AQ22" s="250">
        <f ca="1">MAX(AQ10+AQ21-AP10-AP21,0)</f>
        <v>0</v>
      </c>
      <c r="AR22" s="250">
        <f ca="1">MAX(AR10+AR21-AS10-AS21,0)</f>
        <v>0</v>
      </c>
      <c r="AS22" s="250">
        <f ca="1">MAX(AS10+AS21-AR10-AR21,0)</f>
        <v>0</v>
      </c>
      <c r="AT22" s="250">
        <f ca="1">MAX(AT10+AT21-AU10-AU21,0)</f>
        <v>0</v>
      </c>
      <c r="AU22" s="250">
        <f ca="1">MAX(AU10+AU21-AT10-AT21,0)</f>
        <v>0</v>
      </c>
      <c r="AV22" s="250">
        <f ca="1">MAX(AV10+AV21-AW10-AW21,0)</f>
        <v>0</v>
      </c>
      <c r="AW22" s="250">
        <f ca="1">MAX(AW10+AW21-AV10-AV21,0)</f>
        <v>0</v>
      </c>
    </row>
    <row r="23" spans="1:49" s="218" customFormat="1" ht="12" customHeight="1">
      <c r="A23" s="232"/>
      <c r="B23" s="232"/>
      <c r="C23" s="233"/>
      <c r="D23" s="232"/>
      <c r="E23" s="234" t="s">
        <v>194</v>
      </c>
      <c r="F23" s="232"/>
      <c r="G23" s="235"/>
      <c r="H23" s="235"/>
      <c r="I23" s="232"/>
      <c r="J23" s="232">
        <f ca="1">J21+'01-03'!J33</f>
        <v>0</v>
      </c>
      <c r="K23" s="232">
        <f ca="1">K21+'01-03'!K33</f>
        <v>1500000</v>
      </c>
      <c r="L23" s="232">
        <f ca="1">L21+'01-03'!L33</f>
        <v>0</v>
      </c>
      <c r="M23" s="232">
        <f ca="1">M21+'01-03'!M33</f>
        <v>0</v>
      </c>
      <c r="N23" s="232">
        <f ca="1">N21+'01-03'!N33</f>
        <v>0</v>
      </c>
      <c r="O23" s="232">
        <f ca="1">O21+'01-03'!O33</f>
        <v>0</v>
      </c>
      <c r="P23" s="232">
        <f ca="1">P21+'01-03'!P33</f>
        <v>0</v>
      </c>
      <c r="Q23" s="232">
        <f ca="1">Q21+'01-03'!Q33</f>
        <v>0</v>
      </c>
      <c r="R23" s="232">
        <f ca="1">R21+'01-03'!R33</f>
        <v>0</v>
      </c>
      <c r="S23" s="232">
        <f ca="1">S21+'01-03'!S33</f>
        <v>0</v>
      </c>
      <c r="T23" s="232">
        <f ca="1">T21+'01-03'!T33</f>
        <v>0</v>
      </c>
      <c r="U23" s="232">
        <f ca="1">U21+'01-03'!U33</f>
        <v>0</v>
      </c>
      <c r="V23" s="232">
        <f ca="1">V21+'01-03'!V33</f>
        <v>0</v>
      </c>
      <c r="W23" s="232">
        <f ca="1">W21+'01-03'!W33</f>
        <v>0</v>
      </c>
      <c r="X23" s="232">
        <f ca="1">X21+'01-03'!X33</f>
        <v>1500000</v>
      </c>
      <c r="Y23" s="232">
        <f ca="1">Y21+'01-03'!Y33</f>
        <v>1500000</v>
      </c>
      <c r="Z23" s="232">
        <f ca="1">Z21+'01-03'!Z33</f>
        <v>0</v>
      </c>
      <c r="AA23" s="232">
        <f ca="1">AA21+'01-03'!AA33</f>
        <v>0</v>
      </c>
      <c r="AB23" s="232">
        <f ca="1">AB21+'01-03'!AB33</f>
        <v>0</v>
      </c>
      <c r="AC23" s="232">
        <f ca="1">AC21+'01-03'!AC33</f>
        <v>0</v>
      </c>
      <c r="AD23" s="232">
        <f ca="1">AD21+'01-03'!AD33</f>
        <v>0</v>
      </c>
      <c r="AE23" s="232">
        <f ca="1">AE21+'01-03'!AE33</f>
        <v>0</v>
      </c>
      <c r="AF23" s="232">
        <f ca="1">AF21+'01-03'!AF33</f>
        <v>0</v>
      </c>
      <c r="AG23" s="232">
        <f ca="1">AG21+'01-03'!AG33</f>
        <v>0</v>
      </c>
      <c r="AH23" s="232">
        <f ca="1">AH21+'01-03'!AH33</f>
        <v>1500000</v>
      </c>
      <c r="AI23" s="232">
        <f ca="1">AI21+'01-03'!AI33</f>
        <v>0</v>
      </c>
      <c r="AJ23" s="232">
        <f ca="1">AJ21+'01-03'!AJ33</f>
        <v>0</v>
      </c>
      <c r="AK23" s="232">
        <f ca="1">AK21+'01-03'!AK33</f>
        <v>0</v>
      </c>
      <c r="AL23" s="232">
        <f ca="1">AL21+'01-03'!AL33</f>
        <v>0</v>
      </c>
      <c r="AM23" s="232">
        <f ca="1">AM21+'01-03'!AM33</f>
        <v>0</v>
      </c>
      <c r="AN23" s="232">
        <f ca="1">AN21+'01-03'!AN33</f>
        <v>1500000</v>
      </c>
      <c r="AO23" s="232">
        <f ca="1">AO21+'01-03'!AO33</f>
        <v>1500000</v>
      </c>
      <c r="AP23" s="232">
        <f ca="1">AP21+'01-03'!AP33</f>
        <v>0</v>
      </c>
      <c r="AQ23" s="232">
        <f ca="1">AQ21+'01-03'!AQ33</f>
        <v>0</v>
      </c>
      <c r="AR23" s="232">
        <f ca="1">AR21+'01-03'!AR33</f>
        <v>0</v>
      </c>
      <c r="AS23" s="232">
        <f ca="1">AS21+'01-03'!AS33</f>
        <v>0</v>
      </c>
      <c r="AT23" s="232">
        <f ca="1">AT21+'01-03'!AT33</f>
        <v>0</v>
      </c>
      <c r="AU23" s="232">
        <f ca="1">AU21+'01-03'!AU33</f>
        <v>0</v>
      </c>
      <c r="AV23" s="232">
        <f ca="1">AV21+'01-03'!AV33</f>
        <v>1500000</v>
      </c>
      <c r="AW23" s="232">
        <f ca="1">AW21+'01-03'!AW33</f>
        <v>1500000</v>
      </c>
    </row>
    <row r="24" spans="1:49" ht="12" customHeight="1">
      <c r="B24" s="237"/>
      <c r="C24" s="238"/>
      <c r="D24" s="238"/>
      <c r="E24" s="238"/>
      <c r="F24" s="238"/>
      <c r="G24" s="239"/>
      <c r="H24" s="239"/>
      <c r="I24" s="238"/>
      <c r="J24" s="238"/>
      <c r="K24" s="238"/>
    </row>
    <row r="25" spans="1:49">
      <c r="M25" s="240"/>
      <c r="O25" s="240"/>
      <c r="P25" s="240"/>
      <c r="Q25" s="240"/>
      <c r="R25" s="240"/>
      <c r="S25" s="240"/>
      <c r="T25" s="240"/>
      <c r="AH25" s="241" t="s">
        <v>198</v>
      </c>
      <c r="AI25" s="242"/>
      <c r="AJ25" s="242"/>
      <c r="AK25" s="242"/>
      <c r="AL25" s="242"/>
      <c r="AM25" s="242"/>
      <c r="AN25" s="243"/>
      <c r="AO25" s="243"/>
      <c r="AP25" s="242"/>
    </row>
    <row r="26" spans="1:49">
      <c r="M26" s="240"/>
      <c r="O26" s="240"/>
      <c r="P26" s="240"/>
      <c r="Q26" s="240"/>
      <c r="R26" s="240"/>
      <c r="S26" s="240"/>
      <c r="T26" s="240"/>
      <c r="AH26" s="244" t="s">
        <v>199</v>
      </c>
      <c r="AI26" s="242"/>
      <c r="AJ26" s="242"/>
      <c r="AK26" s="242"/>
      <c r="AL26" s="242"/>
      <c r="AM26" s="242"/>
      <c r="AN26" s="243"/>
      <c r="AO26" s="243"/>
      <c r="AP26" s="242"/>
    </row>
    <row r="27" spans="1:49">
      <c r="M27" s="240"/>
      <c r="O27" s="240"/>
      <c r="P27" s="240"/>
      <c r="Q27" s="240"/>
      <c r="R27" s="240"/>
      <c r="S27" s="240"/>
      <c r="T27" s="240"/>
      <c r="AH27" s="242"/>
      <c r="AI27" s="242"/>
      <c r="AJ27" s="242"/>
      <c r="AK27" s="242"/>
      <c r="AL27" s="242"/>
      <c r="AM27" s="242"/>
      <c r="AN27" s="242"/>
      <c r="AO27" s="242"/>
      <c r="AP27" s="243"/>
    </row>
    <row r="28" spans="1:49">
      <c r="M28" s="240"/>
      <c r="O28" s="240"/>
      <c r="P28" s="240"/>
      <c r="Q28" s="240"/>
      <c r="R28" s="240"/>
      <c r="S28" s="240"/>
      <c r="T28" s="240"/>
      <c r="AH28" s="242"/>
      <c r="AI28" s="242"/>
      <c r="AJ28" s="242"/>
      <c r="AK28" s="242"/>
      <c r="AL28" s="242"/>
      <c r="AM28" s="242"/>
      <c r="AN28" s="242"/>
      <c r="AO28" s="242"/>
      <c r="AP28" s="243"/>
      <c r="AV28" s="245" t="str">
        <f>"Ngày 30 tháng 06 năm 2015 "</f>
        <v xml:space="preserve">Ngày 30 tháng 06 năm 2015 </v>
      </c>
    </row>
    <row r="29" spans="1:49">
      <c r="M29" s="240"/>
      <c r="O29" s="240"/>
      <c r="P29" s="240"/>
      <c r="Q29" s="240"/>
      <c r="R29" s="240"/>
      <c r="S29" s="240"/>
      <c r="T29" s="240"/>
      <c r="AH29" s="242"/>
      <c r="AI29" s="246" t="s">
        <v>11</v>
      </c>
      <c r="AJ29" s="242"/>
      <c r="AK29" s="242"/>
      <c r="AL29" s="242"/>
      <c r="AM29" s="242"/>
      <c r="AN29" s="242"/>
      <c r="AO29" s="247" t="s">
        <v>12</v>
      </c>
      <c r="AP29" s="243"/>
      <c r="AV29" s="246" t="s">
        <v>118</v>
      </c>
    </row>
    <row r="30" spans="1:49">
      <c r="M30" s="240"/>
      <c r="O30" s="240"/>
      <c r="P30" s="240"/>
      <c r="Q30" s="240"/>
      <c r="R30" s="240"/>
      <c r="S30" s="240"/>
      <c r="T30" s="240"/>
      <c r="AH30" s="242"/>
      <c r="AI30" s="248" t="s">
        <v>13</v>
      </c>
      <c r="AJ30" s="242"/>
      <c r="AK30" s="242"/>
      <c r="AL30" s="242"/>
      <c r="AM30" s="242"/>
      <c r="AN30" s="242"/>
      <c r="AO30" s="249" t="s">
        <v>13</v>
      </c>
      <c r="AP30" s="243"/>
      <c r="AV30" s="248" t="s">
        <v>149</v>
      </c>
    </row>
    <row r="31" spans="1:49">
      <c r="M31" s="240"/>
      <c r="O31" s="240"/>
      <c r="P31" s="240"/>
      <c r="Q31" s="240"/>
      <c r="R31" s="240"/>
      <c r="S31" s="240"/>
      <c r="T31" s="240"/>
      <c r="AH31" s="242"/>
      <c r="AI31" s="242"/>
      <c r="AJ31" s="242"/>
      <c r="AK31" s="242"/>
      <c r="AL31" s="242"/>
      <c r="AM31" s="242"/>
      <c r="AN31" s="242"/>
      <c r="AO31" s="242"/>
      <c r="AP31" s="243"/>
      <c r="AV31" s="242"/>
    </row>
    <row r="32" spans="1:49">
      <c r="M32" s="240"/>
      <c r="O32" s="240"/>
      <c r="P32" s="240"/>
      <c r="Q32" s="240"/>
      <c r="R32" s="240"/>
      <c r="S32" s="240"/>
      <c r="T32" s="240"/>
      <c r="AV32" s="242"/>
    </row>
    <row r="33" spans="13:20">
      <c r="M33" s="240"/>
      <c r="O33" s="240"/>
      <c r="P33" s="240"/>
      <c r="Q33" s="240"/>
      <c r="R33" s="240"/>
      <c r="S33" s="240"/>
      <c r="T33" s="240"/>
    </row>
    <row r="34" spans="13:20">
      <c r="M34" s="240"/>
      <c r="O34" s="240"/>
      <c r="P34" s="240"/>
      <c r="Q34" s="240"/>
      <c r="R34" s="240"/>
      <c r="S34" s="240"/>
      <c r="T34" s="240"/>
    </row>
    <row r="35" spans="13:20">
      <c r="M35" s="240"/>
      <c r="O35" s="240"/>
      <c r="P35" s="240"/>
      <c r="Q35" s="240"/>
      <c r="R35" s="240"/>
      <c r="S35" s="240"/>
      <c r="T35" s="240"/>
    </row>
    <row r="36" spans="13:20">
      <c r="M36" s="240"/>
      <c r="O36" s="240"/>
      <c r="P36" s="240"/>
      <c r="Q36" s="240"/>
      <c r="R36" s="240"/>
      <c r="S36" s="240"/>
      <c r="T36" s="240"/>
    </row>
    <row r="37" spans="13:20">
      <c r="M37" s="240"/>
      <c r="O37" s="240"/>
      <c r="P37" s="240"/>
      <c r="Q37" s="240"/>
      <c r="R37" s="240"/>
      <c r="S37" s="240"/>
      <c r="T37" s="240"/>
    </row>
    <row r="38" spans="13:20">
      <c r="M38" s="240"/>
      <c r="O38" s="240"/>
      <c r="P38" s="240"/>
      <c r="Q38" s="240"/>
      <c r="R38" s="240"/>
      <c r="S38" s="240"/>
      <c r="T38" s="240"/>
    </row>
    <row r="39" spans="13:20">
      <c r="M39" s="240"/>
      <c r="O39" s="240"/>
      <c r="P39" s="240"/>
      <c r="Q39" s="240"/>
      <c r="R39" s="240"/>
      <c r="S39" s="240"/>
      <c r="T39" s="240"/>
    </row>
    <row r="40" spans="13:20">
      <c r="M40" s="240"/>
      <c r="O40" s="240"/>
      <c r="P40" s="240"/>
      <c r="Q40" s="240"/>
      <c r="R40" s="240"/>
      <c r="S40" s="240"/>
      <c r="T40" s="240"/>
    </row>
    <row r="41" spans="13:20">
      <c r="M41" s="240"/>
      <c r="O41" s="240"/>
      <c r="P41" s="240"/>
      <c r="Q41" s="240"/>
      <c r="R41" s="240"/>
      <c r="S41" s="240"/>
      <c r="T41" s="240"/>
    </row>
    <row r="42" spans="13:20">
      <c r="M42" s="240"/>
      <c r="O42" s="240"/>
      <c r="P42" s="240"/>
      <c r="Q42" s="240"/>
      <c r="R42" s="240"/>
      <c r="S42" s="240"/>
      <c r="T42" s="240"/>
    </row>
    <row r="43" spans="13:20">
      <c r="M43" s="240"/>
      <c r="O43" s="240"/>
      <c r="P43" s="240"/>
      <c r="Q43" s="240"/>
      <c r="R43" s="240"/>
      <c r="S43" s="240"/>
      <c r="T43" s="240"/>
    </row>
    <row r="44" spans="13:20">
      <c r="M44" s="240"/>
      <c r="O44" s="240"/>
      <c r="P44" s="240"/>
      <c r="Q44" s="240"/>
      <c r="R44" s="240"/>
      <c r="S44" s="240"/>
      <c r="T44" s="240"/>
    </row>
    <row r="45" spans="13:20">
      <c r="M45" s="240"/>
      <c r="O45" s="240"/>
      <c r="P45" s="240"/>
      <c r="Q45" s="240"/>
      <c r="R45" s="240"/>
      <c r="S45" s="240"/>
      <c r="T45" s="240"/>
    </row>
    <row r="46" spans="13:20">
      <c r="M46" s="240"/>
      <c r="O46" s="240"/>
      <c r="P46" s="240"/>
      <c r="Q46" s="240"/>
      <c r="R46" s="240"/>
      <c r="S46" s="240"/>
      <c r="T46" s="240"/>
    </row>
    <row r="47" spans="13:20">
      <c r="M47" s="240"/>
      <c r="O47" s="240"/>
      <c r="P47" s="240"/>
      <c r="Q47" s="240"/>
      <c r="R47" s="240"/>
      <c r="S47" s="240"/>
      <c r="T47" s="240"/>
    </row>
    <row r="48" spans="13:20">
      <c r="M48" s="240"/>
      <c r="O48" s="240"/>
      <c r="P48" s="240"/>
      <c r="Q48" s="240"/>
      <c r="R48" s="240"/>
      <c r="S48" s="240"/>
      <c r="T48" s="240"/>
    </row>
    <row r="49" spans="13:20">
      <c r="M49" s="240"/>
      <c r="O49" s="240"/>
      <c r="P49" s="240"/>
      <c r="Q49" s="240"/>
      <c r="R49" s="240"/>
      <c r="S49" s="240"/>
      <c r="T49" s="240"/>
    </row>
    <row r="50" spans="13:20">
      <c r="M50" s="240"/>
      <c r="O50" s="240"/>
      <c r="P50" s="240"/>
      <c r="Q50" s="240"/>
      <c r="R50" s="240"/>
      <c r="S50" s="240"/>
      <c r="T50" s="240"/>
    </row>
    <row r="51" spans="13:20">
      <c r="M51" s="240"/>
      <c r="O51" s="240"/>
      <c r="P51" s="240"/>
      <c r="Q51" s="240"/>
      <c r="R51" s="240"/>
      <c r="S51" s="240"/>
      <c r="T51" s="240"/>
    </row>
    <row r="52" spans="13:20">
      <c r="M52" s="240"/>
      <c r="O52" s="240"/>
      <c r="P52" s="240"/>
      <c r="Q52" s="240"/>
      <c r="R52" s="240"/>
      <c r="S52" s="240"/>
      <c r="T52" s="240"/>
    </row>
    <row r="53" spans="13:20">
      <c r="M53" s="240"/>
      <c r="O53" s="240"/>
      <c r="P53" s="240"/>
      <c r="Q53" s="240"/>
      <c r="R53" s="240"/>
      <c r="S53" s="240"/>
      <c r="T53" s="240"/>
    </row>
    <row r="54" spans="13:20">
      <c r="M54" s="240"/>
      <c r="O54" s="240"/>
      <c r="P54" s="240"/>
      <c r="Q54" s="240"/>
      <c r="R54" s="240"/>
      <c r="S54" s="240"/>
      <c r="T54" s="240"/>
    </row>
    <row r="55" spans="13:20">
      <c r="M55" s="240"/>
      <c r="O55" s="240"/>
      <c r="P55" s="240"/>
      <c r="Q55" s="240"/>
      <c r="R55" s="240"/>
      <c r="S55" s="240"/>
      <c r="T55" s="240"/>
    </row>
    <row r="56" spans="13:20">
      <c r="M56" s="240"/>
      <c r="O56" s="240"/>
      <c r="P56" s="240"/>
      <c r="Q56" s="240"/>
      <c r="R56" s="240"/>
      <c r="S56" s="240"/>
      <c r="T56" s="240"/>
    </row>
    <row r="57" spans="13:20">
      <c r="M57" s="240"/>
      <c r="O57" s="240"/>
      <c r="P57" s="240"/>
      <c r="Q57" s="240"/>
      <c r="R57" s="240"/>
      <c r="S57" s="240"/>
      <c r="T57" s="240"/>
    </row>
    <row r="58" spans="13:20">
      <c r="M58" s="240"/>
      <c r="O58" s="240"/>
      <c r="P58" s="240"/>
      <c r="Q58" s="240"/>
      <c r="R58" s="240"/>
      <c r="S58" s="240"/>
      <c r="T58" s="240"/>
    </row>
    <row r="59" spans="13:20">
      <c r="M59" s="240"/>
      <c r="O59" s="240"/>
      <c r="P59" s="240"/>
      <c r="Q59" s="240"/>
      <c r="R59" s="240"/>
      <c r="S59" s="240"/>
      <c r="T59" s="240"/>
    </row>
    <row r="60" spans="13:20">
      <c r="M60" s="240"/>
      <c r="O60" s="240"/>
      <c r="P60" s="240"/>
      <c r="Q60" s="240"/>
      <c r="R60" s="240"/>
      <c r="S60" s="240"/>
      <c r="T60" s="240"/>
    </row>
    <row r="61" spans="13:20">
      <c r="M61" s="240"/>
      <c r="O61" s="240"/>
      <c r="P61" s="240"/>
      <c r="Q61" s="240"/>
      <c r="R61" s="240"/>
      <c r="S61" s="240"/>
      <c r="T61" s="240"/>
    </row>
    <row r="62" spans="13:20">
      <c r="M62" s="240"/>
      <c r="O62" s="240"/>
      <c r="P62" s="240"/>
      <c r="Q62" s="240"/>
      <c r="R62" s="240"/>
      <c r="S62" s="240"/>
      <c r="T62" s="240"/>
    </row>
    <row r="63" spans="13:20">
      <c r="M63" s="240"/>
      <c r="O63" s="240"/>
      <c r="P63" s="240"/>
      <c r="Q63" s="240"/>
      <c r="R63" s="240"/>
      <c r="S63" s="240"/>
      <c r="T63" s="240"/>
    </row>
    <row r="64" spans="13:20">
      <c r="M64" s="240"/>
      <c r="O64" s="240"/>
      <c r="P64" s="240"/>
      <c r="Q64" s="240"/>
      <c r="R64" s="240"/>
      <c r="S64" s="240"/>
      <c r="T64" s="240"/>
    </row>
    <row r="65" spans="13:20">
      <c r="M65" s="240"/>
      <c r="O65" s="240"/>
      <c r="P65" s="240"/>
      <c r="Q65" s="240"/>
      <c r="R65" s="240"/>
      <c r="S65" s="240"/>
      <c r="T65" s="240"/>
    </row>
    <row r="66" spans="13:20">
      <c r="M66" s="240"/>
      <c r="O66" s="240"/>
      <c r="P66" s="240"/>
      <c r="Q66" s="240"/>
      <c r="R66" s="240"/>
      <c r="S66" s="240"/>
      <c r="T66" s="240"/>
    </row>
    <row r="67" spans="13:20">
      <c r="M67" s="240"/>
      <c r="O67" s="240"/>
      <c r="P67" s="240"/>
      <c r="Q67" s="240"/>
      <c r="R67" s="240"/>
      <c r="S67" s="240"/>
      <c r="T67" s="240"/>
    </row>
    <row r="68" spans="13:20">
      <c r="M68" s="240"/>
      <c r="O68" s="240"/>
      <c r="P68" s="240"/>
      <c r="Q68" s="240"/>
      <c r="R68" s="240"/>
      <c r="S68" s="240"/>
      <c r="T68" s="240"/>
    </row>
    <row r="69" spans="13:20">
      <c r="M69" s="240"/>
      <c r="O69" s="240"/>
      <c r="P69" s="240"/>
      <c r="Q69" s="240"/>
      <c r="R69" s="240"/>
      <c r="S69" s="240"/>
      <c r="T69" s="240"/>
    </row>
    <row r="70" spans="13:20">
      <c r="M70" s="240"/>
      <c r="O70" s="240"/>
      <c r="P70" s="240"/>
      <c r="Q70" s="240"/>
      <c r="R70" s="240"/>
      <c r="S70" s="240"/>
      <c r="T70" s="240"/>
    </row>
    <row r="71" spans="13:20">
      <c r="M71" s="240"/>
      <c r="O71" s="240"/>
      <c r="P71" s="240"/>
      <c r="Q71" s="240"/>
      <c r="R71" s="240"/>
      <c r="S71" s="240"/>
      <c r="T71" s="240"/>
    </row>
    <row r="72" spans="13:20">
      <c r="M72" s="240"/>
      <c r="O72" s="240"/>
      <c r="P72" s="240"/>
      <c r="Q72" s="240"/>
      <c r="R72" s="240"/>
      <c r="S72" s="240"/>
      <c r="T72" s="240"/>
    </row>
    <row r="73" spans="13:20">
      <c r="M73" s="240"/>
      <c r="O73" s="240"/>
      <c r="P73" s="240"/>
      <c r="Q73" s="240"/>
      <c r="R73" s="240"/>
      <c r="S73" s="240"/>
      <c r="T73" s="240"/>
    </row>
    <row r="74" spans="13:20">
      <c r="M74" s="240"/>
      <c r="O74" s="240"/>
      <c r="P74" s="240"/>
      <c r="Q74" s="240"/>
      <c r="R74" s="240"/>
      <c r="S74" s="240"/>
      <c r="T74" s="240"/>
    </row>
    <row r="75" spans="13:20">
      <c r="M75" s="240"/>
      <c r="O75" s="240"/>
      <c r="P75" s="240"/>
      <c r="Q75" s="240"/>
      <c r="R75" s="240"/>
      <c r="S75" s="240"/>
      <c r="T75" s="240"/>
    </row>
    <row r="76" spans="13:20">
      <c r="M76" s="240"/>
      <c r="O76" s="240"/>
      <c r="P76" s="240"/>
      <c r="Q76" s="240"/>
      <c r="R76" s="240"/>
      <c r="S76" s="240"/>
      <c r="T76" s="240"/>
    </row>
    <row r="77" spans="13:20">
      <c r="M77" s="240"/>
      <c r="O77" s="240"/>
      <c r="P77" s="240"/>
      <c r="Q77" s="240"/>
      <c r="R77" s="240"/>
      <c r="S77" s="240"/>
      <c r="T77" s="240"/>
    </row>
    <row r="78" spans="13:20">
      <c r="M78" s="240"/>
      <c r="O78" s="240"/>
      <c r="P78" s="240"/>
      <c r="Q78" s="240"/>
      <c r="R78" s="240"/>
      <c r="S78" s="240"/>
      <c r="T78" s="240"/>
    </row>
    <row r="79" spans="13:20">
      <c r="M79" s="240"/>
      <c r="O79" s="240"/>
      <c r="P79" s="240"/>
      <c r="Q79" s="240"/>
      <c r="R79" s="240"/>
      <c r="S79" s="240"/>
      <c r="T79" s="240"/>
    </row>
    <row r="80" spans="13:20">
      <c r="M80" s="240"/>
      <c r="O80" s="240"/>
      <c r="P80" s="240"/>
      <c r="Q80" s="240"/>
      <c r="R80" s="240"/>
      <c r="S80" s="240"/>
      <c r="T80" s="240"/>
    </row>
    <row r="81" spans="13:20">
      <c r="M81" s="240"/>
      <c r="O81" s="240"/>
      <c r="P81" s="240"/>
      <c r="Q81" s="240"/>
      <c r="R81" s="240"/>
      <c r="S81" s="240"/>
      <c r="T81" s="240"/>
    </row>
    <row r="82" spans="13:20">
      <c r="M82" s="240"/>
      <c r="O82" s="240"/>
      <c r="P82" s="240"/>
      <c r="Q82" s="240"/>
      <c r="R82" s="240"/>
      <c r="S82" s="240"/>
      <c r="T82" s="240"/>
    </row>
    <row r="83" spans="13:20">
      <c r="M83" s="240"/>
      <c r="O83" s="240"/>
      <c r="P83" s="240"/>
      <c r="Q83" s="240"/>
      <c r="R83" s="240"/>
      <c r="S83" s="240"/>
      <c r="T83" s="240"/>
    </row>
  </sheetData>
  <autoFilter ref="A9:AW23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41"/>
  <sheetViews>
    <sheetView topLeftCell="A7" workbookViewId="0">
      <pane xSplit="8" ySplit="5" topLeftCell="AQ12" activePane="bottomRight" state="frozen"/>
      <selection activeCell="E170" sqref="E170"/>
      <selection pane="topRight" activeCell="E170" sqref="E170"/>
      <selection pane="bottomLeft" activeCell="E170" sqref="E170"/>
      <selection pane="bottomRight" activeCell="F16" sqref="F16"/>
    </sheetView>
  </sheetViews>
  <sheetFormatPr defaultRowHeight="12.75"/>
  <cols>
    <col min="1" max="1" width="4.85546875" style="196" customWidth="1"/>
    <col min="2" max="2" width="9.28515625" style="196" customWidth="1"/>
    <col min="3" max="3" width="7.85546875" style="196" customWidth="1"/>
    <col min="4" max="4" width="9.7109375" style="196" customWidth="1"/>
    <col min="5" max="5" width="45.140625" style="196" customWidth="1"/>
    <col min="6" max="6" width="15.42578125" style="251" customWidth="1"/>
    <col min="7" max="8" width="5.85546875" style="197" customWidth="1"/>
    <col min="9" max="9" width="4.85546875" style="196" customWidth="1"/>
    <col min="10" max="10" width="14.85546875" style="196" customWidth="1"/>
    <col min="11" max="11" width="14.140625" style="196" customWidth="1"/>
    <col min="12" max="12" width="15.7109375" style="196" customWidth="1"/>
    <col min="13" max="13" width="15.5703125" style="196" customWidth="1"/>
    <col min="14" max="14" width="16.5703125" style="196" customWidth="1"/>
    <col min="15" max="15" width="13.28515625" style="196" customWidth="1"/>
    <col min="16" max="16" width="12.85546875" style="196" customWidth="1"/>
    <col min="17" max="17" width="12.42578125" style="196" customWidth="1"/>
    <col min="18" max="18" width="14.7109375" style="196" customWidth="1"/>
    <col min="19" max="19" width="5.5703125" style="196" customWidth="1"/>
    <col min="20" max="20" width="14.7109375" style="196" customWidth="1"/>
    <col min="21" max="21" width="15.28515625" style="196" customWidth="1"/>
    <col min="22" max="22" width="6.85546875" style="196" customWidth="1"/>
    <col min="23" max="23" width="7.42578125" style="196" customWidth="1"/>
    <col min="24" max="24" width="10.5703125" style="196" customWidth="1"/>
    <col min="25" max="25" width="10.28515625" style="196" customWidth="1"/>
    <col min="26" max="26" width="12.28515625" style="196" customWidth="1"/>
    <col min="27" max="27" width="13.85546875" style="196" customWidth="1"/>
    <col min="28" max="28" width="5.5703125" style="196" customWidth="1"/>
    <col min="29" max="29" width="15.28515625" style="196" customWidth="1"/>
    <col min="30" max="30" width="5.42578125" style="196" customWidth="1"/>
    <col min="31" max="31" width="13.85546875" style="196" customWidth="1"/>
    <col min="32" max="32" width="12.28515625" style="196" customWidth="1"/>
    <col min="33" max="33" width="5.28515625" style="196" customWidth="1"/>
    <col min="34" max="34" width="15.140625" style="196" customWidth="1"/>
    <col min="35" max="35" width="14.85546875" style="196" customWidth="1"/>
    <col min="36" max="36" width="9.5703125" style="196" customWidth="1"/>
    <col min="37" max="37" width="9.140625" style="196" customWidth="1"/>
    <col min="38" max="38" width="12.7109375" style="196" customWidth="1"/>
    <col min="39" max="39" width="12.5703125" style="196" customWidth="1"/>
    <col min="40" max="40" width="15.140625" style="196" customWidth="1"/>
    <col min="41" max="41" width="15.5703125" style="196" customWidth="1"/>
    <col min="42" max="43" width="10.85546875" style="196" customWidth="1"/>
    <col min="44" max="44" width="7" style="196" customWidth="1"/>
    <col min="45" max="45" width="7.7109375" style="196" customWidth="1"/>
    <col min="46" max="46" width="7.140625" style="196" customWidth="1"/>
    <col min="47" max="47" width="6.7109375" style="196" customWidth="1"/>
    <col min="48" max="48" width="14.7109375" style="196" customWidth="1"/>
    <col min="49" max="49" width="15.140625" style="196" customWidth="1"/>
    <col min="50" max="16384" width="9.140625" style="196"/>
  </cols>
  <sheetData>
    <row r="1" spans="1:49" ht="12.75" customHeight="1">
      <c r="A1" s="192"/>
      <c r="B1" s="193" t="s">
        <v>108</v>
      </c>
      <c r="C1" s="194"/>
      <c r="D1" s="194"/>
      <c r="E1" s="195"/>
      <c r="I1" s="194"/>
      <c r="M1" s="194" t="s">
        <v>167</v>
      </c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5"/>
      <c r="AM1" s="195"/>
      <c r="AN1" s="194"/>
      <c r="AO1" s="194"/>
      <c r="AP1" s="194"/>
      <c r="AQ1" s="194"/>
      <c r="AR1" s="194"/>
      <c r="AS1" s="194"/>
      <c r="AT1" s="194"/>
      <c r="AU1" s="194"/>
      <c r="AV1" s="194"/>
      <c r="AW1" s="194"/>
    </row>
    <row r="2" spans="1:49" ht="12.75" customHeight="1">
      <c r="A2" s="192"/>
      <c r="B2" s="193" t="s">
        <v>156</v>
      </c>
      <c r="C2" s="194"/>
      <c r="D2" s="194"/>
      <c r="E2" s="194"/>
      <c r="I2" s="198"/>
      <c r="M2" s="302" t="s">
        <v>168</v>
      </c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9"/>
      <c r="AM2" s="199"/>
      <c r="AN2" s="198"/>
      <c r="AO2" s="198"/>
      <c r="AP2" s="198"/>
      <c r="AQ2" s="198"/>
      <c r="AR2" s="198"/>
      <c r="AS2" s="198"/>
      <c r="AT2" s="198"/>
      <c r="AU2" s="198"/>
      <c r="AV2" s="198"/>
      <c r="AW2" s="198"/>
    </row>
    <row r="3" spans="1:49" ht="10.5" customHeight="1">
      <c r="A3" s="194"/>
      <c r="B3" s="194"/>
      <c r="C3" s="194"/>
      <c r="D3" s="194"/>
      <c r="E3" s="194"/>
      <c r="F3" s="252"/>
      <c r="G3" s="200"/>
      <c r="H3" s="200"/>
      <c r="I3" s="198"/>
      <c r="M3" s="302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9"/>
      <c r="AM3" s="199"/>
      <c r="AN3" s="198"/>
      <c r="AO3" s="198"/>
      <c r="AP3" s="198"/>
      <c r="AQ3" s="198"/>
      <c r="AR3" s="198"/>
      <c r="AS3" s="198"/>
      <c r="AT3" s="198"/>
      <c r="AU3" s="198"/>
      <c r="AV3" s="198"/>
      <c r="AW3" s="198"/>
    </row>
    <row r="4" spans="1:49" ht="19.5" customHeight="1">
      <c r="B4" s="303" t="s">
        <v>98</v>
      </c>
      <c r="C4" s="303"/>
      <c r="D4" s="303"/>
      <c r="E4" s="303"/>
      <c r="F4" s="310"/>
      <c r="G4" s="303"/>
      <c r="H4" s="303"/>
      <c r="I4" s="303"/>
      <c r="J4" s="303"/>
      <c r="K4" s="303"/>
      <c r="L4" s="303"/>
      <c r="M4" s="303"/>
      <c r="N4" s="201"/>
      <c r="O4" s="201"/>
      <c r="P4" s="201"/>
      <c r="Q4" s="201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53"/>
      <c r="AM4" s="253"/>
      <c r="AN4" s="203"/>
      <c r="AO4" s="203"/>
      <c r="AP4" s="203"/>
      <c r="AQ4" s="203"/>
      <c r="AR4" s="203"/>
      <c r="AS4" s="203"/>
      <c r="AT4" s="203"/>
      <c r="AU4" s="203"/>
      <c r="AV4" s="203"/>
      <c r="AW4" s="203"/>
    </row>
    <row r="5" spans="1:49" ht="15">
      <c r="B5" s="304" t="s">
        <v>200</v>
      </c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204"/>
      <c r="AL5" s="204"/>
      <c r="AM5" s="204"/>
    </row>
    <row r="7" spans="1:49" ht="13.5" customHeight="1">
      <c r="A7" s="305" t="s">
        <v>31</v>
      </c>
      <c r="B7" s="299" t="s">
        <v>20</v>
      </c>
      <c r="C7" s="307" t="s">
        <v>1</v>
      </c>
      <c r="D7" s="308"/>
      <c r="E7" s="299" t="s">
        <v>0</v>
      </c>
      <c r="F7" s="299" t="s">
        <v>99</v>
      </c>
      <c r="G7" s="309" t="s">
        <v>100</v>
      </c>
      <c r="H7" s="309"/>
      <c r="I7" s="300" t="s">
        <v>31</v>
      </c>
      <c r="J7" s="299" t="s">
        <v>170</v>
      </c>
      <c r="K7" s="299"/>
      <c r="L7" s="299" t="s">
        <v>171</v>
      </c>
      <c r="M7" s="299"/>
      <c r="N7" s="299" t="s">
        <v>172</v>
      </c>
      <c r="O7" s="299"/>
      <c r="P7" s="299" t="s">
        <v>173</v>
      </c>
      <c r="Q7" s="299"/>
      <c r="R7" s="299" t="s">
        <v>174</v>
      </c>
      <c r="S7" s="299"/>
      <c r="T7" s="299" t="s">
        <v>175</v>
      </c>
      <c r="U7" s="299"/>
      <c r="V7" s="299" t="s">
        <v>176</v>
      </c>
      <c r="W7" s="299"/>
      <c r="X7" s="299" t="s">
        <v>177</v>
      </c>
      <c r="Y7" s="299"/>
      <c r="Z7" s="299" t="s">
        <v>178</v>
      </c>
      <c r="AA7" s="299"/>
      <c r="AB7" s="299" t="s">
        <v>179</v>
      </c>
      <c r="AC7" s="299"/>
      <c r="AD7" s="299" t="s">
        <v>180</v>
      </c>
      <c r="AE7" s="299"/>
      <c r="AF7" s="299" t="s">
        <v>181</v>
      </c>
      <c r="AG7" s="299"/>
      <c r="AH7" s="299" t="s">
        <v>182</v>
      </c>
      <c r="AI7" s="299"/>
      <c r="AJ7" s="299" t="s">
        <v>183</v>
      </c>
      <c r="AK7" s="299"/>
      <c r="AL7" s="299" t="s">
        <v>184</v>
      </c>
      <c r="AM7" s="299"/>
      <c r="AN7" s="299" t="s">
        <v>185</v>
      </c>
      <c r="AO7" s="299"/>
      <c r="AP7" s="299" t="s">
        <v>186</v>
      </c>
      <c r="AQ7" s="299"/>
      <c r="AR7" s="299" t="s">
        <v>187</v>
      </c>
      <c r="AS7" s="299"/>
      <c r="AT7" s="299" t="s">
        <v>188</v>
      </c>
      <c r="AU7" s="299"/>
      <c r="AV7" s="299" t="s">
        <v>189</v>
      </c>
      <c r="AW7" s="299"/>
    </row>
    <row r="8" spans="1:49" ht="22.5" customHeight="1">
      <c r="A8" s="306"/>
      <c r="B8" s="299"/>
      <c r="C8" s="207" t="s">
        <v>15</v>
      </c>
      <c r="D8" s="206" t="s">
        <v>28</v>
      </c>
      <c r="E8" s="299"/>
      <c r="F8" s="299"/>
      <c r="G8" s="208" t="s">
        <v>22</v>
      </c>
      <c r="H8" s="208" t="s">
        <v>23</v>
      </c>
      <c r="I8" s="300"/>
      <c r="J8" s="206" t="s">
        <v>22</v>
      </c>
      <c r="K8" s="206" t="s">
        <v>23</v>
      </c>
      <c r="L8" s="206" t="s">
        <v>22</v>
      </c>
      <c r="M8" s="206" t="s">
        <v>23</v>
      </c>
      <c r="N8" s="206" t="s">
        <v>22</v>
      </c>
      <c r="O8" s="206" t="s">
        <v>23</v>
      </c>
      <c r="P8" s="206" t="s">
        <v>22</v>
      </c>
      <c r="Q8" s="206" t="s">
        <v>23</v>
      </c>
      <c r="R8" s="206" t="s">
        <v>22</v>
      </c>
      <c r="S8" s="206" t="s">
        <v>23</v>
      </c>
      <c r="T8" s="206" t="s">
        <v>22</v>
      </c>
      <c r="U8" s="206" t="s">
        <v>23</v>
      </c>
      <c r="V8" s="206" t="s">
        <v>22</v>
      </c>
      <c r="W8" s="206" t="s">
        <v>23</v>
      </c>
      <c r="X8" s="206" t="s">
        <v>22</v>
      </c>
      <c r="Y8" s="206" t="s">
        <v>23</v>
      </c>
      <c r="Z8" s="206" t="s">
        <v>22</v>
      </c>
      <c r="AA8" s="206" t="s">
        <v>23</v>
      </c>
      <c r="AB8" s="206" t="s">
        <v>22</v>
      </c>
      <c r="AC8" s="206" t="s">
        <v>23</v>
      </c>
      <c r="AD8" s="206" t="s">
        <v>22</v>
      </c>
      <c r="AE8" s="206" t="s">
        <v>23</v>
      </c>
      <c r="AF8" s="206" t="s">
        <v>22</v>
      </c>
      <c r="AG8" s="206" t="s">
        <v>23</v>
      </c>
      <c r="AH8" s="206" t="s">
        <v>22</v>
      </c>
      <c r="AI8" s="206" t="s">
        <v>23</v>
      </c>
      <c r="AJ8" s="206" t="s">
        <v>22</v>
      </c>
      <c r="AK8" s="206" t="s">
        <v>23</v>
      </c>
      <c r="AL8" s="206" t="s">
        <v>22</v>
      </c>
      <c r="AM8" s="206" t="s">
        <v>23</v>
      </c>
      <c r="AN8" s="206" t="s">
        <v>22</v>
      </c>
      <c r="AO8" s="206" t="s">
        <v>23</v>
      </c>
      <c r="AP8" s="206" t="s">
        <v>22</v>
      </c>
      <c r="AQ8" s="206" t="s">
        <v>23</v>
      </c>
      <c r="AR8" s="206" t="s">
        <v>22</v>
      </c>
      <c r="AS8" s="206" t="s">
        <v>23</v>
      </c>
      <c r="AT8" s="206" t="s">
        <v>22</v>
      </c>
      <c r="AU8" s="206" t="s">
        <v>23</v>
      </c>
      <c r="AV8" s="206" t="s">
        <v>22</v>
      </c>
      <c r="AW8" s="206" t="s">
        <v>23</v>
      </c>
    </row>
    <row r="9" spans="1:49" s="210" customFormat="1" ht="8.25" customHeight="1">
      <c r="A9" s="209">
        <v>1</v>
      </c>
      <c r="B9" s="209">
        <v>2</v>
      </c>
      <c r="C9" s="209">
        <v>3</v>
      </c>
      <c r="D9" s="209">
        <v>4</v>
      </c>
      <c r="E9" s="209">
        <v>5</v>
      </c>
      <c r="F9" s="209">
        <v>6</v>
      </c>
      <c r="G9" s="209">
        <v>7</v>
      </c>
      <c r="H9" s="209">
        <v>8</v>
      </c>
      <c r="I9" s="209">
        <v>9</v>
      </c>
      <c r="J9" s="209">
        <v>10</v>
      </c>
      <c r="K9" s="209">
        <v>11</v>
      </c>
      <c r="L9" s="209">
        <v>12</v>
      </c>
      <c r="M9" s="209">
        <v>13</v>
      </c>
      <c r="N9" s="209">
        <v>14</v>
      </c>
      <c r="O9" s="209">
        <v>15</v>
      </c>
      <c r="P9" s="209">
        <v>16</v>
      </c>
      <c r="Q9" s="209">
        <v>17</v>
      </c>
      <c r="R9" s="209">
        <v>18</v>
      </c>
      <c r="S9" s="209">
        <v>19</v>
      </c>
      <c r="T9" s="209">
        <v>20</v>
      </c>
      <c r="U9" s="209">
        <v>21</v>
      </c>
      <c r="V9" s="209">
        <v>22</v>
      </c>
      <c r="W9" s="209">
        <v>23</v>
      </c>
      <c r="X9" s="209">
        <v>24</v>
      </c>
      <c r="Y9" s="209">
        <v>25</v>
      </c>
      <c r="Z9" s="209">
        <v>26</v>
      </c>
      <c r="AA9" s="209">
        <v>27</v>
      </c>
      <c r="AB9" s="209">
        <v>28</v>
      </c>
      <c r="AC9" s="209">
        <v>29</v>
      </c>
      <c r="AD9" s="209">
        <v>30</v>
      </c>
      <c r="AE9" s="209">
        <v>31</v>
      </c>
      <c r="AF9" s="209">
        <v>32</v>
      </c>
      <c r="AG9" s="209">
        <v>33</v>
      </c>
      <c r="AH9" s="209">
        <v>34</v>
      </c>
      <c r="AI9" s="209">
        <v>35</v>
      </c>
      <c r="AJ9" s="209">
        <v>36</v>
      </c>
      <c r="AK9" s="209">
        <v>37</v>
      </c>
      <c r="AL9" s="209">
        <v>38</v>
      </c>
      <c r="AM9" s="209">
        <v>39</v>
      </c>
      <c r="AN9" s="209">
        <v>40</v>
      </c>
      <c r="AO9" s="209">
        <v>41</v>
      </c>
      <c r="AP9" s="209">
        <v>42</v>
      </c>
      <c r="AQ9" s="209">
        <v>43</v>
      </c>
      <c r="AR9" s="209">
        <v>44</v>
      </c>
      <c r="AS9" s="209">
        <v>45</v>
      </c>
      <c r="AT9" s="209">
        <v>46</v>
      </c>
      <c r="AU9" s="209">
        <v>47</v>
      </c>
      <c r="AV9" s="209">
        <v>48</v>
      </c>
      <c r="AW9" s="209">
        <v>49</v>
      </c>
    </row>
    <row r="10" spans="1:49" s="218" customFormat="1" ht="12" customHeight="1">
      <c r="A10" s="40" t="str">
        <f t="array" ref="A10">IF(C10&lt;&gt;0,SUM(($C10:C$12&lt;&gt;0)*1),"")</f>
        <v/>
      </c>
      <c r="B10" s="211"/>
      <c r="C10" s="212"/>
      <c r="D10" s="211"/>
      <c r="E10" s="213" t="s">
        <v>154</v>
      </c>
      <c r="F10" s="214"/>
      <c r="G10" s="215"/>
      <c r="H10" s="215"/>
      <c r="I10" s="216"/>
      <c r="J10" s="217">
        <f ca="1">'04-06'!J22</f>
        <v>3995200000</v>
      </c>
      <c r="K10" s="217">
        <f ca="1">'04-06'!K22</f>
        <v>0</v>
      </c>
      <c r="L10" s="217">
        <f ca="1">'04-06'!L22</f>
        <v>0</v>
      </c>
      <c r="M10" s="217">
        <f ca="1">'04-06'!M22</f>
        <v>0</v>
      </c>
      <c r="N10" s="217">
        <f ca="1">'04-06'!N22</f>
        <v>0</v>
      </c>
      <c r="O10" s="217">
        <f ca="1">'04-06'!O22</f>
        <v>0</v>
      </c>
      <c r="P10" s="217">
        <f ca="1">'04-06'!P22</f>
        <v>0</v>
      </c>
      <c r="Q10" s="217">
        <f ca="1">'04-06'!Q22</f>
        <v>0</v>
      </c>
      <c r="R10" s="217">
        <f ca="1">'04-06'!R22</f>
        <v>0</v>
      </c>
      <c r="S10" s="217">
        <f ca="1">'04-06'!S22</f>
        <v>0</v>
      </c>
      <c r="T10" s="217">
        <f ca="1">'04-06'!T22</f>
        <v>0</v>
      </c>
      <c r="U10" s="217">
        <f ca="1">'04-06'!U22</f>
        <v>0</v>
      </c>
      <c r="V10" s="217">
        <f ca="1">'04-06'!V22</f>
        <v>0</v>
      </c>
      <c r="W10" s="217">
        <f ca="1">'04-06'!W22</f>
        <v>0</v>
      </c>
      <c r="X10" s="217">
        <f ca="1">'04-06'!X22</f>
        <v>0</v>
      </c>
      <c r="Y10" s="217">
        <f ca="1">'04-06'!Y22</f>
        <v>0</v>
      </c>
      <c r="Z10" s="217">
        <f ca="1">'04-06'!Z22</f>
        <v>0</v>
      </c>
      <c r="AA10" s="217">
        <f ca="1">'04-06'!AA22</f>
        <v>0</v>
      </c>
      <c r="AB10" s="217">
        <f ca="1">'04-06'!AB22</f>
        <v>0</v>
      </c>
      <c r="AC10" s="217">
        <f ca="1">'04-06'!AC22</f>
        <v>0</v>
      </c>
      <c r="AD10" s="217">
        <f ca="1">'04-06'!AD22</f>
        <v>0</v>
      </c>
      <c r="AE10" s="217">
        <f ca="1">'04-06'!AE22</f>
        <v>4000000000</v>
      </c>
      <c r="AF10" s="217">
        <f ca="1">'04-06'!AF22</f>
        <v>0</v>
      </c>
      <c r="AG10" s="217">
        <f ca="1">'04-06'!AG22</f>
        <v>0</v>
      </c>
      <c r="AH10" s="217">
        <f ca="1">'04-06'!AH22</f>
        <v>4800000</v>
      </c>
      <c r="AI10" s="217">
        <f ca="1">'04-06'!AI22</f>
        <v>0</v>
      </c>
      <c r="AJ10" s="217">
        <f ca="1">'04-06'!AJ22</f>
        <v>0</v>
      </c>
      <c r="AK10" s="217">
        <f ca="1">'04-06'!AK22</f>
        <v>0</v>
      </c>
      <c r="AL10" s="217">
        <f ca="1">'04-06'!AL22</f>
        <v>0</v>
      </c>
      <c r="AM10" s="217">
        <f ca="1">'04-06'!AM22</f>
        <v>0</v>
      </c>
      <c r="AN10" s="217">
        <f ca="1">'04-06'!AN22</f>
        <v>0</v>
      </c>
      <c r="AO10" s="217">
        <f ca="1">'04-06'!AO22</f>
        <v>0</v>
      </c>
      <c r="AP10" s="217">
        <f ca="1">'04-06'!AP22</f>
        <v>0</v>
      </c>
      <c r="AQ10" s="217">
        <f ca="1">'04-06'!AQ22</f>
        <v>0</v>
      </c>
      <c r="AR10" s="217">
        <f ca="1">'04-06'!AR22</f>
        <v>0</v>
      </c>
      <c r="AS10" s="217">
        <f ca="1">'04-06'!AS22</f>
        <v>0</v>
      </c>
      <c r="AT10" s="217">
        <f ca="1">'04-06'!AT22</f>
        <v>0</v>
      </c>
      <c r="AU10" s="217">
        <f ca="1">'04-06'!AU22</f>
        <v>0</v>
      </c>
      <c r="AV10" s="217">
        <f ca="1">'04-06'!AV22</f>
        <v>0</v>
      </c>
      <c r="AW10" s="217">
        <f ca="1">'04-06'!AW22</f>
        <v>0</v>
      </c>
    </row>
    <row r="11" spans="1:49" s="218" customFormat="1" ht="12" customHeight="1">
      <c r="A11" s="40">
        <f t="array" aca="1" ref="A11" ca="1">IF(C11&lt;&gt;0,SUM(($C$11:C11&lt;&gt;0)*1),"")</f>
        <v>1</v>
      </c>
      <c r="B11" s="219">
        <f ca="1">IF(ROWS($1:1)&gt;COUNT(Dong8),"",OFFSET(TH!C$1,SMALL(Dong8,ROWS($1:1)),))</f>
        <v>40437</v>
      </c>
      <c r="C11" s="219" t="str">
        <f ca="1">IF(ROWS($1:1)&gt;COUNT(Dong8),"",OFFSET(TH!D$1,SMALL(Dong8,ROWS($1:1)),))</f>
        <v>C01</v>
      </c>
      <c r="D11" s="219">
        <f ca="1">IF(ROWS($1:1)&gt;COUNT(Dong8),"",OFFSET(TH!E$1,SMALL(Dong8,ROWS($1:1)),))</f>
        <v>40437</v>
      </c>
      <c r="E11" s="268" t="str">
        <f ca="1">IF(ROWS($1:1)&gt;COUNT(Dong8),"",OFFSET(TH!F$1,SMALL(Dong8,ROWS($1:1)),))</f>
        <v>Phí khắc dấu</v>
      </c>
      <c r="F11" s="269">
        <f ca="1">IF(ROWS($1:1)&gt;COUNT(Dong8),"",OFFSET(TH!I$1,SMALL(Dong8,ROWS($1:1)),))</f>
        <v>390000</v>
      </c>
      <c r="G11" s="271" t="str">
        <f ca="1">IF(ROWS($1:1)&gt;COUNT(Dong8),"",OFFSET(TH!J$1,SMALL(Dong8,ROWS($1:1)),))</f>
        <v>642</v>
      </c>
      <c r="H11" s="271" t="str">
        <f ca="1">IF(ROWS($1:1)&gt;COUNT(Dong8),"",OFFSET(TH!K$1,SMALL(Dong8,ROWS($1:1)),))</f>
        <v>1111</v>
      </c>
      <c r="I11" s="40">
        <f t="shared" ref="I11:I12" ca="1" si="0">A11</f>
        <v>1</v>
      </c>
      <c r="J11" s="221">
        <f t="shared" ref="J11:J12" ca="1" si="1">IF($G11="1111",$F11,0)</f>
        <v>0</v>
      </c>
      <c r="K11" s="221">
        <f t="shared" ref="K11:K12" ca="1" si="2">IF($H11="1111",$F11,0)</f>
        <v>390000</v>
      </c>
      <c r="L11" s="221">
        <f t="shared" ref="L11:L12" ca="1" si="3">IF($G11="1121",$F11,0)</f>
        <v>0</v>
      </c>
      <c r="M11" s="221">
        <f t="shared" ref="M11:M12" ca="1" si="4">IF($H11="1121",$F11,0)</f>
        <v>0</v>
      </c>
      <c r="N11" s="221">
        <f t="shared" ref="N11:N12" ca="1" si="5">IF($G11="1331",$F11,0)</f>
        <v>0</v>
      </c>
      <c r="O11" s="221">
        <f t="shared" ref="O11:O12" ca="1" si="6">IF($H11="1331",$F11,0)</f>
        <v>0</v>
      </c>
      <c r="P11" s="221">
        <f t="shared" ref="P11:P12" ca="1" si="7">IF($G11="1388",$F11,0)</f>
        <v>0</v>
      </c>
      <c r="Q11" s="221">
        <f t="shared" ref="Q11:Q12" ca="1" si="8">IF($H11="1388",$F11,0)</f>
        <v>0</v>
      </c>
      <c r="R11" s="221">
        <f ca="1">IF($G11="2412",$F11,0)</f>
        <v>0</v>
      </c>
      <c r="S11" s="221">
        <f ca="1">IF($H11="2412",$F11,0)</f>
        <v>0</v>
      </c>
      <c r="T11" s="221">
        <f t="shared" ref="T11:T12" ca="1" si="9">IF($G11="331",$F11,0)</f>
        <v>0</v>
      </c>
      <c r="U11" s="221">
        <f t="shared" ref="U11:U12" ca="1" si="10">IF($H11="331",$F11,0)</f>
        <v>0</v>
      </c>
      <c r="V11" s="221">
        <f t="shared" ref="V11:V12" ca="1" si="11">IF($G11="3334",$F11,0)</f>
        <v>0</v>
      </c>
      <c r="W11" s="221">
        <f t="shared" ref="W11:W12" ca="1" si="12">IF($H11="3334",$F11,0)</f>
        <v>0</v>
      </c>
      <c r="X11" s="221">
        <f t="shared" ref="X11:X12" ca="1" si="13">IF($G11="33382",$F11,0)</f>
        <v>0</v>
      </c>
      <c r="Y11" s="221">
        <f t="shared" ref="Y11:Y12" ca="1" si="14">IF($H11="33382",$F11,0)</f>
        <v>0</v>
      </c>
      <c r="Z11" s="221">
        <f t="shared" ref="Z11:Z12" ca="1" si="15">IF($G11="3388",$F11,0)</f>
        <v>0</v>
      </c>
      <c r="AA11" s="221">
        <f t="shared" ref="AA11:AA12" ca="1" si="16">IF($H11="3388",$F11,0)</f>
        <v>0</v>
      </c>
      <c r="AB11" s="221">
        <f t="shared" ref="AB11:AB12" ca="1" si="17">IF($G11="3411",$F11,0)</f>
        <v>0</v>
      </c>
      <c r="AC11" s="221">
        <f t="shared" ref="AC11:AC12" ca="1" si="18">IF($H11="3411",$F11,0)</f>
        <v>0</v>
      </c>
      <c r="AD11" s="221">
        <f t="shared" ref="AD11:AD12" ca="1" si="19">IF($G11="4111",$F11,0)</f>
        <v>0</v>
      </c>
      <c r="AE11" s="221">
        <f t="shared" ref="AE11:AE12" ca="1" si="20">IF($H11="4111",$F11,0)</f>
        <v>0</v>
      </c>
      <c r="AF11" s="221">
        <f t="shared" ref="AF11:AF12" ca="1" si="21">IF($G11="4211",$F11,0)</f>
        <v>0</v>
      </c>
      <c r="AG11" s="221">
        <f t="shared" ref="AG11:AG12" ca="1" si="22">IF($H11="4211",$F11,0)</f>
        <v>0</v>
      </c>
      <c r="AH11" s="221">
        <f t="shared" ref="AH11:AH12" ca="1" si="23">IF($G11="4212",$F11,0)</f>
        <v>0</v>
      </c>
      <c r="AI11" s="221">
        <f t="shared" ref="AI11:AI12" ca="1" si="24">IF($H11="4212",$F11,0)</f>
        <v>0</v>
      </c>
      <c r="AJ11" s="221">
        <f t="shared" ref="AJ11:AJ12" ca="1" si="25">IF($G11="515",$F11,0)</f>
        <v>0</v>
      </c>
      <c r="AK11" s="221">
        <f t="shared" ref="AK11:AK12" ca="1" si="26">IF($H11="515",$F11,0)</f>
        <v>0</v>
      </c>
      <c r="AL11" s="221">
        <f t="shared" ref="AL11:AL12" ca="1" si="27">IF($G11="635",$F11,0)</f>
        <v>0</v>
      </c>
      <c r="AM11" s="221">
        <f t="shared" ref="AM11:AM12" ca="1" si="28">IF($H11="635",$F11,0)</f>
        <v>0</v>
      </c>
      <c r="AN11" s="221">
        <f t="shared" ref="AN11:AN12" ca="1" si="29">IF($G11="642",$F11,0)</f>
        <v>390000</v>
      </c>
      <c r="AO11" s="221">
        <f t="shared" ref="AO11:AO12" ca="1" si="30">IF($H11="642",$F11,0)</f>
        <v>0</v>
      </c>
      <c r="AP11" s="221">
        <f t="shared" ref="AP11:AP12" ca="1" si="31">IF($G11="711",$F11,0)</f>
        <v>0</v>
      </c>
      <c r="AQ11" s="221">
        <f t="shared" ref="AQ11:AQ12" ca="1" si="32">IF($H11="711",$F11,0)</f>
        <v>0</v>
      </c>
      <c r="AR11" s="221">
        <f t="shared" ref="AR11:AR12" ca="1" si="33">IF($G11="811",$F11,0)</f>
        <v>0</v>
      </c>
      <c r="AS11" s="221">
        <f t="shared" ref="AS11:AS12" ca="1" si="34">IF($H11="811",$F11,0)</f>
        <v>0</v>
      </c>
      <c r="AT11" s="221">
        <f t="shared" ref="AT11:AT12" ca="1" si="35">IF($G11="821",$F11,0)</f>
        <v>0</v>
      </c>
      <c r="AU11" s="221">
        <f t="shared" ref="AU11:AU12" ca="1" si="36">IF($H11="821",$F11,0)</f>
        <v>0</v>
      </c>
      <c r="AV11" s="221">
        <f t="shared" ref="AV11:AV12" ca="1" si="37">IF($G11="911",$F11,0)</f>
        <v>0</v>
      </c>
      <c r="AW11" s="221">
        <f t="shared" ref="AW11:AW12" ca="1" si="38">IF($H11="911",$F11,0)</f>
        <v>0</v>
      </c>
    </row>
    <row r="12" spans="1:49" s="218" customFormat="1" ht="12" customHeight="1">
      <c r="A12" s="40">
        <f t="array" aca="1" ref="A12" ca="1">IF(C12&lt;&gt;0,SUM(($C$11:C12&lt;&gt;0)*1),"")</f>
        <v>2</v>
      </c>
      <c r="B12" s="219">
        <f ca="1">IF(ROWS($1:2)&gt;COUNT(Dong8),"",OFFSET(TH!C$1,SMALL(Dong8,ROWS($1:2)),))</f>
        <v>40451</v>
      </c>
      <c r="C12" s="219" t="str">
        <f ca="1">IF(ROWS($1:2)&gt;COUNT(Dong8),"",OFFSET(TH!D$1,SMALL(Dong8,ROWS($1:2)),))</f>
        <v>C02</v>
      </c>
      <c r="D12" s="219">
        <f ca="1">IF(ROWS($1:2)&gt;COUNT(Dong8),"",OFFSET(TH!E$1,SMALL(Dong8,ROWS($1:2)),))</f>
        <v>40451</v>
      </c>
      <c r="E12" s="268" t="str">
        <f ca="1">IF(ROWS($1:2)&gt;COUNT(Dong8),"",OFFSET(TH!F$1,SMALL(Dong8,ROWS($1:2)),))</f>
        <v>Lệ phí cục thuế Trà Vinh</v>
      </c>
      <c r="F12" s="269">
        <f ca="1">IF(ROWS($1:2)&gt;COUNT(Dong8),"",OFFSET(TH!I$1,SMALL(Dong8,ROWS($1:2)),))</f>
        <v>20000</v>
      </c>
      <c r="G12" s="271" t="str">
        <f ca="1">IF(ROWS($1:2)&gt;COUNT(Dong8),"",OFFSET(TH!J$1,SMALL(Dong8,ROWS($1:2)),))</f>
        <v>642</v>
      </c>
      <c r="H12" s="271" t="str">
        <f ca="1">IF(ROWS($1:2)&gt;COUNT(Dong8),"",OFFSET(TH!K$1,SMALL(Dong8,ROWS($1:2)),))</f>
        <v>1111</v>
      </c>
      <c r="I12" s="40">
        <f t="shared" ca="1" si="0"/>
        <v>2</v>
      </c>
      <c r="J12" s="221">
        <f t="shared" ca="1" si="1"/>
        <v>0</v>
      </c>
      <c r="K12" s="221">
        <f t="shared" ca="1" si="2"/>
        <v>20000</v>
      </c>
      <c r="L12" s="221">
        <f t="shared" ca="1" si="3"/>
        <v>0</v>
      </c>
      <c r="M12" s="221">
        <f t="shared" ca="1" si="4"/>
        <v>0</v>
      </c>
      <c r="N12" s="221">
        <f t="shared" ca="1" si="5"/>
        <v>0</v>
      </c>
      <c r="O12" s="221">
        <f t="shared" ca="1" si="6"/>
        <v>0</v>
      </c>
      <c r="P12" s="221">
        <f t="shared" ca="1" si="7"/>
        <v>0</v>
      </c>
      <c r="Q12" s="221">
        <f t="shared" ca="1" si="8"/>
        <v>0</v>
      </c>
      <c r="R12" s="221">
        <f t="shared" ref="R12" ca="1" si="39">IF($G12="2412",$F12,0)</f>
        <v>0</v>
      </c>
      <c r="S12" s="221">
        <f t="shared" ref="S12" ca="1" si="40">IF($H12="2412",$F12,0)</f>
        <v>0</v>
      </c>
      <c r="T12" s="221">
        <f t="shared" ca="1" si="9"/>
        <v>0</v>
      </c>
      <c r="U12" s="221">
        <f t="shared" ca="1" si="10"/>
        <v>0</v>
      </c>
      <c r="V12" s="221">
        <f t="shared" ca="1" si="11"/>
        <v>0</v>
      </c>
      <c r="W12" s="221">
        <f t="shared" ca="1" si="12"/>
        <v>0</v>
      </c>
      <c r="X12" s="221">
        <f t="shared" ca="1" si="13"/>
        <v>0</v>
      </c>
      <c r="Y12" s="221">
        <f t="shared" ca="1" si="14"/>
        <v>0</v>
      </c>
      <c r="Z12" s="221">
        <f t="shared" ca="1" si="15"/>
        <v>0</v>
      </c>
      <c r="AA12" s="221">
        <f t="shared" ca="1" si="16"/>
        <v>0</v>
      </c>
      <c r="AB12" s="221">
        <f t="shared" ca="1" si="17"/>
        <v>0</v>
      </c>
      <c r="AC12" s="221">
        <f t="shared" ca="1" si="18"/>
        <v>0</v>
      </c>
      <c r="AD12" s="221">
        <f t="shared" ca="1" si="19"/>
        <v>0</v>
      </c>
      <c r="AE12" s="221">
        <f t="shared" ca="1" si="20"/>
        <v>0</v>
      </c>
      <c r="AF12" s="221">
        <f t="shared" ca="1" si="21"/>
        <v>0</v>
      </c>
      <c r="AG12" s="221">
        <f t="shared" ca="1" si="22"/>
        <v>0</v>
      </c>
      <c r="AH12" s="221">
        <f t="shared" ca="1" si="23"/>
        <v>0</v>
      </c>
      <c r="AI12" s="221">
        <f t="shared" ca="1" si="24"/>
        <v>0</v>
      </c>
      <c r="AJ12" s="221">
        <f t="shared" ca="1" si="25"/>
        <v>0</v>
      </c>
      <c r="AK12" s="221">
        <f t="shared" ca="1" si="26"/>
        <v>0</v>
      </c>
      <c r="AL12" s="221">
        <f t="shared" ca="1" si="27"/>
        <v>0</v>
      </c>
      <c r="AM12" s="221">
        <f t="shared" ca="1" si="28"/>
        <v>0</v>
      </c>
      <c r="AN12" s="221">
        <f t="shared" ca="1" si="29"/>
        <v>20000</v>
      </c>
      <c r="AO12" s="221">
        <f t="shared" ca="1" si="30"/>
        <v>0</v>
      </c>
      <c r="AP12" s="221">
        <f t="shared" ca="1" si="31"/>
        <v>0</v>
      </c>
      <c r="AQ12" s="221">
        <f t="shared" ca="1" si="32"/>
        <v>0</v>
      </c>
      <c r="AR12" s="221">
        <f t="shared" ca="1" si="33"/>
        <v>0</v>
      </c>
      <c r="AS12" s="221">
        <f t="shared" ca="1" si="34"/>
        <v>0</v>
      </c>
      <c r="AT12" s="221">
        <f t="shared" ca="1" si="35"/>
        <v>0</v>
      </c>
      <c r="AU12" s="221">
        <f t="shared" ca="1" si="36"/>
        <v>0</v>
      </c>
      <c r="AV12" s="221">
        <f t="shared" ca="1" si="37"/>
        <v>0</v>
      </c>
      <c r="AW12" s="221">
        <f t="shared" ca="1" si="38"/>
        <v>0</v>
      </c>
    </row>
    <row r="13" spans="1:49" s="218" customFormat="1" ht="12" customHeight="1">
      <c r="A13" s="40">
        <f t="array" aca="1" ref="A13" ca="1">IF(C13&lt;&gt;0,SUM(($C$11:C13&lt;&gt;0)*1),"")</f>
        <v>3</v>
      </c>
      <c r="B13" s="222">
        <v>42277</v>
      </c>
      <c r="C13" s="222" t="s">
        <v>101</v>
      </c>
      <c r="D13" s="222">
        <f t="shared" ref="D13:D18" si="41">B13</f>
        <v>42277</v>
      </c>
      <c r="E13" s="223" t="s">
        <v>102</v>
      </c>
      <c r="F13" s="62">
        <f ca="1">AL20</f>
        <v>0</v>
      </c>
      <c r="G13" s="224" t="s">
        <v>151</v>
      </c>
      <c r="H13" s="224" t="s">
        <v>85</v>
      </c>
      <c r="I13" s="40">
        <f t="shared" ref="I13:I19" ca="1" si="42">A13</f>
        <v>3</v>
      </c>
      <c r="J13" s="221">
        <f t="shared" ref="J13:J19" si="43">IF($G13="1111",$F13,0)</f>
        <v>0</v>
      </c>
      <c r="K13" s="221">
        <f t="shared" ref="K13:K19" si="44">IF($H13="1111",$F13,0)</f>
        <v>0</v>
      </c>
      <c r="L13" s="221">
        <f t="shared" ref="L13:L19" si="45">IF($G13="1121",$F13,0)</f>
        <v>0</v>
      </c>
      <c r="M13" s="221">
        <f t="shared" ref="M13:M19" si="46">IF($H13="1121",$F13,0)</f>
        <v>0</v>
      </c>
      <c r="N13" s="221">
        <f t="shared" ref="N13:N19" si="47">IF($G13="1331",$F13,0)</f>
        <v>0</v>
      </c>
      <c r="O13" s="221">
        <f t="shared" ref="O13:O19" si="48">IF($H13="1331",$F13,0)</f>
        <v>0</v>
      </c>
      <c r="P13" s="221">
        <f t="shared" ref="P13:P19" si="49">IF($G13="1388",$F13,0)</f>
        <v>0</v>
      </c>
      <c r="Q13" s="221">
        <f t="shared" ref="Q13:Q19" si="50">IF($H13="1388",$F13,0)</f>
        <v>0</v>
      </c>
      <c r="R13" s="221">
        <f t="shared" ref="R13:R19" ca="1" si="51">IF($G13="2412",$F13,0)</f>
        <v>0</v>
      </c>
      <c r="S13" s="221">
        <f t="shared" ref="S13:S19" si="52">IF($H13="2412",$F13,0)</f>
        <v>0</v>
      </c>
      <c r="T13" s="221">
        <f t="shared" ref="T13:T19" si="53">IF($G13="331",$F13,0)</f>
        <v>0</v>
      </c>
      <c r="U13" s="221">
        <f t="shared" ref="U13:U19" si="54">IF($H13="331",$F13,0)</f>
        <v>0</v>
      </c>
      <c r="V13" s="221">
        <f t="shared" ref="V13:V19" si="55">IF($G13="3334",$F13,0)</f>
        <v>0</v>
      </c>
      <c r="W13" s="221">
        <f t="shared" ref="W13:W19" si="56">IF($H13="3334",$F13,0)</f>
        <v>0</v>
      </c>
      <c r="X13" s="221">
        <f t="shared" ref="X13:X19" si="57">IF($G13="33382",$F13,0)</f>
        <v>0</v>
      </c>
      <c r="Y13" s="221">
        <f t="shared" ref="Y13:Y19" si="58">IF($H13="33382",$F13,0)</f>
        <v>0</v>
      </c>
      <c r="Z13" s="221">
        <f t="shared" ref="Z13:Z19" si="59">IF($G13="3388",$F13,0)</f>
        <v>0</v>
      </c>
      <c r="AA13" s="221">
        <f t="shared" ref="AA13:AA19" si="60">IF($H13="3388",$F13,0)</f>
        <v>0</v>
      </c>
      <c r="AB13" s="221">
        <f t="shared" ref="AB13:AB19" si="61">IF($G13="3411",$F13,0)</f>
        <v>0</v>
      </c>
      <c r="AC13" s="221">
        <f t="shared" ref="AC13:AC19" si="62">IF($H13="3411",$F13,0)</f>
        <v>0</v>
      </c>
      <c r="AD13" s="221">
        <f t="shared" ref="AD13:AD19" si="63">IF($G13="4111",$F13,0)</f>
        <v>0</v>
      </c>
      <c r="AE13" s="221">
        <f t="shared" ref="AE13:AE19" si="64">IF($H13="4111",$F13,0)</f>
        <v>0</v>
      </c>
      <c r="AF13" s="221">
        <f t="shared" ref="AF13:AF19" si="65">IF($G13="4211",$F13,0)</f>
        <v>0</v>
      </c>
      <c r="AG13" s="221">
        <f t="shared" ref="AG13:AG19" si="66">IF($H13="4211",$F13,0)</f>
        <v>0</v>
      </c>
      <c r="AH13" s="221">
        <f t="shared" ref="AH13:AH19" si="67">IF($G13="4212",$F13,0)</f>
        <v>0</v>
      </c>
      <c r="AI13" s="221">
        <f t="shared" ref="AI13:AI19" si="68">IF($H13="4212",$F13,0)</f>
        <v>0</v>
      </c>
      <c r="AJ13" s="221">
        <f t="shared" ref="AJ13:AJ19" si="69">IF($G13="515",$F13,0)</f>
        <v>0</v>
      </c>
      <c r="AK13" s="221">
        <f t="shared" ref="AK13:AK19" si="70">IF($H13="515",$F13,0)</f>
        <v>0</v>
      </c>
      <c r="AL13" s="221">
        <f t="shared" ref="AL13:AL19" si="71">IF($G13="635",$F13,0)</f>
        <v>0</v>
      </c>
      <c r="AM13" s="221">
        <f t="shared" ref="AM13:AM19" ca="1" si="72">IF($H13="635",$F13,0)</f>
        <v>0</v>
      </c>
      <c r="AN13" s="221">
        <f t="shared" ref="AN13:AN19" si="73">IF($G13="642",$F13,0)</f>
        <v>0</v>
      </c>
      <c r="AO13" s="221">
        <f t="shared" ref="AO13:AO19" si="74">IF($H13="642",$F13,0)</f>
        <v>0</v>
      </c>
      <c r="AP13" s="221">
        <f t="shared" ref="AP13:AP19" si="75">IF($G13="711",$F13,0)</f>
        <v>0</v>
      </c>
      <c r="AQ13" s="221">
        <f t="shared" ref="AQ13:AQ19" si="76">IF($H13="711",$F13,0)</f>
        <v>0</v>
      </c>
      <c r="AR13" s="221">
        <f t="shared" ref="AR13:AR19" si="77">IF($G13="811",$F13,0)</f>
        <v>0</v>
      </c>
      <c r="AS13" s="221">
        <f t="shared" ref="AS13:AS19" si="78">IF($H13="811",$F13,0)</f>
        <v>0</v>
      </c>
      <c r="AT13" s="221">
        <f t="shared" ref="AT13:AT19" si="79">IF($G13="821",$F13,0)</f>
        <v>0</v>
      </c>
      <c r="AU13" s="221">
        <f t="shared" ref="AU13:AU19" si="80">IF($H13="821",$F13,0)</f>
        <v>0</v>
      </c>
      <c r="AV13" s="221">
        <f t="shared" ref="AV13:AV19" si="81">IF($G13="911",$F13,0)</f>
        <v>0</v>
      </c>
      <c r="AW13" s="221">
        <f t="shared" ref="AW13:AW19" si="82">IF($H13="911",$F13,0)</f>
        <v>0</v>
      </c>
    </row>
    <row r="14" spans="1:49" s="218" customFormat="1" ht="12" customHeight="1">
      <c r="A14" s="40">
        <f t="array" aca="1" ref="A14" ca="1">IF(C14&lt;&gt;0,SUM(($C$11:C14&lt;&gt;0)*1),"")</f>
        <v>4</v>
      </c>
      <c r="B14" s="222">
        <v>42277</v>
      </c>
      <c r="C14" s="222" t="s">
        <v>101</v>
      </c>
      <c r="D14" s="222">
        <f t="shared" si="41"/>
        <v>42277</v>
      </c>
      <c r="E14" s="223" t="s">
        <v>103</v>
      </c>
      <c r="F14" s="62">
        <f ca="1">AN20</f>
        <v>410000</v>
      </c>
      <c r="G14" s="224" t="s">
        <v>95</v>
      </c>
      <c r="H14" s="224" t="s">
        <v>87</v>
      </c>
      <c r="I14" s="40">
        <f t="shared" ca="1" si="42"/>
        <v>4</v>
      </c>
      <c r="J14" s="221">
        <f t="shared" si="43"/>
        <v>0</v>
      </c>
      <c r="K14" s="221">
        <f t="shared" si="44"/>
        <v>0</v>
      </c>
      <c r="L14" s="221">
        <f t="shared" si="45"/>
        <v>0</v>
      </c>
      <c r="M14" s="221">
        <f t="shared" si="46"/>
        <v>0</v>
      </c>
      <c r="N14" s="221">
        <f t="shared" si="47"/>
        <v>0</v>
      </c>
      <c r="O14" s="221">
        <f t="shared" si="48"/>
        <v>0</v>
      </c>
      <c r="P14" s="221">
        <f t="shared" si="49"/>
        <v>0</v>
      </c>
      <c r="Q14" s="221">
        <f t="shared" si="50"/>
        <v>0</v>
      </c>
      <c r="R14" s="221">
        <f t="shared" si="51"/>
        <v>0</v>
      </c>
      <c r="S14" s="221">
        <f t="shared" si="52"/>
        <v>0</v>
      </c>
      <c r="T14" s="221">
        <f t="shared" si="53"/>
        <v>0</v>
      </c>
      <c r="U14" s="221">
        <f t="shared" si="54"/>
        <v>0</v>
      </c>
      <c r="V14" s="221">
        <f t="shared" si="55"/>
        <v>0</v>
      </c>
      <c r="W14" s="221">
        <f t="shared" si="56"/>
        <v>0</v>
      </c>
      <c r="X14" s="221">
        <f t="shared" si="57"/>
        <v>0</v>
      </c>
      <c r="Y14" s="221">
        <f t="shared" si="58"/>
        <v>0</v>
      </c>
      <c r="Z14" s="221">
        <f t="shared" si="59"/>
        <v>0</v>
      </c>
      <c r="AA14" s="221">
        <f t="shared" si="60"/>
        <v>0</v>
      </c>
      <c r="AB14" s="221">
        <f t="shared" si="61"/>
        <v>0</v>
      </c>
      <c r="AC14" s="221">
        <f t="shared" si="62"/>
        <v>0</v>
      </c>
      <c r="AD14" s="221">
        <f t="shared" si="63"/>
        <v>0</v>
      </c>
      <c r="AE14" s="221">
        <f t="shared" si="64"/>
        <v>0</v>
      </c>
      <c r="AF14" s="221">
        <f t="shared" si="65"/>
        <v>0</v>
      </c>
      <c r="AG14" s="221">
        <f t="shared" si="66"/>
        <v>0</v>
      </c>
      <c r="AH14" s="221">
        <f t="shared" si="67"/>
        <v>0</v>
      </c>
      <c r="AI14" s="221">
        <f t="shared" si="68"/>
        <v>0</v>
      </c>
      <c r="AJ14" s="221">
        <f t="shared" si="69"/>
        <v>0</v>
      </c>
      <c r="AK14" s="221">
        <f t="shared" si="70"/>
        <v>0</v>
      </c>
      <c r="AL14" s="221">
        <f t="shared" si="71"/>
        <v>0</v>
      </c>
      <c r="AM14" s="221">
        <f t="shared" si="72"/>
        <v>0</v>
      </c>
      <c r="AN14" s="221">
        <f t="shared" si="73"/>
        <v>0</v>
      </c>
      <c r="AO14" s="221">
        <f t="shared" ca="1" si="74"/>
        <v>410000</v>
      </c>
      <c r="AP14" s="221">
        <f t="shared" si="75"/>
        <v>0</v>
      </c>
      <c r="AQ14" s="221">
        <f t="shared" si="76"/>
        <v>0</v>
      </c>
      <c r="AR14" s="221">
        <f t="shared" si="77"/>
        <v>0</v>
      </c>
      <c r="AS14" s="221">
        <f t="shared" si="78"/>
        <v>0</v>
      </c>
      <c r="AT14" s="221">
        <f t="shared" si="79"/>
        <v>0</v>
      </c>
      <c r="AU14" s="221">
        <f t="shared" si="80"/>
        <v>0</v>
      </c>
      <c r="AV14" s="221">
        <f t="shared" ca="1" si="81"/>
        <v>410000</v>
      </c>
      <c r="AW14" s="221">
        <f t="shared" si="82"/>
        <v>0</v>
      </c>
    </row>
    <row r="15" spans="1:49" s="218" customFormat="1" ht="12" customHeight="1">
      <c r="A15" s="40">
        <f t="array" aca="1" ref="A15" ca="1">IF(C15&lt;&gt;0,SUM(($C$11:C15&lt;&gt;0)*1),"")</f>
        <v>5</v>
      </c>
      <c r="B15" s="222">
        <v>42277</v>
      </c>
      <c r="C15" s="222" t="s">
        <v>101</v>
      </c>
      <c r="D15" s="222">
        <f t="shared" si="41"/>
        <v>42277</v>
      </c>
      <c r="E15" s="223" t="s">
        <v>192</v>
      </c>
      <c r="F15" s="62">
        <f ca="1">AV20</f>
        <v>410000</v>
      </c>
      <c r="G15" s="224" t="s">
        <v>80</v>
      </c>
      <c r="H15" s="224" t="s">
        <v>95</v>
      </c>
      <c r="I15" s="40">
        <f t="shared" ca="1" si="42"/>
        <v>5</v>
      </c>
      <c r="J15" s="221">
        <f t="shared" si="43"/>
        <v>0</v>
      </c>
      <c r="K15" s="221">
        <f t="shared" si="44"/>
        <v>0</v>
      </c>
      <c r="L15" s="221">
        <f t="shared" si="45"/>
        <v>0</v>
      </c>
      <c r="M15" s="221">
        <f t="shared" si="46"/>
        <v>0</v>
      </c>
      <c r="N15" s="221">
        <f t="shared" si="47"/>
        <v>0</v>
      </c>
      <c r="O15" s="221">
        <f t="shared" si="48"/>
        <v>0</v>
      </c>
      <c r="P15" s="221">
        <f t="shared" si="49"/>
        <v>0</v>
      </c>
      <c r="Q15" s="221">
        <f t="shared" si="50"/>
        <v>0</v>
      </c>
      <c r="R15" s="221">
        <f t="shared" si="51"/>
        <v>0</v>
      </c>
      <c r="S15" s="221">
        <f t="shared" si="52"/>
        <v>0</v>
      </c>
      <c r="T15" s="221">
        <f t="shared" si="53"/>
        <v>0</v>
      </c>
      <c r="U15" s="221">
        <f t="shared" si="54"/>
        <v>0</v>
      </c>
      <c r="V15" s="221">
        <f t="shared" si="55"/>
        <v>0</v>
      </c>
      <c r="W15" s="221">
        <f t="shared" si="56"/>
        <v>0</v>
      </c>
      <c r="X15" s="221">
        <f t="shared" si="57"/>
        <v>0</v>
      </c>
      <c r="Y15" s="221">
        <f t="shared" si="58"/>
        <v>0</v>
      </c>
      <c r="Z15" s="221">
        <f t="shared" si="59"/>
        <v>0</v>
      </c>
      <c r="AA15" s="221">
        <f t="shared" si="60"/>
        <v>0</v>
      </c>
      <c r="AB15" s="221">
        <f t="shared" si="61"/>
        <v>0</v>
      </c>
      <c r="AC15" s="221">
        <f t="shared" si="62"/>
        <v>0</v>
      </c>
      <c r="AD15" s="221">
        <f t="shared" si="63"/>
        <v>0</v>
      </c>
      <c r="AE15" s="221">
        <f t="shared" si="64"/>
        <v>0</v>
      </c>
      <c r="AF15" s="221">
        <f t="shared" si="65"/>
        <v>0</v>
      </c>
      <c r="AG15" s="221">
        <f t="shared" si="66"/>
        <v>0</v>
      </c>
      <c r="AH15" s="221">
        <f t="shared" ca="1" si="67"/>
        <v>410000</v>
      </c>
      <c r="AI15" s="221">
        <f t="shared" si="68"/>
        <v>0</v>
      </c>
      <c r="AJ15" s="221">
        <f t="shared" si="69"/>
        <v>0</v>
      </c>
      <c r="AK15" s="221">
        <f t="shared" si="70"/>
        <v>0</v>
      </c>
      <c r="AL15" s="221">
        <f t="shared" si="71"/>
        <v>0</v>
      </c>
      <c r="AM15" s="221">
        <f t="shared" si="72"/>
        <v>0</v>
      </c>
      <c r="AN15" s="221">
        <f t="shared" si="73"/>
        <v>0</v>
      </c>
      <c r="AO15" s="221">
        <f t="shared" si="74"/>
        <v>0</v>
      </c>
      <c r="AP15" s="221">
        <f t="shared" si="75"/>
        <v>0</v>
      </c>
      <c r="AQ15" s="221">
        <f t="shared" si="76"/>
        <v>0</v>
      </c>
      <c r="AR15" s="221">
        <f t="shared" si="77"/>
        <v>0</v>
      </c>
      <c r="AS15" s="221">
        <f t="shared" si="78"/>
        <v>0</v>
      </c>
      <c r="AT15" s="221">
        <f t="shared" si="79"/>
        <v>0</v>
      </c>
      <c r="AU15" s="221">
        <f t="shared" si="80"/>
        <v>0</v>
      </c>
      <c r="AV15" s="221">
        <f t="shared" si="81"/>
        <v>0</v>
      </c>
      <c r="AW15" s="221">
        <f t="shared" ca="1" si="82"/>
        <v>410000</v>
      </c>
    </row>
    <row r="16" spans="1:49" s="218" customFormat="1" ht="12" customHeight="1">
      <c r="A16" s="40">
        <f t="array" aca="1" ref="A16" ca="1">IF(C16&lt;&gt;0,SUM(($C$11:C16&lt;&gt;0)*1),"")</f>
        <v>6</v>
      </c>
      <c r="B16" s="222">
        <v>42277</v>
      </c>
      <c r="C16" s="222" t="s">
        <v>101</v>
      </c>
      <c r="D16" s="222">
        <f t="shared" si="41"/>
        <v>42277</v>
      </c>
      <c r="E16" s="223" t="s">
        <v>105</v>
      </c>
      <c r="F16" s="62">
        <f ca="1">AK20</f>
        <v>0</v>
      </c>
      <c r="G16" s="224" t="s">
        <v>34</v>
      </c>
      <c r="H16" s="224" t="s">
        <v>95</v>
      </c>
      <c r="I16" s="40">
        <f t="shared" ca="1" si="42"/>
        <v>6</v>
      </c>
      <c r="J16" s="221">
        <f t="shared" si="43"/>
        <v>0</v>
      </c>
      <c r="K16" s="221">
        <f t="shared" si="44"/>
        <v>0</v>
      </c>
      <c r="L16" s="221">
        <f t="shared" si="45"/>
        <v>0</v>
      </c>
      <c r="M16" s="221">
        <f t="shared" si="46"/>
        <v>0</v>
      </c>
      <c r="N16" s="221">
        <f t="shared" si="47"/>
        <v>0</v>
      </c>
      <c r="O16" s="221">
        <f t="shared" si="48"/>
        <v>0</v>
      </c>
      <c r="P16" s="221">
        <f t="shared" si="49"/>
        <v>0</v>
      </c>
      <c r="Q16" s="221">
        <f t="shared" si="50"/>
        <v>0</v>
      </c>
      <c r="R16" s="221">
        <f t="shared" si="51"/>
        <v>0</v>
      </c>
      <c r="S16" s="221">
        <f t="shared" si="52"/>
        <v>0</v>
      </c>
      <c r="T16" s="221">
        <f t="shared" si="53"/>
        <v>0</v>
      </c>
      <c r="U16" s="221">
        <f t="shared" si="54"/>
        <v>0</v>
      </c>
      <c r="V16" s="221">
        <f t="shared" si="55"/>
        <v>0</v>
      </c>
      <c r="W16" s="221">
        <f t="shared" si="56"/>
        <v>0</v>
      </c>
      <c r="X16" s="221">
        <f t="shared" si="57"/>
        <v>0</v>
      </c>
      <c r="Y16" s="221">
        <f t="shared" si="58"/>
        <v>0</v>
      </c>
      <c r="Z16" s="221">
        <f t="shared" si="59"/>
        <v>0</v>
      </c>
      <c r="AA16" s="221">
        <f t="shared" si="60"/>
        <v>0</v>
      </c>
      <c r="AB16" s="221">
        <f t="shared" si="61"/>
        <v>0</v>
      </c>
      <c r="AC16" s="221">
        <f t="shared" si="62"/>
        <v>0</v>
      </c>
      <c r="AD16" s="221">
        <f t="shared" si="63"/>
        <v>0</v>
      </c>
      <c r="AE16" s="221">
        <f t="shared" si="64"/>
        <v>0</v>
      </c>
      <c r="AF16" s="221">
        <f t="shared" si="65"/>
        <v>0</v>
      </c>
      <c r="AG16" s="221">
        <f t="shared" si="66"/>
        <v>0</v>
      </c>
      <c r="AH16" s="221">
        <f t="shared" si="67"/>
        <v>0</v>
      </c>
      <c r="AI16" s="221">
        <f t="shared" si="68"/>
        <v>0</v>
      </c>
      <c r="AJ16" s="221">
        <f t="shared" ca="1" si="69"/>
        <v>0</v>
      </c>
      <c r="AK16" s="221">
        <f t="shared" si="70"/>
        <v>0</v>
      </c>
      <c r="AL16" s="221">
        <f t="shared" si="71"/>
        <v>0</v>
      </c>
      <c r="AM16" s="221">
        <f t="shared" si="72"/>
        <v>0</v>
      </c>
      <c r="AN16" s="221">
        <f t="shared" si="73"/>
        <v>0</v>
      </c>
      <c r="AO16" s="221">
        <f t="shared" si="74"/>
        <v>0</v>
      </c>
      <c r="AP16" s="221">
        <f t="shared" si="75"/>
        <v>0</v>
      </c>
      <c r="AQ16" s="221">
        <f t="shared" si="76"/>
        <v>0</v>
      </c>
      <c r="AR16" s="221">
        <f t="shared" si="77"/>
        <v>0</v>
      </c>
      <c r="AS16" s="221">
        <f t="shared" si="78"/>
        <v>0</v>
      </c>
      <c r="AT16" s="221">
        <f t="shared" si="79"/>
        <v>0</v>
      </c>
      <c r="AU16" s="221">
        <f t="shared" si="80"/>
        <v>0</v>
      </c>
      <c r="AV16" s="221">
        <f t="shared" si="81"/>
        <v>0</v>
      </c>
      <c r="AW16" s="221">
        <f t="shared" ca="1" si="82"/>
        <v>0</v>
      </c>
    </row>
    <row r="17" spans="1:49" s="218" customFormat="1" ht="12" customHeight="1">
      <c r="A17" s="40">
        <f t="array" aca="1" ref="A17" ca="1">IF(C17&lt;&gt;0,SUM(($C$11:C17&lt;&gt;0)*1),"")</f>
        <v>7</v>
      </c>
      <c r="B17" s="222">
        <v>42277</v>
      </c>
      <c r="C17" s="222" t="s">
        <v>101</v>
      </c>
      <c r="D17" s="222">
        <f t="shared" si="41"/>
        <v>42277</v>
      </c>
      <c r="E17" s="223" t="s">
        <v>106</v>
      </c>
      <c r="F17" s="62">
        <f ca="1">AQ20</f>
        <v>0</v>
      </c>
      <c r="G17" s="224" t="s">
        <v>89</v>
      </c>
      <c r="H17" s="224" t="s">
        <v>95</v>
      </c>
      <c r="I17" s="40">
        <f t="shared" ca="1" si="42"/>
        <v>7</v>
      </c>
      <c r="J17" s="221">
        <f t="shared" si="43"/>
        <v>0</v>
      </c>
      <c r="K17" s="221">
        <f t="shared" si="44"/>
        <v>0</v>
      </c>
      <c r="L17" s="221">
        <f t="shared" si="45"/>
        <v>0</v>
      </c>
      <c r="M17" s="221">
        <f t="shared" si="46"/>
        <v>0</v>
      </c>
      <c r="N17" s="221">
        <f t="shared" si="47"/>
        <v>0</v>
      </c>
      <c r="O17" s="221">
        <f t="shared" si="48"/>
        <v>0</v>
      </c>
      <c r="P17" s="221">
        <f t="shared" si="49"/>
        <v>0</v>
      </c>
      <c r="Q17" s="221">
        <f t="shared" si="50"/>
        <v>0</v>
      </c>
      <c r="R17" s="221">
        <f t="shared" si="51"/>
        <v>0</v>
      </c>
      <c r="S17" s="221">
        <f t="shared" si="52"/>
        <v>0</v>
      </c>
      <c r="T17" s="221">
        <f t="shared" si="53"/>
        <v>0</v>
      </c>
      <c r="U17" s="221">
        <f t="shared" si="54"/>
        <v>0</v>
      </c>
      <c r="V17" s="221">
        <f t="shared" si="55"/>
        <v>0</v>
      </c>
      <c r="W17" s="221">
        <f t="shared" si="56"/>
        <v>0</v>
      </c>
      <c r="X17" s="221">
        <f t="shared" si="57"/>
        <v>0</v>
      </c>
      <c r="Y17" s="221">
        <f t="shared" si="58"/>
        <v>0</v>
      </c>
      <c r="Z17" s="221">
        <f t="shared" si="59"/>
        <v>0</v>
      </c>
      <c r="AA17" s="221">
        <f t="shared" si="60"/>
        <v>0</v>
      </c>
      <c r="AB17" s="221">
        <f t="shared" si="61"/>
        <v>0</v>
      </c>
      <c r="AC17" s="221">
        <f t="shared" si="62"/>
        <v>0</v>
      </c>
      <c r="AD17" s="221">
        <f t="shared" si="63"/>
        <v>0</v>
      </c>
      <c r="AE17" s="221">
        <f t="shared" si="64"/>
        <v>0</v>
      </c>
      <c r="AF17" s="221">
        <f t="shared" si="65"/>
        <v>0</v>
      </c>
      <c r="AG17" s="221">
        <f t="shared" si="66"/>
        <v>0</v>
      </c>
      <c r="AH17" s="221">
        <f t="shared" si="67"/>
        <v>0</v>
      </c>
      <c r="AI17" s="221">
        <f t="shared" si="68"/>
        <v>0</v>
      </c>
      <c r="AJ17" s="221">
        <f t="shared" si="69"/>
        <v>0</v>
      </c>
      <c r="AK17" s="221">
        <f t="shared" si="70"/>
        <v>0</v>
      </c>
      <c r="AL17" s="221">
        <f t="shared" si="71"/>
        <v>0</v>
      </c>
      <c r="AM17" s="221">
        <f t="shared" si="72"/>
        <v>0</v>
      </c>
      <c r="AN17" s="221">
        <f t="shared" si="73"/>
        <v>0</v>
      </c>
      <c r="AO17" s="221">
        <f t="shared" si="74"/>
        <v>0</v>
      </c>
      <c r="AP17" s="221">
        <f t="shared" ca="1" si="75"/>
        <v>0</v>
      </c>
      <c r="AQ17" s="221">
        <f t="shared" si="76"/>
        <v>0</v>
      </c>
      <c r="AR17" s="221">
        <f t="shared" si="77"/>
        <v>0</v>
      </c>
      <c r="AS17" s="221">
        <f t="shared" si="78"/>
        <v>0</v>
      </c>
      <c r="AT17" s="221">
        <f t="shared" si="79"/>
        <v>0</v>
      </c>
      <c r="AU17" s="221">
        <f t="shared" si="80"/>
        <v>0</v>
      </c>
      <c r="AV17" s="221">
        <f t="shared" si="81"/>
        <v>0</v>
      </c>
      <c r="AW17" s="221">
        <f t="shared" ca="1" si="82"/>
        <v>0</v>
      </c>
    </row>
    <row r="18" spans="1:49" s="218" customFormat="1" ht="12" customHeight="1">
      <c r="A18" s="40">
        <f t="array" aca="1" ref="A18" ca="1">IF(C18&lt;&gt;0,SUM(($C$11:C18&lt;&gt;0)*1),"")</f>
        <v>8</v>
      </c>
      <c r="B18" s="222">
        <v>42277</v>
      </c>
      <c r="C18" s="222" t="s">
        <v>101</v>
      </c>
      <c r="D18" s="222">
        <f t="shared" si="41"/>
        <v>42277</v>
      </c>
      <c r="E18" s="223" t="s">
        <v>107</v>
      </c>
      <c r="F18" s="62">
        <f ca="1">AR20</f>
        <v>0</v>
      </c>
      <c r="G18" s="224" t="s">
        <v>95</v>
      </c>
      <c r="H18" s="224" t="s">
        <v>91</v>
      </c>
      <c r="I18" s="40">
        <f t="shared" ca="1" si="42"/>
        <v>8</v>
      </c>
      <c r="J18" s="221">
        <f t="shared" si="43"/>
        <v>0</v>
      </c>
      <c r="K18" s="221">
        <f t="shared" si="44"/>
        <v>0</v>
      </c>
      <c r="L18" s="221">
        <f t="shared" si="45"/>
        <v>0</v>
      </c>
      <c r="M18" s="221">
        <f t="shared" si="46"/>
        <v>0</v>
      </c>
      <c r="N18" s="221">
        <f t="shared" si="47"/>
        <v>0</v>
      </c>
      <c r="O18" s="221">
        <f t="shared" si="48"/>
        <v>0</v>
      </c>
      <c r="P18" s="221">
        <f t="shared" si="49"/>
        <v>0</v>
      </c>
      <c r="Q18" s="221">
        <f t="shared" si="50"/>
        <v>0</v>
      </c>
      <c r="R18" s="221">
        <f t="shared" si="51"/>
        <v>0</v>
      </c>
      <c r="S18" s="221">
        <f t="shared" si="52"/>
        <v>0</v>
      </c>
      <c r="T18" s="221">
        <f t="shared" si="53"/>
        <v>0</v>
      </c>
      <c r="U18" s="221">
        <f t="shared" si="54"/>
        <v>0</v>
      </c>
      <c r="V18" s="221">
        <f t="shared" si="55"/>
        <v>0</v>
      </c>
      <c r="W18" s="221">
        <f t="shared" si="56"/>
        <v>0</v>
      </c>
      <c r="X18" s="221">
        <f t="shared" si="57"/>
        <v>0</v>
      </c>
      <c r="Y18" s="221">
        <f t="shared" si="58"/>
        <v>0</v>
      </c>
      <c r="Z18" s="221">
        <f t="shared" si="59"/>
        <v>0</v>
      </c>
      <c r="AA18" s="221">
        <f t="shared" si="60"/>
        <v>0</v>
      </c>
      <c r="AB18" s="221">
        <f t="shared" si="61"/>
        <v>0</v>
      </c>
      <c r="AC18" s="221">
        <f t="shared" si="62"/>
        <v>0</v>
      </c>
      <c r="AD18" s="221">
        <f t="shared" si="63"/>
        <v>0</v>
      </c>
      <c r="AE18" s="221">
        <f t="shared" si="64"/>
        <v>0</v>
      </c>
      <c r="AF18" s="221">
        <f t="shared" si="65"/>
        <v>0</v>
      </c>
      <c r="AG18" s="221">
        <f t="shared" si="66"/>
        <v>0</v>
      </c>
      <c r="AH18" s="221">
        <f t="shared" si="67"/>
        <v>0</v>
      </c>
      <c r="AI18" s="221">
        <f t="shared" si="68"/>
        <v>0</v>
      </c>
      <c r="AJ18" s="221">
        <f t="shared" si="69"/>
        <v>0</v>
      </c>
      <c r="AK18" s="221">
        <f t="shared" si="70"/>
        <v>0</v>
      </c>
      <c r="AL18" s="221">
        <f t="shared" si="71"/>
        <v>0</v>
      </c>
      <c r="AM18" s="221">
        <f t="shared" si="72"/>
        <v>0</v>
      </c>
      <c r="AN18" s="221">
        <f t="shared" si="73"/>
        <v>0</v>
      </c>
      <c r="AO18" s="221">
        <f t="shared" si="74"/>
        <v>0</v>
      </c>
      <c r="AP18" s="221">
        <f t="shared" si="75"/>
        <v>0</v>
      </c>
      <c r="AQ18" s="221">
        <f t="shared" si="76"/>
        <v>0</v>
      </c>
      <c r="AR18" s="221">
        <f t="shared" si="77"/>
        <v>0</v>
      </c>
      <c r="AS18" s="221">
        <f t="shared" ca="1" si="78"/>
        <v>0</v>
      </c>
      <c r="AT18" s="221">
        <f t="shared" si="79"/>
        <v>0</v>
      </c>
      <c r="AU18" s="221">
        <f t="shared" si="80"/>
        <v>0</v>
      </c>
      <c r="AV18" s="221">
        <f t="shared" ca="1" si="81"/>
        <v>0</v>
      </c>
      <c r="AW18" s="221">
        <f t="shared" si="82"/>
        <v>0</v>
      </c>
    </row>
    <row r="19" spans="1:49" s="218" customFormat="1" ht="12" customHeight="1">
      <c r="A19" s="40" t="str">
        <f t="array" ref="A19">IF(C19&lt;&gt;0,SUM(($C$11:C19&lt;&gt;0)*1),"")</f>
        <v/>
      </c>
      <c r="B19" s="169"/>
      <c r="C19" s="225"/>
      <c r="D19" s="169"/>
      <c r="E19" s="220"/>
      <c r="F19" s="42"/>
      <c r="G19" s="226"/>
      <c r="H19" s="226"/>
      <c r="I19" s="40" t="str">
        <f t="shared" si="42"/>
        <v/>
      </c>
      <c r="J19" s="221">
        <f t="shared" si="43"/>
        <v>0</v>
      </c>
      <c r="K19" s="221">
        <f t="shared" si="44"/>
        <v>0</v>
      </c>
      <c r="L19" s="221">
        <f t="shared" si="45"/>
        <v>0</v>
      </c>
      <c r="M19" s="221">
        <f t="shared" si="46"/>
        <v>0</v>
      </c>
      <c r="N19" s="221">
        <f t="shared" si="47"/>
        <v>0</v>
      </c>
      <c r="O19" s="221">
        <f t="shared" si="48"/>
        <v>0</v>
      </c>
      <c r="P19" s="221">
        <f t="shared" si="49"/>
        <v>0</v>
      </c>
      <c r="Q19" s="221">
        <f t="shared" si="50"/>
        <v>0</v>
      </c>
      <c r="R19" s="221">
        <f t="shared" si="51"/>
        <v>0</v>
      </c>
      <c r="S19" s="221">
        <f t="shared" si="52"/>
        <v>0</v>
      </c>
      <c r="T19" s="221">
        <f t="shared" si="53"/>
        <v>0</v>
      </c>
      <c r="U19" s="221">
        <f t="shared" si="54"/>
        <v>0</v>
      </c>
      <c r="V19" s="221">
        <f t="shared" si="55"/>
        <v>0</v>
      </c>
      <c r="W19" s="221">
        <f t="shared" si="56"/>
        <v>0</v>
      </c>
      <c r="X19" s="221">
        <f t="shared" si="57"/>
        <v>0</v>
      </c>
      <c r="Y19" s="221">
        <f t="shared" si="58"/>
        <v>0</v>
      </c>
      <c r="Z19" s="221">
        <f t="shared" si="59"/>
        <v>0</v>
      </c>
      <c r="AA19" s="221">
        <f t="shared" si="60"/>
        <v>0</v>
      </c>
      <c r="AB19" s="221">
        <f t="shared" si="61"/>
        <v>0</v>
      </c>
      <c r="AC19" s="221">
        <f t="shared" si="62"/>
        <v>0</v>
      </c>
      <c r="AD19" s="221">
        <f t="shared" si="63"/>
        <v>0</v>
      </c>
      <c r="AE19" s="221">
        <f t="shared" si="64"/>
        <v>0</v>
      </c>
      <c r="AF19" s="221">
        <f t="shared" si="65"/>
        <v>0</v>
      </c>
      <c r="AG19" s="221">
        <f t="shared" si="66"/>
        <v>0</v>
      </c>
      <c r="AH19" s="221">
        <f t="shared" si="67"/>
        <v>0</v>
      </c>
      <c r="AI19" s="221">
        <f t="shared" si="68"/>
        <v>0</v>
      </c>
      <c r="AJ19" s="221">
        <f t="shared" si="69"/>
        <v>0</v>
      </c>
      <c r="AK19" s="221">
        <f t="shared" si="70"/>
        <v>0</v>
      </c>
      <c r="AL19" s="221">
        <f t="shared" si="71"/>
        <v>0</v>
      </c>
      <c r="AM19" s="221">
        <f t="shared" si="72"/>
        <v>0</v>
      </c>
      <c r="AN19" s="221">
        <f t="shared" si="73"/>
        <v>0</v>
      </c>
      <c r="AO19" s="221">
        <f t="shared" si="74"/>
        <v>0</v>
      </c>
      <c r="AP19" s="221">
        <f t="shared" si="75"/>
        <v>0</v>
      </c>
      <c r="AQ19" s="221">
        <f t="shared" si="76"/>
        <v>0</v>
      </c>
      <c r="AR19" s="221">
        <f t="shared" si="77"/>
        <v>0</v>
      </c>
      <c r="AS19" s="221">
        <f t="shared" si="78"/>
        <v>0</v>
      </c>
      <c r="AT19" s="221">
        <f t="shared" si="79"/>
        <v>0</v>
      </c>
      <c r="AU19" s="221">
        <f t="shared" si="80"/>
        <v>0</v>
      </c>
      <c r="AV19" s="221">
        <f t="shared" si="81"/>
        <v>0</v>
      </c>
      <c r="AW19" s="221">
        <f t="shared" si="82"/>
        <v>0</v>
      </c>
    </row>
    <row r="20" spans="1:49" s="218" customFormat="1" ht="12" customHeight="1">
      <c r="A20" s="227"/>
      <c r="B20" s="227"/>
      <c r="C20" s="254"/>
      <c r="D20" s="227"/>
      <c r="E20" s="220" t="s">
        <v>155</v>
      </c>
      <c r="F20" s="227"/>
      <c r="G20" s="226"/>
      <c r="H20" s="226"/>
      <c r="I20" s="227"/>
      <c r="J20" s="227">
        <f t="shared" ref="J20:AW20" ca="1" si="83">SUM(J11:J19)</f>
        <v>0</v>
      </c>
      <c r="K20" s="227">
        <f t="shared" ca="1" si="83"/>
        <v>410000</v>
      </c>
      <c r="L20" s="227">
        <f t="shared" ca="1" si="83"/>
        <v>0</v>
      </c>
      <c r="M20" s="227">
        <f t="shared" ca="1" si="83"/>
        <v>0</v>
      </c>
      <c r="N20" s="227">
        <f t="shared" ca="1" si="83"/>
        <v>0</v>
      </c>
      <c r="O20" s="227">
        <f t="shared" ca="1" si="83"/>
        <v>0</v>
      </c>
      <c r="P20" s="227">
        <f t="shared" ca="1" si="83"/>
        <v>0</v>
      </c>
      <c r="Q20" s="227">
        <f t="shared" ca="1" si="83"/>
        <v>0</v>
      </c>
      <c r="R20" s="227">
        <f t="shared" ca="1" si="83"/>
        <v>0</v>
      </c>
      <c r="S20" s="227">
        <f t="shared" ca="1" si="83"/>
        <v>0</v>
      </c>
      <c r="T20" s="227">
        <f t="shared" ca="1" si="83"/>
        <v>0</v>
      </c>
      <c r="U20" s="227">
        <f t="shared" ca="1" si="83"/>
        <v>0</v>
      </c>
      <c r="V20" s="227">
        <f t="shared" ca="1" si="83"/>
        <v>0</v>
      </c>
      <c r="W20" s="227">
        <f t="shared" ca="1" si="83"/>
        <v>0</v>
      </c>
      <c r="X20" s="227">
        <f t="shared" ca="1" si="83"/>
        <v>0</v>
      </c>
      <c r="Y20" s="227">
        <f t="shared" ca="1" si="83"/>
        <v>0</v>
      </c>
      <c r="Z20" s="227">
        <f t="shared" ca="1" si="83"/>
        <v>0</v>
      </c>
      <c r="AA20" s="227">
        <f t="shared" ca="1" si="83"/>
        <v>0</v>
      </c>
      <c r="AB20" s="227">
        <f t="shared" ca="1" si="83"/>
        <v>0</v>
      </c>
      <c r="AC20" s="227">
        <f t="shared" ca="1" si="83"/>
        <v>0</v>
      </c>
      <c r="AD20" s="227">
        <f t="shared" ca="1" si="83"/>
        <v>0</v>
      </c>
      <c r="AE20" s="227">
        <f t="shared" ca="1" si="83"/>
        <v>0</v>
      </c>
      <c r="AF20" s="227">
        <f t="shared" ca="1" si="83"/>
        <v>0</v>
      </c>
      <c r="AG20" s="227">
        <f t="shared" ca="1" si="83"/>
        <v>0</v>
      </c>
      <c r="AH20" s="227">
        <f t="shared" ca="1" si="83"/>
        <v>410000</v>
      </c>
      <c r="AI20" s="227">
        <f t="shared" ca="1" si="83"/>
        <v>0</v>
      </c>
      <c r="AJ20" s="227">
        <f t="shared" ca="1" si="83"/>
        <v>0</v>
      </c>
      <c r="AK20" s="227">
        <f t="shared" ca="1" si="83"/>
        <v>0</v>
      </c>
      <c r="AL20" s="227">
        <f t="shared" ca="1" si="83"/>
        <v>0</v>
      </c>
      <c r="AM20" s="227">
        <f t="shared" ca="1" si="83"/>
        <v>0</v>
      </c>
      <c r="AN20" s="227">
        <f t="shared" ca="1" si="83"/>
        <v>410000</v>
      </c>
      <c r="AO20" s="227">
        <f t="shared" ca="1" si="83"/>
        <v>410000</v>
      </c>
      <c r="AP20" s="227">
        <f t="shared" ca="1" si="83"/>
        <v>0</v>
      </c>
      <c r="AQ20" s="227">
        <f t="shared" ca="1" si="83"/>
        <v>0</v>
      </c>
      <c r="AR20" s="227">
        <f t="shared" ca="1" si="83"/>
        <v>0</v>
      </c>
      <c r="AS20" s="227">
        <f t="shared" ca="1" si="83"/>
        <v>0</v>
      </c>
      <c r="AT20" s="227">
        <f t="shared" ca="1" si="83"/>
        <v>0</v>
      </c>
      <c r="AU20" s="227">
        <f t="shared" ca="1" si="83"/>
        <v>0</v>
      </c>
      <c r="AV20" s="227">
        <f t="shared" ca="1" si="83"/>
        <v>410000</v>
      </c>
      <c r="AW20" s="227">
        <f t="shared" ca="1" si="83"/>
        <v>410000</v>
      </c>
    </row>
    <row r="21" spans="1:49" s="218" customFormat="1" ht="12" customHeight="1">
      <c r="A21" s="228"/>
      <c r="B21" s="228"/>
      <c r="C21" s="228"/>
      <c r="D21" s="228"/>
      <c r="E21" s="229" t="s">
        <v>193</v>
      </c>
      <c r="F21" s="228"/>
      <c r="G21" s="230"/>
      <c r="H21" s="230"/>
      <c r="I21" s="228"/>
      <c r="J21" s="250">
        <f ca="1">MAX(J10+J20-K10-K20,0)</f>
        <v>3994790000</v>
      </c>
      <c r="K21" s="250">
        <f ca="1">MAX(K10+K20-J10-J20,0)</f>
        <v>0</v>
      </c>
      <c r="L21" s="250">
        <f ca="1">MAX(L10+L20-M10-M20,0)</f>
        <v>0</v>
      </c>
      <c r="M21" s="250">
        <f ca="1">MAX(M10+M20-L10-L20,0)</f>
        <v>0</v>
      </c>
      <c r="N21" s="250">
        <f ca="1">MAX(N10+N20-O10-O20,0)</f>
        <v>0</v>
      </c>
      <c r="O21" s="250">
        <f ca="1">MAX(O10+O20-N10-N20,0)</f>
        <v>0</v>
      </c>
      <c r="P21" s="250">
        <f ca="1">MAX(P10+P20-Q10-Q20,0)</f>
        <v>0</v>
      </c>
      <c r="Q21" s="250">
        <f ca="1">MAX(Q10+Q20-P10-P20,0)</f>
        <v>0</v>
      </c>
      <c r="R21" s="250">
        <f ca="1">MAX(R10+R20-S10-S20,0)</f>
        <v>0</v>
      </c>
      <c r="S21" s="250">
        <f ca="1">MAX(S10+S20-R10-R20,0)</f>
        <v>0</v>
      </c>
      <c r="T21" s="250">
        <f ca="1">MAX(T10+T20-U10-U20,0)</f>
        <v>0</v>
      </c>
      <c r="U21" s="250">
        <f ca="1">MAX(U10+U20-T10-T20,0)</f>
        <v>0</v>
      </c>
      <c r="V21" s="250">
        <f ca="1">MAX(V10+V20-W10-W20,0)</f>
        <v>0</v>
      </c>
      <c r="W21" s="250">
        <f ca="1">MAX(W10+W20-V10-V20,0)</f>
        <v>0</v>
      </c>
      <c r="X21" s="250">
        <f ca="1">MAX(X10+X20-Y10-Y20,0)</f>
        <v>0</v>
      </c>
      <c r="Y21" s="250">
        <f ca="1">MAX(Y10+Y20-X10-X20,0)</f>
        <v>0</v>
      </c>
      <c r="Z21" s="250">
        <f ca="1">MAX(Z10+Z20-AA10-AA20,0)</f>
        <v>0</v>
      </c>
      <c r="AA21" s="250">
        <f ca="1">MAX(AA10+AA20-Z10-Z20,0)</f>
        <v>0</v>
      </c>
      <c r="AB21" s="250">
        <f ca="1">MAX(AB10+AB20-AC10-AC20,0)</f>
        <v>0</v>
      </c>
      <c r="AC21" s="250">
        <f ca="1">MAX(AC10+AC20-AB10-AB20,0)</f>
        <v>0</v>
      </c>
      <c r="AD21" s="250">
        <f ca="1">MAX(AD10+AD20-AE10-AE20,0)</f>
        <v>0</v>
      </c>
      <c r="AE21" s="250">
        <f ca="1">MAX(AE10+AE20-AD10-AD20,0)</f>
        <v>4000000000</v>
      </c>
      <c r="AF21" s="250">
        <f ca="1">MAX(AF10+AF20-AG10-AG20,0)</f>
        <v>0</v>
      </c>
      <c r="AG21" s="250">
        <f ca="1">MAX(AG10+AG20-AF10-AF20,0)</f>
        <v>0</v>
      </c>
      <c r="AH21" s="250">
        <f ca="1">MAX(AH10+AH20-AI10-AI20,0)</f>
        <v>5210000</v>
      </c>
      <c r="AI21" s="250">
        <f ca="1">MAX(AI10+AI20-AH10-AH20,0)</f>
        <v>0</v>
      </c>
      <c r="AJ21" s="250">
        <f ca="1">MAX(AJ10+AJ20-AK10-AK20,0)</f>
        <v>0</v>
      </c>
      <c r="AK21" s="250">
        <f ca="1">MAX(AK10+AK20-AJ10-AJ20,0)</f>
        <v>0</v>
      </c>
      <c r="AL21" s="250">
        <f ca="1">MAX(AL10+AL20-AM10-AM20,0)</f>
        <v>0</v>
      </c>
      <c r="AM21" s="250">
        <f ca="1">MAX(AM10+AM20-AL10-AL20,0)</f>
        <v>0</v>
      </c>
      <c r="AN21" s="250">
        <f ca="1">MAX(AN10+AN20-AO10-AO20,0)</f>
        <v>0</v>
      </c>
      <c r="AO21" s="250">
        <f ca="1">MAX(AO10+AO20-AN10-AN20,0)</f>
        <v>0</v>
      </c>
      <c r="AP21" s="250">
        <f ca="1">MAX(AP10+AP20-AQ10-AQ20,0)</f>
        <v>0</v>
      </c>
      <c r="AQ21" s="250">
        <f ca="1">MAX(AQ10+AQ20-AP10-AP20,0)</f>
        <v>0</v>
      </c>
      <c r="AR21" s="250">
        <f ca="1">MAX(AR10+AR20-AS10-AS20,0)</f>
        <v>0</v>
      </c>
      <c r="AS21" s="250">
        <f ca="1">MAX(AS10+AS20-AR10-AR20,0)</f>
        <v>0</v>
      </c>
      <c r="AT21" s="250">
        <f ca="1">MAX(AT10+AT20-AU10-AU20,0)</f>
        <v>0</v>
      </c>
      <c r="AU21" s="250">
        <f ca="1">MAX(AU10+AU20-AT10-AT20,0)</f>
        <v>0</v>
      </c>
      <c r="AV21" s="250">
        <f ca="1">MAX(AV10+AV20-AW10-AW20,0)</f>
        <v>0</v>
      </c>
      <c r="AW21" s="250">
        <f ca="1">MAX(AW10+AW20-AV10-AV20,0)</f>
        <v>0</v>
      </c>
    </row>
    <row r="22" spans="1:49" s="218" customFormat="1" ht="12" customHeight="1">
      <c r="A22" s="232"/>
      <c r="B22" s="232"/>
      <c r="C22" s="233"/>
      <c r="D22" s="232"/>
      <c r="E22" s="234" t="s">
        <v>194</v>
      </c>
      <c r="F22" s="232"/>
      <c r="G22" s="235"/>
      <c r="H22" s="235"/>
      <c r="I22" s="232"/>
      <c r="J22" s="232">
        <f ca="1">J20+'04-06'!J23</f>
        <v>0</v>
      </c>
      <c r="K22" s="232">
        <f ca="1">K20+'04-06'!K23</f>
        <v>1910000</v>
      </c>
      <c r="L22" s="232">
        <f ca="1">L20+'04-06'!L23</f>
        <v>0</v>
      </c>
      <c r="M22" s="232">
        <f ca="1">M20+'04-06'!M23</f>
        <v>0</v>
      </c>
      <c r="N22" s="232">
        <f ca="1">N20+'04-06'!N23</f>
        <v>0</v>
      </c>
      <c r="O22" s="232">
        <f ca="1">O20+'04-06'!O23</f>
        <v>0</v>
      </c>
      <c r="P22" s="232">
        <f ca="1">P20+'04-06'!P23</f>
        <v>0</v>
      </c>
      <c r="Q22" s="232">
        <f ca="1">Q20+'04-06'!Q23</f>
        <v>0</v>
      </c>
      <c r="R22" s="232">
        <f ca="1">R20+'04-06'!R23</f>
        <v>0</v>
      </c>
      <c r="S22" s="232">
        <f ca="1">S20+'04-06'!S23</f>
        <v>0</v>
      </c>
      <c r="T22" s="232">
        <f ca="1">T20+'04-06'!T23</f>
        <v>0</v>
      </c>
      <c r="U22" s="232">
        <f ca="1">U20+'04-06'!U23</f>
        <v>0</v>
      </c>
      <c r="V22" s="232">
        <f ca="1">V20+'04-06'!V23</f>
        <v>0</v>
      </c>
      <c r="W22" s="232">
        <f ca="1">W20+'04-06'!W23</f>
        <v>0</v>
      </c>
      <c r="X22" s="232">
        <f ca="1">X20+'04-06'!X23</f>
        <v>1500000</v>
      </c>
      <c r="Y22" s="232">
        <f ca="1">Y20+'04-06'!Y23</f>
        <v>1500000</v>
      </c>
      <c r="Z22" s="232">
        <f ca="1">Z20+'04-06'!Z23</f>
        <v>0</v>
      </c>
      <c r="AA22" s="232">
        <f ca="1">AA20+'04-06'!AA23</f>
        <v>0</v>
      </c>
      <c r="AB22" s="232">
        <f ca="1">AB20+'04-06'!AB23</f>
        <v>0</v>
      </c>
      <c r="AC22" s="232">
        <f ca="1">AC20+'04-06'!AC23</f>
        <v>0</v>
      </c>
      <c r="AD22" s="232">
        <f ca="1">AD20+'04-06'!AD23</f>
        <v>0</v>
      </c>
      <c r="AE22" s="232">
        <f ca="1">AE20+'04-06'!AE23</f>
        <v>0</v>
      </c>
      <c r="AF22" s="232">
        <f ca="1">AF20+'04-06'!AF23</f>
        <v>0</v>
      </c>
      <c r="AG22" s="232">
        <f ca="1">AG20+'04-06'!AG23</f>
        <v>0</v>
      </c>
      <c r="AH22" s="232">
        <f ca="1">AH20+'04-06'!AH23</f>
        <v>1910000</v>
      </c>
      <c r="AI22" s="232">
        <f ca="1">AI20+'04-06'!AI23</f>
        <v>0</v>
      </c>
      <c r="AJ22" s="232">
        <f ca="1">AJ20+'04-06'!AJ23</f>
        <v>0</v>
      </c>
      <c r="AK22" s="232">
        <f ca="1">AK20+'04-06'!AK23</f>
        <v>0</v>
      </c>
      <c r="AL22" s="232">
        <f ca="1">AL20+'04-06'!AL23</f>
        <v>0</v>
      </c>
      <c r="AM22" s="232">
        <f ca="1">AM20+'04-06'!AM23</f>
        <v>0</v>
      </c>
      <c r="AN22" s="232">
        <f ca="1">AN20+'04-06'!AN23</f>
        <v>1910000</v>
      </c>
      <c r="AO22" s="232">
        <f ca="1">AO20+'04-06'!AO23</f>
        <v>1910000</v>
      </c>
      <c r="AP22" s="232">
        <f ca="1">AP20+'04-06'!AP23</f>
        <v>0</v>
      </c>
      <c r="AQ22" s="232">
        <f ca="1">AQ20+'04-06'!AQ23</f>
        <v>0</v>
      </c>
      <c r="AR22" s="232">
        <f ca="1">AR20+'04-06'!AR23</f>
        <v>0</v>
      </c>
      <c r="AS22" s="232">
        <f ca="1">AS20+'04-06'!AS23</f>
        <v>0</v>
      </c>
      <c r="AT22" s="232">
        <f ca="1">AT20+'04-06'!AT23</f>
        <v>0</v>
      </c>
      <c r="AU22" s="232">
        <f ca="1">AU20+'04-06'!AU23</f>
        <v>0</v>
      </c>
      <c r="AV22" s="232">
        <f ca="1">AV20+'04-06'!AV23</f>
        <v>1910000</v>
      </c>
      <c r="AW22" s="232">
        <f ca="1">AW20+'04-06'!AW23</f>
        <v>1910000</v>
      </c>
    </row>
    <row r="23" spans="1:49" ht="12" customHeight="1">
      <c r="B23" s="237"/>
      <c r="C23" s="238"/>
      <c r="D23" s="238"/>
      <c r="E23" s="238"/>
      <c r="F23" s="238"/>
      <c r="G23" s="239"/>
      <c r="H23" s="239"/>
      <c r="I23" s="238"/>
      <c r="J23" s="238"/>
      <c r="K23" s="238"/>
      <c r="AN23" s="237"/>
      <c r="AO23" s="237"/>
      <c r="AP23" s="238"/>
      <c r="AQ23" s="238"/>
      <c r="AR23" s="238"/>
      <c r="AS23" s="239"/>
      <c r="AT23" s="239"/>
      <c r="AU23" s="239"/>
      <c r="AV23" s="239"/>
      <c r="AW23" s="255"/>
    </row>
    <row r="24" spans="1:49">
      <c r="F24" s="196"/>
      <c r="M24" s="240"/>
      <c r="O24" s="240"/>
      <c r="P24" s="240"/>
      <c r="Q24" s="240"/>
      <c r="R24" s="240"/>
      <c r="S24" s="240"/>
      <c r="T24" s="240"/>
      <c r="AH24" s="241" t="s">
        <v>201</v>
      </c>
      <c r="AI24" s="242"/>
      <c r="AJ24" s="242"/>
      <c r="AK24" s="242"/>
      <c r="AL24" s="242"/>
      <c r="AM24" s="242"/>
      <c r="AN24" s="243"/>
      <c r="AO24" s="243"/>
      <c r="AP24" s="242"/>
    </row>
    <row r="25" spans="1:49">
      <c r="F25" s="196"/>
      <c r="M25" s="240"/>
      <c r="O25" s="240"/>
      <c r="P25" s="240"/>
      <c r="Q25" s="240"/>
      <c r="R25" s="240"/>
      <c r="S25" s="240"/>
      <c r="T25" s="240"/>
      <c r="AH25" s="244" t="s">
        <v>202</v>
      </c>
      <c r="AI25" s="242"/>
      <c r="AJ25" s="242"/>
      <c r="AK25" s="242"/>
      <c r="AL25" s="242"/>
      <c r="AM25" s="242"/>
      <c r="AN25" s="243"/>
      <c r="AO25" s="243"/>
      <c r="AP25" s="242"/>
    </row>
    <row r="26" spans="1:49">
      <c r="F26" s="196"/>
      <c r="M26" s="240"/>
      <c r="O26" s="240"/>
      <c r="P26" s="240"/>
      <c r="Q26" s="240"/>
      <c r="R26" s="240"/>
      <c r="S26" s="240"/>
      <c r="T26" s="240"/>
      <c r="AH26" s="242"/>
      <c r="AI26" s="242"/>
      <c r="AJ26" s="242"/>
      <c r="AK26" s="242"/>
      <c r="AL26" s="242"/>
      <c r="AM26" s="242"/>
      <c r="AN26" s="242"/>
      <c r="AO26" s="242"/>
      <c r="AP26" s="243"/>
    </row>
    <row r="27" spans="1:49">
      <c r="F27" s="196"/>
      <c r="M27" s="240"/>
      <c r="O27" s="240"/>
      <c r="P27" s="240"/>
      <c r="Q27" s="240"/>
      <c r="R27" s="240"/>
      <c r="S27" s="240"/>
      <c r="T27" s="240"/>
      <c r="AH27" s="242"/>
      <c r="AI27" s="242"/>
      <c r="AJ27" s="242"/>
      <c r="AK27" s="242"/>
      <c r="AL27" s="242"/>
      <c r="AM27" s="242"/>
      <c r="AN27" s="242"/>
      <c r="AO27" s="242"/>
      <c r="AP27" s="243"/>
      <c r="AV27" s="245" t="str">
        <f>"Ngày 30 tháng 09 năm 2015 "</f>
        <v xml:space="preserve">Ngày 30 tháng 09 năm 2015 </v>
      </c>
    </row>
    <row r="28" spans="1:49">
      <c r="F28" s="196"/>
      <c r="M28" s="240"/>
      <c r="O28" s="240"/>
      <c r="P28" s="240"/>
      <c r="Q28" s="240"/>
      <c r="R28" s="240"/>
      <c r="S28" s="240"/>
      <c r="T28" s="240"/>
      <c r="AH28" s="242"/>
      <c r="AI28" s="246" t="s">
        <v>11</v>
      </c>
      <c r="AJ28" s="242"/>
      <c r="AK28" s="242"/>
      <c r="AL28" s="242"/>
      <c r="AM28" s="242"/>
      <c r="AN28" s="242"/>
      <c r="AO28" s="247" t="s">
        <v>12</v>
      </c>
      <c r="AP28" s="243"/>
      <c r="AV28" s="246" t="s">
        <v>118</v>
      </c>
    </row>
    <row r="29" spans="1:49">
      <c r="F29" s="196"/>
      <c r="M29" s="240"/>
      <c r="O29" s="240"/>
      <c r="P29" s="240"/>
      <c r="Q29" s="240"/>
      <c r="R29" s="240"/>
      <c r="S29" s="240"/>
      <c r="T29" s="240"/>
      <c r="AH29" s="242"/>
      <c r="AI29" s="248" t="s">
        <v>13</v>
      </c>
      <c r="AJ29" s="242"/>
      <c r="AK29" s="242"/>
      <c r="AL29" s="242"/>
      <c r="AM29" s="242"/>
      <c r="AN29" s="242"/>
      <c r="AO29" s="249" t="s">
        <v>13</v>
      </c>
      <c r="AP29" s="243"/>
      <c r="AV29" s="248" t="s">
        <v>149</v>
      </c>
    </row>
    <row r="30" spans="1:49">
      <c r="F30" s="196"/>
      <c r="M30" s="240"/>
      <c r="O30" s="240"/>
      <c r="P30" s="240"/>
      <c r="Q30" s="240"/>
      <c r="R30" s="240"/>
      <c r="S30" s="240"/>
      <c r="T30" s="240"/>
      <c r="AH30" s="242"/>
      <c r="AI30" s="242"/>
      <c r="AJ30" s="242"/>
      <c r="AK30" s="242"/>
      <c r="AL30" s="242"/>
      <c r="AM30" s="242"/>
      <c r="AN30" s="242"/>
      <c r="AO30" s="242"/>
      <c r="AP30" s="243"/>
      <c r="AV30" s="242"/>
    </row>
    <row r="31" spans="1:49">
      <c r="F31" s="196"/>
      <c r="M31" s="240"/>
      <c r="O31" s="240"/>
      <c r="P31" s="240"/>
      <c r="Q31" s="240"/>
      <c r="R31" s="240"/>
      <c r="S31" s="240"/>
      <c r="T31" s="240"/>
      <c r="AV31" s="242"/>
    </row>
    <row r="32" spans="1:49">
      <c r="F32" s="196"/>
      <c r="M32" s="240"/>
      <c r="O32" s="240"/>
      <c r="P32" s="240"/>
      <c r="Q32" s="240"/>
      <c r="R32" s="240"/>
      <c r="S32" s="240"/>
      <c r="T32" s="240"/>
    </row>
    <row r="33" spans="6:20">
      <c r="F33" s="196"/>
      <c r="M33" s="240"/>
      <c r="O33" s="240"/>
      <c r="P33" s="240"/>
      <c r="Q33" s="240"/>
      <c r="R33" s="240"/>
      <c r="S33" s="240"/>
      <c r="T33" s="240"/>
    </row>
    <row r="34" spans="6:20">
      <c r="F34" s="196"/>
      <c r="M34" s="240"/>
      <c r="O34" s="240"/>
      <c r="P34" s="240"/>
      <c r="Q34" s="240"/>
      <c r="R34" s="240"/>
      <c r="S34" s="240"/>
      <c r="T34" s="240"/>
    </row>
    <row r="35" spans="6:20">
      <c r="F35" s="196"/>
      <c r="M35" s="240"/>
      <c r="O35" s="240"/>
      <c r="P35" s="240"/>
      <c r="Q35" s="240"/>
      <c r="R35" s="240"/>
      <c r="S35" s="240"/>
      <c r="T35" s="240"/>
    </row>
    <row r="36" spans="6:20">
      <c r="F36" s="196"/>
      <c r="M36" s="240"/>
      <c r="O36" s="240"/>
      <c r="P36" s="240"/>
      <c r="Q36" s="240"/>
      <c r="R36" s="240"/>
      <c r="S36" s="240"/>
      <c r="T36" s="240"/>
    </row>
    <row r="37" spans="6:20">
      <c r="F37" s="196"/>
      <c r="M37" s="240"/>
      <c r="O37" s="240"/>
      <c r="P37" s="240"/>
      <c r="Q37" s="240"/>
      <c r="R37" s="240"/>
      <c r="S37" s="240"/>
      <c r="T37" s="240"/>
    </row>
    <row r="46" spans="6:20">
      <c r="P46" s="240"/>
    </row>
    <row r="47" spans="6:20">
      <c r="P47" s="240"/>
    </row>
    <row r="48" spans="6:20">
      <c r="M48" s="240"/>
      <c r="N48" s="240"/>
      <c r="O48" s="240"/>
      <c r="P48" s="240"/>
    </row>
    <row r="49" spans="13:16">
      <c r="M49" s="240"/>
      <c r="N49" s="240"/>
      <c r="O49" s="240"/>
      <c r="P49" s="240"/>
    </row>
    <row r="50" spans="13:16">
      <c r="M50" s="240"/>
      <c r="N50" s="240"/>
      <c r="O50" s="240"/>
    </row>
    <row r="51" spans="13:16">
      <c r="M51" s="240"/>
      <c r="N51" s="240"/>
      <c r="O51" s="240"/>
    </row>
    <row r="53" spans="13:16">
      <c r="M53" s="240"/>
      <c r="N53" s="240"/>
      <c r="O53" s="240"/>
      <c r="P53" s="240"/>
    </row>
    <row r="54" spans="13:16">
      <c r="M54" s="240"/>
      <c r="N54" s="240"/>
      <c r="O54" s="240"/>
      <c r="P54" s="240"/>
    </row>
    <row r="61" spans="13:16">
      <c r="M61" s="240"/>
      <c r="N61" s="240"/>
      <c r="O61" s="240"/>
      <c r="P61" s="240"/>
    </row>
    <row r="62" spans="13:16">
      <c r="M62" s="240"/>
      <c r="N62" s="240"/>
      <c r="O62" s="240"/>
      <c r="P62" s="240"/>
    </row>
    <row r="63" spans="13:16">
      <c r="M63" s="240"/>
      <c r="N63" s="240"/>
      <c r="O63" s="240"/>
      <c r="P63" s="240"/>
    </row>
    <row r="67" spans="13:16">
      <c r="M67" s="240"/>
      <c r="N67" s="240"/>
      <c r="O67" s="240"/>
      <c r="P67" s="240"/>
    </row>
    <row r="68" spans="13:16">
      <c r="M68" s="240"/>
      <c r="N68" s="240"/>
      <c r="O68" s="240"/>
      <c r="P68" s="240"/>
    </row>
    <row r="69" spans="13:16">
      <c r="M69" s="240"/>
      <c r="N69" s="240"/>
      <c r="O69" s="240"/>
      <c r="P69" s="240"/>
    </row>
    <row r="70" spans="13:16">
      <c r="M70" s="240"/>
      <c r="N70" s="240"/>
      <c r="O70" s="240"/>
      <c r="P70" s="240"/>
    </row>
    <row r="71" spans="13:16">
      <c r="M71" s="240"/>
      <c r="N71" s="240"/>
      <c r="O71" s="240"/>
      <c r="P71" s="240"/>
    </row>
    <row r="72" spans="13:16">
      <c r="M72" s="240"/>
      <c r="N72" s="240"/>
      <c r="O72" s="240"/>
      <c r="P72" s="240"/>
    </row>
    <row r="73" spans="13:16">
      <c r="M73" s="240"/>
      <c r="N73" s="240"/>
      <c r="O73" s="240"/>
      <c r="P73" s="240"/>
    </row>
    <row r="74" spans="13:16">
      <c r="M74" s="240"/>
      <c r="N74" s="240"/>
      <c r="O74" s="240"/>
      <c r="P74" s="240"/>
    </row>
    <row r="75" spans="13:16">
      <c r="M75" s="240"/>
      <c r="N75" s="240"/>
      <c r="O75" s="240"/>
      <c r="P75" s="240"/>
    </row>
    <row r="76" spans="13:16">
      <c r="M76" s="240"/>
      <c r="N76" s="240"/>
      <c r="O76" s="240"/>
      <c r="P76" s="240"/>
    </row>
    <row r="77" spans="13:16">
      <c r="M77" s="240"/>
      <c r="N77" s="240"/>
      <c r="O77" s="240"/>
      <c r="P77" s="240"/>
    </row>
    <row r="78" spans="13:16">
      <c r="M78" s="240"/>
      <c r="N78" s="240"/>
      <c r="O78" s="240"/>
      <c r="P78" s="240"/>
    </row>
    <row r="79" spans="13:16">
      <c r="M79" s="240"/>
      <c r="N79" s="240"/>
      <c r="O79" s="240"/>
      <c r="P79" s="240"/>
    </row>
    <row r="80" spans="13:16">
      <c r="M80" s="240"/>
      <c r="N80" s="240"/>
      <c r="O80" s="240"/>
      <c r="P80" s="240"/>
    </row>
    <row r="81" spans="13:16">
      <c r="M81" s="240"/>
      <c r="N81" s="240"/>
      <c r="O81" s="240"/>
      <c r="P81" s="240"/>
    </row>
    <row r="82" spans="13:16">
      <c r="M82" s="240"/>
      <c r="N82" s="240"/>
      <c r="O82" s="240"/>
      <c r="P82" s="240"/>
    </row>
    <row r="83" spans="13:16">
      <c r="M83" s="240"/>
      <c r="N83" s="240"/>
      <c r="O83" s="240"/>
      <c r="P83" s="240"/>
    </row>
    <row r="84" spans="13:16">
      <c r="M84" s="240"/>
      <c r="N84" s="240"/>
      <c r="O84" s="240"/>
      <c r="P84" s="240"/>
    </row>
    <row r="85" spans="13:16">
      <c r="M85" s="240"/>
      <c r="N85" s="240"/>
      <c r="O85" s="240"/>
      <c r="P85" s="240"/>
    </row>
    <row r="86" spans="13:16">
      <c r="M86" s="240"/>
      <c r="N86" s="240"/>
      <c r="O86" s="240"/>
      <c r="P86" s="240"/>
    </row>
    <row r="87" spans="13:16">
      <c r="M87" s="240"/>
      <c r="N87" s="240"/>
      <c r="O87" s="240"/>
      <c r="P87" s="240"/>
    </row>
    <row r="88" spans="13:16">
      <c r="M88" s="240"/>
      <c r="N88" s="240"/>
      <c r="O88" s="240"/>
      <c r="P88" s="240"/>
    </row>
    <row r="89" spans="13:16">
      <c r="M89" s="240"/>
      <c r="N89" s="240"/>
      <c r="O89" s="240"/>
      <c r="P89" s="240"/>
    </row>
    <row r="90" spans="13:16">
      <c r="M90" s="240"/>
      <c r="N90" s="240"/>
      <c r="O90" s="240"/>
      <c r="P90" s="240"/>
    </row>
    <row r="91" spans="13:16">
      <c r="M91" s="240"/>
      <c r="N91" s="240"/>
      <c r="O91" s="240"/>
      <c r="P91" s="240"/>
    </row>
    <row r="92" spans="13:16">
      <c r="M92" s="240"/>
      <c r="N92" s="240"/>
      <c r="O92" s="240"/>
      <c r="P92" s="240"/>
    </row>
    <row r="93" spans="13:16">
      <c r="M93" s="240"/>
      <c r="N93" s="240"/>
      <c r="O93" s="240"/>
      <c r="P93" s="240"/>
    </row>
    <row r="94" spans="13:16">
      <c r="M94" s="240"/>
      <c r="N94" s="240"/>
      <c r="O94" s="240"/>
      <c r="P94" s="240"/>
    </row>
    <row r="95" spans="13:16">
      <c r="M95" s="240"/>
      <c r="N95" s="240"/>
      <c r="O95" s="240"/>
      <c r="P95" s="240"/>
    </row>
    <row r="96" spans="13:16">
      <c r="M96" s="240"/>
      <c r="N96" s="240"/>
      <c r="O96" s="240"/>
      <c r="P96" s="240"/>
    </row>
    <row r="97" spans="13:16">
      <c r="M97" s="240"/>
      <c r="N97" s="240"/>
      <c r="O97" s="240"/>
      <c r="P97" s="240"/>
    </row>
    <row r="98" spans="13:16">
      <c r="M98" s="240"/>
      <c r="N98" s="240"/>
      <c r="O98" s="240"/>
      <c r="P98" s="240"/>
    </row>
    <row r="99" spans="13:16">
      <c r="M99" s="240"/>
      <c r="N99" s="240"/>
      <c r="O99" s="240"/>
      <c r="P99" s="240"/>
    </row>
    <row r="100" spans="13:16">
      <c r="M100" s="240"/>
      <c r="N100" s="240"/>
      <c r="O100" s="240"/>
      <c r="P100" s="240"/>
    </row>
    <row r="101" spans="13:16">
      <c r="M101" s="240"/>
      <c r="N101" s="240"/>
      <c r="O101" s="240"/>
      <c r="P101" s="240"/>
    </row>
    <row r="102" spans="13:16">
      <c r="M102" s="240"/>
      <c r="N102" s="240"/>
      <c r="O102" s="240"/>
      <c r="P102" s="240"/>
    </row>
    <row r="103" spans="13:16">
      <c r="M103" s="240"/>
      <c r="N103" s="240"/>
      <c r="O103" s="240"/>
      <c r="P103" s="240"/>
    </row>
    <row r="104" spans="13:16">
      <c r="M104" s="240"/>
      <c r="N104" s="240"/>
      <c r="O104" s="240"/>
      <c r="P104" s="240"/>
    </row>
    <row r="105" spans="13:16">
      <c r="M105" s="240"/>
      <c r="N105" s="240"/>
      <c r="O105" s="240"/>
      <c r="P105" s="240"/>
    </row>
    <row r="106" spans="13:16">
      <c r="M106" s="240"/>
      <c r="N106" s="240"/>
      <c r="O106" s="240"/>
      <c r="P106" s="240"/>
    </row>
    <row r="107" spans="13:16">
      <c r="M107" s="240"/>
      <c r="N107" s="240"/>
      <c r="O107" s="240"/>
      <c r="P107" s="240"/>
    </row>
    <row r="108" spans="13:16">
      <c r="M108" s="240"/>
      <c r="N108" s="240"/>
      <c r="O108" s="240"/>
      <c r="P108" s="240"/>
    </row>
    <row r="109" spans="13:16">
      <c r="M109" s="240"/>
      <c r="N109" s="240"/>
      <c r="O109" s="240"/>
      <c r="P109" s="240"/>
    </row>
    <row r="110" spans="13:16">
      <c r="M110" s="240"/>
      <c r="N110" s="240"/>
      <c r="O110" s="240"/>
      <c r="P110" s="240"/>
    </row>
    <row r="111" spans="13:16">
      <c r="M111" s="240"/>
      <c r="N111" s="240"/>
      <c r="O111" s="240"/>
      <c r="P111" s="240"/>
    </row>
    <row r="112" spans="13:16">
      <c r="M112" s="240"/>
      <c r="N112" s="240"/>
      <c r="O112" s="240"/>
      <c r="P112" s="240"/>
    </row>
    <row r="113" spans="13:16">
      <c r="M113" s="240"/>
      <c r="N113" s="240"/>
      <c r="O113" s="240"/>
      <c r="P113" s="240"/>
    </row>
    <row r="114" spans="13:16">
      <c r="M114" s="240"/>
      <c r="N114" s="240"/>
      <c r="O114" s="240"/>
      <c r="P114" s="240"/>
    </row>
    <row r="115" spans="13:16">
      <c r="M115" s="240"/>
      <c r="N115" s="240"/>
      <c r="O115" s="240"/>
      <c r="P115" s="240"/>
    </row>
    <row r="116" spans="13:16">
      <c r="M116" s="240"/>
      <c r="N116" s="240"/>
      <c r="O116" s="240"/>
      <c r="P116" s="240"/>
    </row>
    <row r="117" spans="13:16">
      <c r="M117" s="240"/>
      <c r="N117" s="240"/>
      <c r="O117" s="240"/>
      <c r="P117" s="240"/>
    </row>
    <row r="118" spans="13:16">
      <c r="M118" s="240"/>
      <c r="N118" s="240"/>
      <c r="O118" s="240"/>
      <c r="P118" s="240"/>
    </row>
    <row r="119" spans="13:16">
      <c r="M119" s="240"/>
      <c r="N119" s="240"/>
      <c r="O119" s="240"/>
      <c r="P119" s="240"/>
    </row>
    <row r="120" spans="13:16">
      <c r="M120" s="240"/>
      <c r="N120" s="240"/>
      <c r="O120" s="240"/>
      <c r="P120" s="240"/>
    </row>
    <row r="121" spans="13:16">
      <c r="M121" s="240"/>
      <c r="N121" s="240"/>
      <c r="O121" s="240"/>
      <c r="P121" s="240"/>
    </row>
    <row r="122" spans="13:16">
      <c r="M122" s="240"/>
      <c r="N122" s="240"/>
      <c r="O122" s="240"/>
      <c r="P122" s="240"/>
    </row>
    <row r="123" spans="13:16">
      <c r="M123" s="240"/>
      <c r="N123" s="240"/>
      <c r="O123" s="240"/>
      <c r="P123" s="240"/>
    </row>
    <row r="124" spans="13:16">
      <c r="M124" s="240"/>
      <c r="N124" s="240"/>
      <c r="O124" s="240"/>
      <c r="P124" s="240"/>
    </row>
    <row r="125" spans="13:16">
      <c r="M125" s="240"/>
      <c r="N125" s="240"/>
      <c r="O125" s="240"/>
      <c r="P125" s="240"/>
    </row>
    <row r="126" spans="13:16">
      <c r="M126" s="240"/>
      <c r="N126" s="240"/>
      <c r="O126" s="240"/>
      <c r="P126" s="240"/>
    </row>
    <row r="127" spans="13:16">
      <c r="M127" s="240"/>
      <c r="N127" s="240"/>
      <c r="O127" s="240"/>
      <c r="P127" s="240"/>
    </row>
    <row r="128" spans="13:16">
      <c r="M128" s="240"/>
      <c r="N128" s="240"/>
      <c r="O128" s="240"/>
      <c r="P128" s="240"/>
    </row>
    <row r="129" spans="13:16">
      <c r="M129" s="240"/>
      <c r="N129" s="240"/>
      <c r="O129" s="240"/>
      <c r="P129" s="240"/>
    </row>
    <row r="130" spans="13:16">
      <c r="M130" s="240"/>
      <c r="N130" s="240"/>
      <c r="O130" s="240"/>
      <c r="P130" s="240"/>
    </row>
    <row r="131" spans="13:16">
      <c r="M131" s="240"/>
      <c r="N131" s="240"/>
      <c r="O131" s="240"/>
      <c r="P131" s="240"/>
    </row>
    <row r="132" spans="13:16">
      <c r="M132" s="240"/>
      <c r="N132" s="240"/>
      <c r="O132" s="240"/>
      <c r="P132" s="240"/>
    </row>
    <row r="133" spans="13:16">
      <c r="M133" s="240"/>
      <c r="N133" s="240"/>
      <c r="O133" s="240"/>
      <c r="P133" s="240"/>
    </row>
    <row r="134" spans="13:16">
      <c r="M134" s="240"/>
      <c r="N134" s="240"/>
      <c r="O134" s="240"/>
      <c r="P134" s="240"/>
    </row>
    <row r="135" spans="13:16">
      <c r="M135" s="240"/>
      <c r="N135" s="240"/>
      <c r="O135" s="240"/>
      <c r="P135" s="240"/>
    </row>
    <row r="136" spans="13:16">
      <c r="M136" s="240"/>
      <c r="N136" s="240"/>
      <c r="O136" s="240"/>
      <c r="P136" s="240"/>
    </row>
    <row r="137" spans="13:16">
      <c r="M137" s="240"/>
      <c r="N137" s="240"/>
      <c r="O137" s="240"/>
      <c r="P137" s="240"/>
    </row>
    <row r="138" spans="13:16">
      <c r="M138" s="240"/>
      <c r="N138" s="240"/>
      <c r="O138" s="240"/>
      <c r="P138" s="240"/>
    </row>
    <row r="139" spans="13:16">
      <c r="M139" s="240"/>
      <c r="N139" s="240"/>
      <c r="O139" s="240"/>
      <c r="P139" s="240"/>
    </row>
    <row r="140" spans="13:16">
      <c r="M140" s="240"/>
      <c r="N140" s="240"/>
      <c r="O140" s="240"/>
      <c r="P140" s="240"/>
    </row>
    <row r="141" spans="13:16">
      <c r="M141" s="240"/>
      <c r="N141" s="240"/>
      <c r="O141" s="240"/>
      <c r="P141" s="240"/>
    </row>
  </sheetData>
  <autoFilter ref="A9:AW22"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89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E15" sqref="E15"/>
    </sheetView>
  </sheetViews>
  <sheetFormatPr defaultRowHeight="12.75"/>
  <cols>
    <col min="1" max="1" width="4.85546875" style="196" customWidth="1"/>
    <col min="2" max="2" width="9" style="196" customWidth="1"/>
    <col min="3" max="3" width="7.85546875" style="196" customWidth="1"/>
    <col min="4" max="4" width="9.7109375" style="196" customWidth="1"/>
    <col min="5" max="5" width="40.28515625" style="196" customWidth="1"/>
    <col min="6" max="6" width="12.7109375" style="196" customWidth="1"/>
    <col min="7" max="8" width="5.85546875" style="197" customWidth="1"/>
    <col min="9" max="9" width="4.85546875" style="196" customWidth="1"/>
    <col min="10" max="10" width="15.42578125" style="196" customWidth="1"/>
    <col min="11" max="11" width="15.140625" style="196" customWidth="1"/>
    <col min="12" max="12" width="12.7109375" style="196" customWidth="1"/>
    <col min="13" max="13" width="12.5703125" style="196" customWidth="1"/>
    <col min="14" max="15" width="14.5703125" style="196" customWidth="1"/>
    <col min="16" max="16" width="12.42578125" style="196" customWidth="1"/>
    <col min="17" max="17" width="14" style="196" customWidth="1"/>
    <col min="18" max="19" width="11" style="196" customWidth="1"/>
    <col min="20" max="20" width="10" style="196" customWidth="1"/>
    <col min="21" max="21" width="10.140625" style="196" customWidth="1"/>
    <col min="22" max="22" width="11" style="196" customWidth="1"/>
    <col min="23" max="23" width="11.140625" style="196" customWidth="1"/>
    <col min="24" max="24" width="11.42578125" style="196" customWidth="1"/>
    <col min="25" max="25" width="11.7109375" style="196" customWidth="1"/>
    <col min="26" max="29" width="10.5703125" style="196" customWidth="1"/>
    <col min="30" max="30" width="11.85546875" style="196" customWidth="1"/>
    <col min="31" max="31" width="11.42578125" style="196" customWidth="1"/>
    <col min="32" max="32" width="14.7109375" style="196" customWidth="1"/>
    <col min="33" max="33" width="15.140625" style="196" customWidth="1"/>
    <col min="34" max="35" width="12.140625" style="196" customWidth="1"/>
    <col min="36" max="36" width="11.28515625" style="196" customWidth="1"/>
    <col min="37" max="37" width="11.140625" style="196" customWidth="1"/>
    <col min="38" max="39" width="12.5703125" style="196" customWidth="1"/>
    <col min="40" max="40" width="13.42578125" style="196" customWidth="1"/>
    <col min="41" max="41" width="12.7109375" style="196" customWidth="1"/>
    <col min="42" max="42" width="11.85546875" style="196" customWidth="1"/>
    <col min="43" max="43" width="11.5703125" style="196" customWidth="1"/>
    <col min="44" max="44" width="14.7109375" style="196" customWidth="1"/>
    <col min="45" max="45" width="15.7109375" style="196" customWidth="1"/>
    <col min="46" max="46" width="13.42578125" style="196" customWidth="1"/>
    <col min="47" max="47" width="12.7109375" style="196" customWidth="1"/>
    <col min="48" max="49" width="13.140625" style="196" customWidth="1"/>
    <col min="50" max="16384" width="9.140625" style="196"/>
  </cols>
  <sheetData>
    <row r="1" spans="1:49" ht="12.75" customHeight="1">
      <c r="A1" s="192"/>
      <c r="B1" s="193" t="s">
        <v>108</v>
      </c>
      <c r="C1" s="194"/>
      <c r="D1" s="194"/>
      <c r="E1" s="195"/>
      <c r="I1" s="194"/>
      <c r="M1" s="194" t="s">
        <v>167</v>
      </c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</row>
    <row r="2" spans="1:49" ht="12.75" customHeight="1">
      <c r="A2" s="192"/>
      <c r="B2" s="193" t="s">
        <v>156</v>
      </c>
      <c r="C2" s="194"/>
      <c r="D2" s="194"/>
      <c r="E2" s="194"/>
      <c r="I2" s="198"/>
      <c r="M2" s="302" t="s">
        <v>168</v>
      </c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</row>
    <row r="3" spans="1:49" ht="10.5" customHeight="1">
      <c r="A3" s="194"/>
      <c r="B3" s="194"/>
      <c r="C3" s="194"/>
      <c r="D3" s="194"/>
      <c r="E3" s="194"/>
      <c r="F3" s="198"/>
      <c r="G3" s="200"/>
      <c r="H3" s="200"/>
      <c r="I3" s="198"/>
      <c r="M3" s="302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</row>
    <row r="4" spans="1:49" ht="19.5" customHeight="1">
      <c r="B4" s="303" t="s">
        <v>98</v>
      </c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201"/>
      <c r="O4" s="201"/>
      <c r="P4" s="201"/>
      <c r="Q4" s="201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  <c r="AW4" s="203"/>
    </row>
    <row r="5" spans="1:49" ht="15">
      <c r="B5" s="304" t="s">
        <v>203</v>
      </c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204"/>
    </row>
    <row r="7" spans="1:49" ht="13.5" customHeight="1">
      <c r="A7" s="305" t="s">
        <v>31</v>
      </c>
      <c r="B7" s="299" t="s">
        <v>20</v>
      </c>
      <c r="C7" s="307" t="s">
        <v>1</v>
      </c>
      <c r="D7" s="308"/>
      <c r="E7" s="299" t="s">
        <v>0</v>
      </c>
      <c r="F7" s="299" t="s">
        <v>99</v>
      </c>
      <c r="G7" s="309" t="s">
        <v>100</v>
      </c>
      <c r="H7" s="309"/>
      <c r="I7" s="300" t="s">
        <v>31</v>
      </c>
      <c r="J7" s="299" t="s">
        <v>170</v>
      </c>
      <c r="K7" s="299"/>
      <c r="L7" s="299" t="s">
        <v>171</v>
      </c>
      <c r="M7" s="299"/>
      <c r="N7" s="299" t="s">
        <v>172</v>
      </c>
      <c r="O7" s="299"/>
      <c r="P7" s="299" t="s">
        <v>173</v>
      </c>
      <c r="Q7" s="299"/>
      <c r="R7" s="299" t="s">
        <v>174</v>
      </c>
      <c r="S7" s="299"/>
      <c r="T7" s="299" t="s">
        <v>175</v>
      </c>
      <c r="U7" s="299"/>
      <c r="V7" s="299" t="s">
        <v>176</v>
      </c>
      <c r="W7" s="299"/>
      <c r="X7" s="299" t="s">
        <v>177</v>
      </c>
      <c r="Y7" s="299"/>
      <c r="Z7" s="299" t="s">
        <v>178</v>
      </c>
      <c r="AA7" s="299"/>
      <c r="AB7" s="299" t="s">
        <v>179</v>
      </c>
      <c r="AC7" s="299"/>
      <c r="AD7" s="299" t="s">
        <v>180</v>
      </c>
      <c r="AE7" s="299"/>
      <c r="AF7" s="299" t="s">
        <v>181</v>
      </c>
      <c r="AG7" s="299"/>
      <c r="AH7" s="299" t="s">
        <v>182</v>
      </c>
      <c r="AI7" s="299"/>
      <c r="AJ7" s="299" t="s">
        <v>183</v>
      </c>
      <c r="AK7" s="299"/>
      <c r="AL7" s="299" t="s">
        <v>184</v>
      </c>
      <c r="AM7" s="299"/>
      <c r="AN7" s="299" t="s">
        <v>185</v>
      </c>
      <c r="AO7" s="299"/>
      <c r="AP7" s="299" t="s">
        <v>186</v>
      </c>
      <c r="AQ7" s="299"/>
      <c r="AR7" s="299" t="s">
        <v>187</v>
      </c>
      <c r="AS7" s="299"/>
      <c r="AT7" s="299" t="s">
        <v>188</v>
      </c>
      <c r="AU7" s="299"/>
      <c r="AV7" s="299" t="s">
        <v>189</v>
      </c>
      <c r="AW7" s="299"/>
    </row>
    <row r="8" spans="1:49" ht="22.5" customHeight="1">
      <c r="A8" s="306"/>
      <c r="B8" s="299"/>
      <c r="C8" s="207" t="s">
        <v>15</v>
      </c>
      <c r="D8" s="206" t="s">
        <v>28</v>
      </c>
      <c r="E8" s="299"/>
      <c r="F8" s="299"/>
      <c r="G8" s="208" t="s">
        <v>22</v>
      </c>
      <c r="H8" s="208" t="s">
        <v>23</v>
      </c>
      <c r="I8" s="300"/>
      <c r="J8" s="206" t="s">
        <v>22</v>
      </c>
      <c r="K8" s="206" t="s">
        <v>23</v>
      </c>
      <c r="L8" s="206" t="s">
        <v>22</v>
      </c>
      <c r="M8" s="206" t="s">
        <v>23</v>
      </c>
      <c r="N8" s="206" t="s">
        <v>22</v>
      </c>
      <c r="O8" s="206" t="s">
        <v>23</v>
      </c>
      <c r="P8" s="206" t="s">
        <v>22</v>
      </c>
      <c r="Q8" s="206" t="s">
        <v>23</v>
      </c>
      <c r="R8" s="206" t="s">
        <v>22</v>
      </c>
      <c r="S8" s="206" t="s">
        <v>23</v>
      </c>
      <c r="T8" s="206" t="s">
        <v>22</v>
      </c>
      <c r="U8" s="206" t="s">
        <v>23</v>
      </c>
      <c r="V8" s="206" t="s">
        <v>22</v>
      </c>
      <c r="W8" s="206" t="s">
        <v>23</v>
      </c>
      <c r="X8" s="206" t="s">
        <v>22</v>
      </c>
      <c r="Y8" s="206" t="s">
        <v>23</v>
      </c>
      <c r="Z8" s="206" t="s">
        <v>22</v>
      </c>
      <c r="AA8" s="206" t="s">
        <v>23</v>
      </c>
      <c r="AB8" s="206" t="s">
        <v>22</v>
      </c>
      <c r="AC8" s="206" t="s">
        <v>23</v>
      </c>
      <c r="AD8" s="206" t="s">
        <v>22</v>
      </c>
      <c r="AE8" s="206" t="s">
        <v>23</v>
      </c>
      <c r="AF8" s="206" t="s">
        <v>22</v>
      </c>
      <c r="AG8" s="206" t="s">
        <v>23</v>
      </c>
      <c r="AH8" s="206" t="s">
        <v>22</v>
      </c>
      <c r="AI8" s="206" t="s">
        <v>23</v>
      </c>
      <c r="AJ8" s="206" t="s">
        <v>22</v>
      </c>
      <c r="AK8" s="206" t="s">
        <v>23</v>
      </c>
      <c r="AL8" s="206" t="s">
        <v>22</v>
      </c>
      <c r="AM8" s="206" t="s">
        <v>23</v>
      </c>
      <c r="AN8" s="206" t="s">
        <v>22</v>
      </c>
      <c r="AO8" s="206" t="s">
        <v>23</v>
      </c>
      <c r="AP8" s="206" t="s">
        <v>22</v>
      </c>
      <c r="AQ8" s="206" t="s">
        <v>23</v>
      </c>
      <c r="AR8" s="206" t="s">
        <v>22</v>
      </c>
      <c r="AS8" s="206" t="s">
        <v>23</v>
      </c>
      <c r="AT8" s="206" t="s">
        <v>22</v>
      </c>
      <c r="AU8" s="206" t="s">
        <v>23</v>
      </c>
      <c r="AV8" s="206" t="s">
        <v>22</v>
      </c>
      <c r="AW8" s="206" t="s">
        <v>23</v>
      </c>
    </row>
    <row r="9" spans="1:49" s="210" customFormat="1" ht="8.25" customHeight="1">
      <c r="A9" s="209">
        <v>1</v>
      </c>
      <c r="B9" s="209">
        <v>2</v>
      </c>
      <c r="C9" s="209">
        <v>3</v>
      </c>
      <c r="D9" s="209">
        <v>4</v>
      </c>
      <c r="E9" s="209">
        <v>5</v>
      </c>
      <c r="F9" s="209">
        <v>6</v>
      </c>
      <c r="G9" s="209">
        <v>7</v>
      </c>
      <c r="H9" s="209">
        <v>8</v>
      </c>
      <c r="I9" s="209">
        <v>9</v>
      </c>
      <c r="J9" s="209">
        <v>10</v>
      </c>
      <c r="K9" s="209">
        <v>11</v>
      </c>
      <c r="L9" s="209">
        <v>12</v>
      </c>
      <c r="M9" s="209">
        <v>13</v>
      </c>
      <c r="N9" s="209">
        <v>14</v>
      </c>
      <c r="O9" s="209">
        <v>15</v>
      </c>
      <c r="P9" s="209">
        <v>16</v>
      </c>
      <c r="Q9" s="209">
        <v>17</v>
      </c>
      <c r="R9" s="209">
        <v>18</v>
      </c>
      <c r="S9" s="209">
        <v>19</v>
      </c>
      <c r="T9" s="209">
        <v>20</v>
      </c>
      <c r="U9" s="209">
        <v>21</v>
      </c>
      <c r="V9" s="209">
        <v>22</v>
      </c>
      <c r="W9" s="209">
        <v>23</v>
      </c>
      <c r="X9" s="209">
        <v>24</v>
      </c>
      <c r="Y9" s="209">
        <v>25</v>
      </c>
      <c r="Z9" s="209">
        <v>26</v>
      </c>
      <c r="AA9" s="209">
        <v>27</v>
      </c>
      <c r="AB9" s="209">
        <v>28</v>
      </c>
      <c r="AC9" s="209">
        <v>29</v>
      </c>
      <c r="AD9" s="209">
        <v>30</v>
      </c>
      <c r="AE9" s="209">
        <v>31</v>
      </c>
      <c r="AF9" s="209">
        <v>32</v>
      </c>
      <c r="AG9" s="209">
        <v>33</v>
      </c>
      <c r="AH9" s="209">
        <v>34</v>
      </c>
      <c r="AI9" s="209">
        <v>35</v>
      </c>
      <c r="AJ9" s="209">
        <v>36</v>
      </c>
      <c r="AK9" s="209">
        <v>37</v>
      </c>
      <c r="AL9" s="209">
        <v>38</v>
      </c>
      <c r="AM9" s="209">
        <v>39</v>
      </c>
      <c r="AN9" s="209">
        <v>40</v>
      </c>
      <c r="AO9" s="209">
        <v>41</v>
      </c>
      <c r="AP9" s="209">
        <v>42</v>
      </c>
      <c r="AQ9" s="209">
        <v>43</v>
      </c>
      <c r="AR9" s="209">
        <v>44</v>
      </c>
      <c r="AS9" s="209">
        <v>45</v>
      </c>
      <c r="AT9" s="209">
        <v>46</v>
      </c>
      <c r="AU9" s="209">
        <v>47</v>
      </c>
      <c r="AV9" s="209">
        <v>48</v>
      </c>
      <c r="AW9" s="209">
        <v>49</v>
      </c>
    </row>
    <row r="10" spans="1:49" s="218" customFormat="1" ht="12" customHeight="1">
      <c r="A10" s="40" t="str">
        <f t="array" ref="A10">IF(C10&lt;&gt;0,SUM(($C10:C$15&lt;&gt;0)*1),"")</f>
        <v/>
      </c>
      <c r="B10" s="211"/>
      <c r="C10" s="212"/>
      <c r="D10" s="211"/>
      <c r="E10" s="213" t="s">
        <v>154</v>
      </c>
      <c r="F10" s="214"/>
      <c r="G10" s="215"/>
      <c r="H10" s="215"/>
      <c r="I10" s="216"/>
      <c r="J10" s="217">
        <f ca="1">'07-09'!J21</f>
        <v>3994790000</v>
      </c>
      <c r="K10" s="217">
        <f ca="1">'07-09'!K21</f>
        <v>0</v>
      </c>
      <c r="L10" s="217">
        <f ca="1">'07-09'!L21</f>
        <v>0</v>
      </c>
      <c r="M10" s="217">
        <f ca="1">'07-09'!M21</f>
        <v>0</v>
      </c>
      <c r="N10" s="217">
        <f ca="1">'07-09'!N21</f>
        <v>0</v>
      </c>
      <c r="O10" s="217">
        <f ca="1">'07-09'!O21</f>
        <v>0</v>
      </c>
      <c r="P10" s="217">
        <f ca="1">'07-09'!P21</f>
        <v>0</v>
      </c>
      <c r="Q10" s="217">
        <f ca="1">'07-09'!Q21</f>
        <v>0</v>
      </c>
      <c r="R10" s="217">
        <f ca="1">'07-09'!R21</f>
        <v>0</v>
      </c>
      <c r="S10" s="217">
        <f ca="1">'07-09'!S21</f>
        <v>0</v>
      </c>
      <c r="T10" s="217">
        <f ca="1">'07-09'!T21</f>
        <v>0</v>
      </c>
      <c r="U10" s="217">
        <f ca="1">'07-09'!U21</f>
        <v>0</v>
      </c>
      <c r="V10" s="217">
        <f ca="1">'07-09'!V21</f>
        <v>0</v>
      </c>
      <c r="W10" s="217">
        <f ca="1">'07-09'!W21</f>
        <v>0</v>
      </c>
      <c r="X10" s="217">
        <f ca="1">'07-09'!X21</f>
        <v>0</v>
      </c>
      <c r="Y10" s="217">
        <f ca="1">'07-09'!Y21</f>
        <v>0</v>
      </c>
      <c r="Z10" s="217">
        <f ca="1">'07-09'!Z21</f>
        <v>0</v>
      </c>
      <c r="AA10" s="217">
        <f ca="1">'07-09'!AA21</f>
        <v>0</v>
      </c>
      <c r="AB10" s="217">
        <f ca="1">'07-09'!AB21</f>
        <v>0</v>
      </c>
      <c r="AC10" s="217">
        <f ca="1">'07-09'!AC21</f>
        <v>0</v>
      </c>
      <c r="AD10" s="217">
        <f ca="1">'07-09'!AD21</f>
        <v>0</v>
      </c>
      <c r="AE10" s="217">
        <f ca="1">'07-09'!AE21</f>
        <v>4000000000</v>
      </c>
      <c r="AF10" s="217">
        <f ca="1">'07-09'!AF21</f>
        <v>0</v>
      </c>
      <c r="AG10" s="217">
        <f ca="1">'07-09'!AG21</f>
        <v>0</v>
      </c>
      <c r="AH10" s="217">
        <f ca="1">'07-09'!AH21</f>
        <v>5210000</v>
      </c>
      <c r="AI10" s="217">
        <f ca="1">'07-09'!AI21</f>
        <v>0</v>
      </c>
      <c r="AJ10" s="217">
        <f ca="1">'07-09'!AJ21</f>
        <v>0</v>
      </c>
      <c r="AK10" s="217">
        <f ca="1">'07-09'!AK21</f>
        <v>0</v>
      </c>
      <c r="AL10" s="217">
        <f ca="1">'07-09'!AL21</f>
        <v>0</v>
      </c>
      <c r="AM10" s="217">
        <f ca="1">'07-09'!AM21</f>
        <v>0</v>
      </c>
      <c r="AN10" s="217">
        <f ca="1">'07-09'!AN21</f>
        <v>0</v>
      </c>
      <c r="AO10" s="217">
        <f ca="1">'07-09'!AO21</f>
        <v>0</v>
      </c>
      <c r="AP10" s="217">
        <f ca="1">'07-09'!AP21</f>
        <v>0</v>
      </c>
      <c r="AQ10" s="217">
        <f ca="1">'07-09'!AQ21</f>
        <v>0</v>
      </c>
      <c r="AR10" s="217">
        <f ca="1">'07-09'!AR21</f>
        <v>0</v>
      </c>
      <c r="AS10" s="217">
        <f ca="1">'07-09'!AS21</f>
        <v>0</v>
      </c>
      <c r="AT10" s="217">
        <f ca="1">'07-09'!AT21</f>
        <v>0</v>
      </c>
      <c r="AU10" s="217">
        <f ca="1">'07-09'!AU21</f>
        <v>0</v>
      </c>
      <c r="AV10" s="217">
        <f ca="1">'07-09'!AV21</f>
        <v>0</v>
      </c>
      <c r="AW10" s="217">
        <f ca="1">'07-09'!AW21</f>
        <v>0</v>
      </c>
    </row>
    <row r="11" spans="1:49" s="218" customFormat="1" ht="12" customHeight="1">
      <c r="A11" s="40">
        <f t="array" aca="1" ref="A11" ca="1">IF(C11&lt;&gt;0,SUM(($C$11:C11&lt;&gt;0)*1),"")</f>
        <v>1</v>
      </c>
      <c r="B11" s="219" t="str">
        <f ca="1">IF(ROWS($1:1)&gt;COUNT(Dong9),"",OFFSET(TH!C$1,SMALL(Dong9,ROWS($1:1)),))</f>
        <v/>
      </c>
      <c r="C11" s="219" t="str">
        <f ca="1">IF(ROWS($1:1)&gt;COUNT(Dong9),"",OFFSET(TH!D$1,SMALL(Dong9,ROWS($1:1)),))</f>
        <v/>
      </c>
      <c r="D11" s="219" t="str">
        <f ca="1">IF(ROWS($1:1)&gt;COUNT(Dong9),"",OFFSET(TH!E$1,SMALL(Dong9,ROWS($1:1)),))</f>
        <v/>
      </c>
      <c r="E11" s="268" t="str">
        <f ca="1">IF(ROWS($1:1)&gt;COUNT(Dong9),"",OFFSET(TH!F$1,SMALL(Dong9,ROWS($1:1)),))</f>
        <v/>
      </c>
      <c r="F11" s="269" t="str">
        <f ca="1">IF(ROWS($1:1)&gt;COUNT(Dong9),"",OFFSET(TH!I$1,SMALL(Dong9,ROWS($1:1)),))</f>
        <v/>
      </c>
      <c r="G11" s="271" t="str">
        <f ca="1">IF(ROWS($1:1)&gt;COUNT(Dong9),"",OFFSET(TH!J$1,SMALL(Dong9,ROWS($1:1)),))</f>
        <v/>
      </c>
      <c r="H11" s="271" t="str">
        <f ca="1">IF(ROWS($1:1)&gt;COUNT(Dong9),"",OFFSET(TH!K$1,SMALL(Dong9,ROWS($1:1)),))</f>
        <v/>
      </c>
      <c r="I11" s="40">
        <f t="shared" ref="I11:I18" ca="1" si="0">A11</f>
        <v>1</v>
      </c>
      <c r="J11" s="221">
        <f t="shared" ref="J11:J18" ca="1" si="1">IF($G11="1111",$F11,0)</f>
        <v>0</v>
      </c>
      <c r="K11" s="221">
        <f t="shared" ref="K11:K18" ca="1" si="2">IF($H11="1111",$F11,0)</f>
        <v>0</v>
      </c>
      <c r="L11" s="221">
        <f t="shared" ref="L11:L18" ca="1" si="3">IF($G11="1121",$F11,0)</f>
        <v>0</v>
      </c>
      <c r="M11" s="221">
        <f t="shared" ref="M11:M18" ca="1" si="4">IF($H11="1121",$F11,0)</f>
        <v>0</v>
      </c>
      <c r="N11" s="221">
        <f t="shared" ref="N11:N18" ca="1" si="5">IF($G11="1331",$F11,0)</f>
        <v>0</v>
      </c>
      <c r="O11" s="221">
        <f t="shared" ref="O11:O18" ca="1" si="6">IF($H11="1331",$F11,0)</f>
        <v>0</v>
      </c>
      <c r="P11" s="221">
        <f t="shared" ref="P11:P18" ca="1" si="7">IF($G11="1388",$F11,0)</f>
        <v>0</v>
      </c>
      <c r="Q11" s="221">
        <f t="shared" ref="Q11:Q18" ca="1" si="8">IF($H11="1388",$F11,0)</f>
        <v>0</v>
      </c>
      <c r="R11" s="221">
        <f ca="1">IF($G11="2412",$F11,0)</f>
        <v>0</v>
      </c>
      <c r="S11" s="221">
        <f ca="1">IF($H11="2412",$F11,0)</f>
        <v>0</v>
      </c>
      <c r="T11" s="221">
        <f t="shared" ref="T11:T18" ca="1" si="9">IF($G11="331",$F11,0)</f>
        <v>0</v>
      </c>
      <c r="U11" s="221">
        <f t="shared" ref="U11:U18" ca="1" si="10">IF($H11="331",$F11,0)</f>
        <v>0</v>
      </c>
      <c r="V11" s="221">
        <f t="shared" ref="V11:V18" ca="1" si="11">IF($G11="3334",$F11,0)</f>
        <v>0</v>
      </c>
      <c r="W11" s="221">
        <f t="shared" ref="W11:W18" ca="1" si="12">IF($H11="3334",$F11,0)</f>
        <v>0</v>
      </c>
      <c r="X11" s="221">
        <f t="shared" ref="X11:X18" ca="1" si="13">IF($G11="33382",$F11,0)</f>
        <v>0</v>
      </c>
      <c r="Y11" s="221">
        <f t="shared" ref="Y11:Y18" ca="1" si="14">IF($H11="33382",$F11,0)</f>
        <v>0</v>
      </c>
      <c r="Z11" s="221">
        <f t="shared" ref="Z11:Z18" ca="1" si="15">IF($G11="3388",$F11,0)</f>
        <v>0</v>
      </c>
      <c r="AA11" s="221">
        <f t="shared" ref="AA11:AA18" ca="1" si="16">IF($H11="3388",$F11,0)</f>
        <v>0</v>
      </c>
      <c r="AB11" s="221">
        <f t="shared" ref="AB11:AB18" ca="1" si="17">IF($G11="3411",$F11,0)</f>
        <v>0</v>
      </c>
      <c r="AC11" s="221">
        <f t="shared" ref="AC11:AC18" ca="1" si="18">IF($H11="3411",$F11,0)</f>
        <v>0</v>
      </c>
      <c r="AD11" s="221">
        <f t="shared" ref="AD11:AD18" ca="1" si="19">IF($G11="4111",$F11,0)</f>
        <v>0</v>
      </c>
      <c r="AE11" s="221">
        <f t="shared" ref="AE11:AE18" ca="1" si="20">IF($H11="4111",$F11,0)</f>
        <v>0</v>
      </c>
      <c r="AF11" s="221">
        <f t="shared" ref="AF11:AF18" ca="1" si="21">IF($G11="4211",$F11,0)</f>
        <v>0</v>
      </c>
      <c r="AG11" s="221">
        <f t="shared" ref="AG11:AG18" ca="1" si="22">IF($H11="4211",$F11,0)</f>
        <v>0</v>
      </c>
      <c r="AH11" s="221">
        <f t="shared" ref="AH11:AH18" ca="1" si="23">IF($G11="4212",$F11,0)</f>
        <v>0</v>
      </c>
      <c r="AI11" s="221">
        <f t="shared" ref="AI11:AI18" ca="1" si="24">IF($H11="4212",$F11,0)</f>
        <v>0</v>
      </c>
      <c r="AJ11" s="221">
        <f t="shared" ref="AJ11:AJ18" ca="1" si="25">IF($G11="515",$F11,0)</f>
        <v>0</v>
      </c>
      <c r="AK11" s="221">
        <f t="shared" ref="AK11:AK18" ca="1" si="26">IF($H11="515",$F11,0)</f>
        <v>0</v>
      </c>
      <c r="AL11" s="221">
        <f t="shared" ref="AL11:AL18" ca="1" si="27">IF($G11="635",$F11,0)</f>
        <v>0</v>
      </c>
      <c r="AM11" s="221">
        <f t="shared" ref="AM11:AM18" ca="1" si="28">IF($H11="635",$F11,0)</f>
        <v>0</v>
      </c>
      <c r="AN11" s="221">
        <f t="shared" ref="AN11:AN18" ca="1" si="29">IF($G11="642",$F11,0)</f>
        <v>0</v>
      </c>
      <c r="AO11" s="221">
        <f t="shared" ref="AO11:AO18" ca="1" si="30">IF($H11="642",$F11,0)</f>
        <v>0</v>
      </c>
      <c r="AP11" s="221">
        <f t="shared" ref="AP11:AP18" ca="1" si="31">IF($G11="711",$F11,0)</f>
        <v>0</v>
      </c>
      <c r="AQ11" s="221">
        <f t="shared" ref="AQ11:AQ18" ca="1" si="32">IF($H11="711",$F11,0)</f>
        <v>0</v>
      </c>
      <c r="AR11" s="221">
        <f t="shared" ref="AR11:AR18" ca="1" si="33">IF($G11="811",$F11,0)</f>
        <v>0</v>
      </c>
      <c r="AS11" s="221">
        <f t="shared" ref="AS11:AS18" ca="1" si="34">IF($H11="811",$F11,0)</f>
        <v>0</v>
      </c>
      <c r="AT11" s="221">
        <f t="shared" ref="AT11:AT18" ca="1" si="35">IF($G11="821",$F11,0)</f>
        <v>0</v>
      </c>
      <c r="AU11" s="221">
        <f t="shared" ref="AU11:AU18" ca="1" si="36">IF($H11="821",$F11,0)</f>
        <v>0</v>
      </c>
      <c r="AV11" s="221">
        <f t="shared" ref="AV11:AV18" ca="1" si="37">IF($G11="911",$F11,0)</f>
        <v>0</v>
      </c>
      <c r="AW11" s="221">
        <f t="shared" ref="AW11:AW18" ca="1" si="38">IF($H11="911",$F11,0)</f>
        <v>0</v>
      </c>
    </row>
    <row r="12" spans="1:49" s="218" customFormat="1" ht="12" customHeight="1">
      <c r="A12" s="40" t="str">
        <f t="array" ref="A12">IF(C12&lt;&gt;0,SUM(($C$11:C12&lt;&gt;0)*1),"")</f>
        <v/>
      </c>
      <c r="B12" s="219"/>
      <c r="C12" s="219"/>
      <c r="D12" s="219"/>
      <c r="E12" s="268"/>
      <c r="F12" s="269"/>
      <c r="G12" s="271"/>
      <c r="H12" s="271"/>
      <c r="I12" s="40" t="str">
        <f t="shared" si="0"/>
        <v/>
      </c>
      <c r="J12" s="221">
        <f t="shared" si="1"/>
        <v>0</v>
      </c>
      <c r="K12" s="221">
        <f t="shared" si="2"/>
        <v>0</v>
      </c>
      <c r="L12" s="221">
        <f t="shared" si="3"/>
        <v>0</v>
      </c>
      <c r="M12" s="221">
        <f t="shared" si="4"/>
        <v>0</v>
      </c>
      <c r="N12" s="221">
        <f t="shared" si="5"/>
        <v>0</v>
      </c>
      <c r="O12" s="221">
        <f t="shared" si="6"/>
        <v>0</v>
      </c>
      <c r="P12" s="221">
        <f t="shared" si="7"/>
        <v>0</v>
      </c>
      <c r="Q12" s="221">
        <f t="shared" si="8"/>
        <v>0</v>
      </c>
      <c r="R12" s="221">
        <f t="shared" ref="R12:R18" si="39">IF($G12="2412",$F12,0)</f>
        <v>0</v>
      </c>
      <c r="S12" s="221">
        <f t="shared" ref="S12:S18" si="40">IF($H12="2412",$F12,0)</f>
        <v>0</v>
      </c>
      <c r="T12" s="221">
        <f t="shared" si="9"/>
        <v>0</v>
      </c>
      <c r="U12" s="221">
        <f t="shared" si="10"/>
        <v>0</v>
      </c>
      <c r="V12" s="221">
        <f t="shared" si="11"/>
        <v>0</v>
      </c>
      <c r="W12" s="221">
        <f t="shared" si="12"/>
        <v>0</v>
      </c>
      <c r="X12" s="221">
        <f t="shared" si="13"/>
        <v>0</v>
      </c>
      <c r="Y12" s="221">
        <f t="shared" si="14"/>
        <v>0</v>
      </c>
      <c r="Z12" s="221">
        <f t="shared" si="15"/>
        <v>0</v>
      </c>
      <c r="AA12" s="221">
        <f t="shared" si="16"/>
        <v>0</v>
      </c>
      <c r="AB12" s="221">
        <f t="shared" si="17"/>
        <v>0</v>
      </c>
      <c r="AC12" s="221">
        <f t="shared" si="18"/>
        <v>0</v>
      </c>
      <c r="AD12" s="221">
        <f t="shared" si="19"/>
        <v>0</v>
      </c>
      <c r="AE12" s="221">
        <f t="shared" si="20"/>
        <v>0</v>
      </c>
      <c r="AF12" s="221">
        <f t="shared" si="21"/>
        <v>0</v>
      </c>
      <c r="AG12" s="221">
        <f t="shared" si="22"/>
        <v>0</v>
      </c>
      <c r="AH12" s="221">
        <f t="shared" si="23"/>
        <v>0</v>
      </c>
      <c r="AI12" s="221">
        <f t="shared" si="24"/>
        <v>0</v>
      </c>
      <c r="AJ12" s="221">
        <f t="shared" si="25"/>
        <v>0</v>
      </c>
      <c r="AK12" s="221">
        <f t="shared" si="26"/>
        <v>0</v>
      </c>
      <c r="AL12" s="221">
        <f t="shared" si="27"/>
        <v>0</v>
      </c>
      <c r="AM12" s="221">
        <f t="shared" si="28"/>
        <v>0</v>
      </c>
      <c r="AN12" s="221">
        <f t="shared" si="29"/>
        <v>0</v>
      </c>
      <c r="AO12" s="221">
        <f t="shared" si="30"/>
        <v>0</v>
      </c>
      <c r="AP12" s="221">
        <f t="shared" si="31"/>
        <v>0</v>
      </c>
      <c r="AQ12" s="221">
        <f t="shared" si="32"/>
        <v>0</v>
      </c>
      <c r="AR12" s="221">
        <f t="shared" si="33"/>
        <v>0</v>
      </c>
      <c r="AS12" s="221">
        <f t="shared" si="34"/>
        <v>0</v>
      </c>
      <c r="AT12" s="221">
        <f t="shared" si="35"/>
        <v>0</v>
      </c>
      <c r="AU12" s="221">
        <f t="shared" si="36"/>
        <v>0</v>
      </c>
      <c r="AV12" s="221">
        <f t="shared" si="37"/>
        <v>0</v>
      </c>
      <c r="AW12" s="221">
        <f t="shared" si="38"/>
        <v>0</v>
      </c>
    </row>
    <row r="13" spans="1:49" s="218" customFormat="1" ht="12" customHeight="1">
      <c r="A13" s="40" t="str">
        <f t="array" ref="A13">IF(C13&lt;&gt;0,SUM(($C$11:C13&lt;&gt;0)*1),"")</f>
        <v/>
      </c>
      <c r="B13" s="219"/>
      <c r="C13" s="219"/>
      <c r="D13" s="219"/>
      <c r="E13" s="268"/>
      <c r="F13" s="269"/>
      <c r="G13" s="271"/>
      <c r="H13" s="271"/>
      <c r="I13" s="40" t="str">
        <f t="shared" si="0"/>
        <v/>
      </c>
      <c r="J13" s="221">
        <f t="shared" si="1"/>
        <v>0</v>
      </c>
      <c r="K13" s="221">
        <f t="shared" si="2"/>
        <v>0</v>
      </c>
      <c r="L13" s="221">
        <f t="shared" si="3"/>
        <v>0</v>
      </c>
      <c r="M13" s="221">
        <f t="shared" si="4"/>
        <v>0</v>
      </c>
      <c r="N13" s="221">
        <f t="shared" si="5"/>
        <v>0</v>
      </c>
      <c r="O13" s="221">
        <f t="shared" si="6"/>
        <v>0</v>
      </c>
      <c r="P13" s="221">
        <f t="shared" si="7"/>
        <v>0</v>
      </c>
      <c r="Q13" s="221">
        <f t="shared" si="8"/>
        <v>0</v>
      </c>
      <c r="R13" s="221">
        <f t="shared" si="39"/>
        <v>0</v>
      </c>
      <c r="S13" s="221">
        <f t="shared" si="40"/>
        <v>0</v>
      </c>
      <c r="T13" s="221">
        <f t="shared" si="9"/>
        <v>0</v>
      </c>
      <c r="U13" s="221">
        <f t="shared" si="10"/>
        <v>0</v>
      </c>
      <c r="V13" s="221">
        <f t="shared" si="11"/>
        <v>0</v>
      </c>
      <c r="W13" s="221">
        <f t="shared" si="12"/>
        <v>0</v>
      </c>
      <c r="X13" s="221">
        <f t="shared" si="13"/>
        <v>0</v>
      </c>
      <c r="Y13" s="221">
        <f t="shared" si="14"/>
        <v>0</v>
      </c>
      <c r="Z13" s="221">
        <f t="shared" si="15"/>
        <v>0</v>
      </c>
      <c r="AA13" s="221">
        <f t="shared" si="16"/>
        <v>0</v>
      </c>
      <c r="AB13" s="221">
        <f t="shared" si="17"/>
        <v>0</v>
      </c>
      <c r="AC13" s="221">
        <f t="shared" si="18"/>
        <v>0</v>
      </c>
      <c r="AD13" s="221">
        <f t="shared" si="19"/>
        <v>0</v>
      </c>
      <c r="AE13" s="221">
        <f t="shared" si="20"/>
        <v>0</v>
      </c>
      <c r="AF13" s="221">
        <f t="shared" si="21"/>
        <v>0</v>
      </c>
      <c r="AG13" s="221">
        <f t="shared" si="22"/>
        <v>0</v>
      </c>
      <c r="AH13" s="221">
        <f t="shared" si="23"/>
        <v>0</v>
      </c>
      <c r="AI13" s="221">
        <f t="shared" si="24"/>
        <v>0</v>
      </c>
      <c r="AJ13" s="221">
        <f t="shared" si="25"/>
        <v>0</v>
      </c>
      <c r="AK13" s="221">
        <f t="shared" si="26"/>
        <v>0</v>
      </c>
      <c r="AL13" s="221">
        <f t="shared" si="27"/>
        <v>0</v>
      </c>
      <c r="AM13" s="221">
        <f t="shared" si="28"/>
        <v>0</v>
      </c>
      <c r="AN13" s="221">
        <f t="shared" si="29"/>
        <v>0</v>
      </c>
      <c r="AO13" s="221">
        <f t="shared" si="30"/>
        <v>0</v>
      </c>
      <c r="AP13" s="221">
        <f t="shared" si="31"/>
        <v>0</v>
      </c>
      <c r="AQ13" s="221">
        <f t="shared" si="32"/>
        <v>0</v>
      </c>
      <c r="AR13" s="221">
        <f t="shared" si="33"/>
        <v>0</v>
      </c>
      <c r="AS13" s="221">
        <f t="shared" si="34"/>
        <v>0</v>
      </c>
      <c r="AT13" s="221">
        <f t="shared" si="35"/>
        <v>0</v>
      </c>
      <c r="AU13" s="221">
        <f t="shared" si="36"/>
        <v>0</v>
      </c>
      <c r="AV13" s="221">
        <f t="shared" si="37"/>
        <v>0</v>
      </c>
      <c r="AW13" s="221">
        <f t="shared" si="38"/>
        <v>0</v>
      </c>
    </row>
    <row r="14" spans="1:49" s="218" customFormat="1" ht="12" customHeight="1">
      <c r="A14" s="40" t="str">
        <f t="array" ref="A14">IF(C14&lt;&gt;0,SUM(($C$11:C14&lt;&gt;0)*1),"")</f>
        <v/>
      </c>
      <c r="B14" s="219"/>
      <c r="C14" s="219"/>
      <c r="D14" s="219"/>
      <c r="E14" s="268"/>
      <c r="F14" s="269"/>
      <c r="G14" s="271"/>
      <c r="H14" s="271"/>
      <c r="I14" s="40" t="str">
        <f t="shared" si="0"/>
        <v/>
      </c>
      <c r="J14" s="221">
        <f t="shared" si="1"/>
        <v>0</v>
      </c>
      <c r="K14" s="221">
        <f t="shared" si="2"/>
        <v>0</v>
      </c>
      <c r="L14" s="221">
        <f t="shared" si="3"/>
        <v>0</v>
      </c>
      <c r="M14" s="221">
        <f t="shared" si="4"/>
        <v>0</v>
      </c>
      <c r="N14" s="221">
        <f t="shared" si="5"/>
        <v>0</v>
      </c>
      <c r="O14" s="221">
        <f t="shared" si="6"/>
        <v>0</v>
      </c>
      <c r="P14" s="221">
        <f t="shared" si="7"/>
        <v>0</v>
      </c>
      <c r="Q14" s="221">
        <f t="shared" si="8"/>
        <v>0</v>
      </c>
      <c r="R14" s="221">
        <f t="shared" si="39"/>
        <v>0</v>
      </c>
      <c r="S14" s="221">
        <f t="shared" si="40"/>
        <v>0</v>
      </c>
      <c r="T14" s="221">
        <f t="shared" si="9"/>
        <v>0</v>
      </c>
      <c r="U14" s="221">
        <f t="shared" si="10"/>
        <v>0</v>
      </c>
      <c r="V14" s="221">
        <f t="shared" si="11"/>
        <v>0</v>
      </c>
      <c r="W14" s="221">
        <f t="shared" si="12"/>
        <v>0</v>
      </c>
      <c r="X14" s="221">
        <f t="shared" si="13"/>
        <v>0</v>
      </c>
      <c r="Y14" s="221">
        <f t="shared" si="14"/>
        <v>0</v>
      </c>
      <c r="Z14" s="221">
        <f t="shared" si="15"/>
        <v>0</v>
      </c>
      <c r="AA14" s="221">
        <f t="shared" si="16"/>
        <v>0</v>
      </c>
      <c r="AB14" s="221">
        <f t="shared" si="17"/>
        <v>0</v>
      </c>
      <c r="AC14" s="221">
        <f t="shared" si="18"/>
        <v>0</v>
      </c>
      <c r="AD14" s="221">
        <f t="shared" si="19"/>
        <v>0</v>
      </c>
      <c r="AE14" s="221">
        <f t="shared" si="20"/>
        <v>0</v>
      </c>
      <c r="AF14" s="221">
        <f t="shared" si="21"/>
        <v>0</v>
      </c>
      <c r="AG14" s="221">
        <f t="shared" si="22"/>
        <v>0</v>
      </c>
      <c r="AH14" s="221">
        <f t="shared" si="23"/>
        <v>0</v>
      </c>
      <c r="AI14" s="221">
        <f t="shared" si="24"/>
        <v>0</v>
      </c>
      <c r="AJ14" s="221">
        <f t="shared" si="25"/>
        <v>0</v>
      </c>
      <c r="AK14" s="221">
        <f t="shared" si="26"/>
        <v>0</v>
      </c>
      <c r="AL14" s="221">
        <f t="shared" si="27"/>
        <v>0</v>
      </c>
      <c r="AM14" s="221">
        <f t="shared" si="28"/>
        <v>0</v>
      </c>
      <c r="AN14" s="221">
        <f t="shared" si="29"/>
        <v>0</v>
      </c>
      <c r="AO14" s="221">
        <f t="shared" si="30"/>
        <v>0</v>
      </c>
      <c r="AP14" s="221">
        <f t="shared" si="31"/>
        <v>0</v>
      </c>
      <c r="AQ14" s="221">
        <f t="shared" si="32"/>
        <v>0</v>
      </c>
      <c r="AR14" s="221">
        <f t="shared" si="33"/>
        <v>0</v>
      </c>
      <c r="AS14" s="221">
        <f t="shared" si="34"/>
        <v>0</v>
      </c>
      <c r="AT14" s="221">
        <f t="shared" si="35"/>
        <v>0</v>
      </c>
      <c r="AU14" s="221">
        <f t="shared" si="36"/>
        <v>0</v>
      </c>
      <c r="AV14" s="221">
        <f t="shared" si="37"/>
        <v>0</v>
      </c>
      <c r="AW14" s="221">
        <f t="shared" si="38"/>
        <v>0</v>
      </c>
    </row>
    <row r="15" spans="1:49" s="218" customFormat="1" ht="12" customHeight="1">
      <c r="A15" s="40" t="str">
        <f t="array" ref="A15">IF(C15&lt;&gt;0,SUM(($C$11:C15&lt;&gt;0)*1),"")</f>
        <v/>
      </c>
      <c r="B15" s="219"/>
      <c r="C15" s="219"/>
      <c r="D15" s="219"/>
      <c r="E15" s="268"/>
      <c r="F15" s="269"/>
      <c r="G15" s="271"/>
      <c r="H15" s="271"/>
      <c r="I15" s="40" t="str">
        <f t="shared" si="0"/>
        <v/>
      </c>
      <c r="J15" s="221">
        <f t="shared" si="1"/>
        <v>0</v>
      </c>
      <c r="K15" s="221">
        <f t="shared" si="2"/>
        <v>0</v>
      </c>
      <c r="L15" s="221">
        <f t="shared" si="3"/>
        <v>0</v>
      </c>
      <c r="M15" s="221">
        <f t="shared" si="4"/>
        <v>0</v>
      </c>
      <c r="N15" s="221">
        <f t="shared" si="5"/>
        <v>0</v>
      </c>
      <c r="O15" s="221">
        <f t="shared" si="6"/>
        <v>0</v>
      </c>
      <c r="P15" s="221">
        <f t="shared" si="7"/>
        <v>0</v>
      </c>
      <c r="Q15" s="221">
        <f t="shared" si="8"/>
        <v>0</v>
      </c>
      <c r="R15" s="221">
        <f t="shared" si="39"/>
        <v>0</v>
      </c>
      <c r="S15" s="221">
        <f t="shared" si="40"/>
        <v>0</v>
      </c>
      <c r="T15" s="221">
        <f t="shared" si="9"/>
        <v>0</v>
      </c>
      <c r="U15" s="221">
        <f t="shared" si="10"/>
        <v>0</v>
      </c>
      <c r="V15" s="221">
        <f t="shared" si="11"/>
        <v>0</v>
      </c>
      <c r="W15" s="221">
        <f t="shared" si="12"/>
        <v>0</v>
      </c>
      <c r="X15" s="221">
        <f t="shared" si="13"/>
        <v>0</v>
      </c>
      <c r="Y15" s="221">
        <f t="shared" si="14"/>
        <v>0</v>
      </c>
      <c r="Z15" s="221">
        <f t="shared" si="15"/>
        <v>0</v>
      </c>
      <c r="AA15" s="221">
        <f t="shared" si="16"/>
        <v>0</v>
      </c>
      <c r="AB15" s="221">
        <f t="shared" si="17"/>
        <v>0</v>
      </c>
      <c r="AC15" s="221">
        <f t="shared" si="18"/>
        <v>0</v>
      </c>
      <c r="AD15" s="221">
        <f t="shared" si="19"/>
        <v>0</v>
      </c>
      <c r="AE15" s="221">
        <f t="shared" si="20"/>
        <v>0</v>
      </c>
      <c r="AF15" s="221">
        <f t="shared" si="21"/>
        <v>0</v>
      </c>
      <c r="AG15" s="221">
        <f t="shared" si="22"/>
        <v>0</v>
      </c>
      <c r="AH15" s="221">
        <f t="shared" si="23"/>
        <v>0</v>
      </c>
      <c r="AI15" s="221">
        <f t="shared" si="24"/>
        <v>0</v>
      </c>
      <c r="AJ15" s="221">
        <f t="shared" si="25"/>
        <v>0</v>
      </c>
      <c r="AK15" s="221">
        <f t="shared" si="26"/>
        <v>0</v>
      </c>
      <c r="AL15" s="221">
        <f t="shared" si="27"/>
        <v>0</v>
      </c>
      <c r="AM15" s="221">
        <f t="shared" si="28"/>
        <v>0</v>
      </c>
      <c r="AN15" s="221">
        <f t="shared" si="29"/>
        <v>0</v>
      </c>
      <c r="AO15" s="221">
        <f t="shared" si="30"/>
        <v>0</v>
      </c>
      <c r="AP15" s="221">
        <f t="shared" si="31"/>
        <v>0</v>
      </c>
      <c r="AQ15" s="221">
        <f t="shared" si="32"/>
        <v>0</v>
      </c>
      <c r="AR15" s="221">
        <f t="shared" si="33"/>
        <v>0</v>
      </c>
      <c r="AS15" s="221">
        <f t="shared" si="34"/>
        <v>0</v>
      </c>
      <c r="AT15" s="221">
        <f t="shared" si="35"/>
        <v>0</v>
      </c>
      <c r="AU15" s="221">
        <f t="shared" si="36"/>
        <v>0</v>
      </c>
      <c r="AV15" s="221">
        <f t="shared" si="37"/>
        <v>0</v>
      </c>
      <c r="AW15" s="221">
        <f t="shared" si="38"/>
        <v>0</v>
      </c>
    </row>
    <row r="16" spans="1:49" s="218" customFormat="1" ht="12" customHeight="1">
      <c r="A16" s="40" t="str">
        <f t="array" ref="A16">IF(C16&lt;&gt;0,SUM(($C$11:C16&lt;&gt;0)*1),"")</f>
        <v/>
      </c>
      <c r="B16" s="219"/>
      <c r="C16" s="219"/>
      <c r="D16" s="219"/>
      <c r="E16" s="268"/>
      <c r="F16" s="269"/>
      <c r="G16" s="271"/>
      <c r="H16" s="271"/>
      <c r="I16" s="40" t="str">
        <f t="shared" si="0"/>
        <v/>
      </c>
      <c r="J16" s="221">
        <f t="shared" si="1"/>
        <v>0</v>
      </c>
      <c r="K16" s="221">
        <f t="shared" si="2"/>
        <v>0</v>
      </c>
      <c r="L16" s="221">
        <f t="shared" si="3"/>
        <v>0</v>
      </c>
      <c r="M16" s="221">
        <f t="shared" si="4"/>
        <v>0</v>
      </c>
      <c r="N16" s="221">
        <f t="shared" si="5"/>
        <v>0</v>
      </c>
      <c r="O16" s="221">
        <f t="shared" si="6"/>
        <v>0</v>
      </c>
      <c r="P16" s="221">
        <f t="shared" si="7"/>
        <v>0</v>
      </c>
      <c r="Q16" s="221">
        <f t="shared" si="8"/>
        <v>0</v>
      </c>
      <c r="R16" s="221">
        <f t="shared" si="39"/>
        <v>0</v>
      </c>
      <c r="S16" s="221">
        <f t="shared" si="40"/>
        <v>0</v>
      </c>
      <c r="T16" s="221">
        <f t="shared" si="9"/>
        <v>0</v>
      </c>
      <c r="U16" s="221">
        <f t="shared" si="10"/>
        <v>0</v>
      </c>
      <c r="V16" s="221">
        <f t="shared" si="11"/>
        <v>0</v>
      </c>
      <c r="W16" s="221">
        <f t="shared" si="12"/>
        <v>0</v>
      </c>
      <c r="X16" s="221">
        <f t="shared" si="13"/>
        <v>0</v>
      </c>
      <c r="Y16" s="221">
        <f t="shared" si="14"/>
        <v>0</v>
      </c>
      <c r="Z16" s="221">
        <f t="shared" si="15"/>
        <v>0</v>
      </c>
      <c r="AA16" s="221">
        <f t="shared" si="16"/>
        <v>0</v>
      </c>
      <c r="AB16" s="221">
        <f t="shared" si="17"/>
        <v>0</v>
      </c>
      <c r="AC16" s="221">
        <f t="shared" si="18"/>
        <v>0</v>
      </c>
      <c r="AD16" s="221">
        <f t="shared" si="19"/>
        <v>0</v>
      </c>
      <c r="AE16" s="221">
        <f t="shared" si="20"/>
        <v>0</v>
      </c>
      <c r="AF16" s="221">
        <f t="shared" si="21"/>
        <v>0</v>
      </c>
      <c r="AG16" s="221">
        <f t="shared" si="22"/>
        <v>0</v>
      </c>
      <c r="AH16" s="221">
        <f t="shared" si="23"/>
        <v>0</v>
      </c>
      <c r="AI16" s="221">
        <f t="shared" si="24"/>
        <v>0</v>
      </c>
      <c r="AJ16" s="221">
        <f t="shared" si="25"/>
        <v>0</v>
      </c>
      <c r="AK16" s="221">
        <f t="shared" si="26"/>
        <v>0</v>
      </c>
      <c r="AL16" s="221">
        <f t="shared" si="27"/>
        <v>0</v>
      </c>
      <c r="AM16" s="221">
        <f t="shared" si="28"/>
        <v>0</v>
      </c>
      <c r="AN16" s="221">
        <f t="shared" si="29"/>
        <v>0</v>
      </c>
      <c r="AO16" s="221">
        <f t="shared" si="30"/>
        <v>0</v>
      </c>
      <c r="AP16" s="221">
        <f t="shared" si="31"/>
        <v>0</v>
      </c>
      <c r="AQ16" s="221">
        <f t="shared" si="32"/>
        <v>0</v>
      </c>
      <c r="AR16" s="221">
        <f t="shared" si="33"/>
        <v>0</v>
      </c>
      <c r="AS16" s="221">
        <f t="shared" si="34"/>
        <v>0</v>
      </c>
      <c r="AT16" s="221">
        <f t="shared" si="35"/>
        <v>0</v>
      </c>
      <c r="AU16" s="221">
        <f t="shared" si="36"/>
        <v>0</v>
      </c>
      <c r="AV16" s="221">
        <f t="shared" si="37"/>
        <v>0</v>
      </c>
      <c r="AW16" s="221">
        <f t="shared" si="38"/>
        <v>0</v>
      </c>
    </row>
    <row r="17" spans="1:49" s="218" customFormat="1" ht="12" customHeight="1">
      <c r="A17" s="40" t="str">
        <f t="array" ref="A17">IF(C17&lt;&gt;0,SUM(($C$11:C17&lt;&gt;0)*1),"")</f>
        <v/>
      </c>
      <c r="B17" s="219"/>
      <c r="C17" s="219"/>
      <c r="D17" s="219"/>
      <c r="E17" s="268"/>
      <c r="F17" s="269"/>
      <c r="G17" s="271"/>
      <c r="H17" s="271"/>
      <c r="I17" s="40" t="str">
        <f t="shared" si="0"/>
        <v/>
      </c>
      <c r="J17" s="221">
        <f t="shared" si="1"/>
        <v>0</v>
      </c>
      <c r="K17" s="221">
        <f t="shared" si="2"/>
        <v>0</v>
      </c>
      <c r="L17" s="221">
        <f t="shared" si="3"/>
        <v>0</v>
      </c>
      <c r="M17" s="221">
        <f t="shared" si="4"/>
        <v>0</v>
      </c>
      <c r="N17" s="221">
        <f t="shared" si="5"/>
        <v>0</v>
      </c>
      <c r="O17" s="221">
        <f t="shared" si="6"/>
        <v>0</v>
      </c>
      <c r="P17" s="221">
        <f t="shared" si="7"/>
        <v>0</v>
      </c>
      <c r="Q17" s="221">
        <f t="shared" si="8"/>
        <v>0</v>
      </c>
      <c r="R17" s="221">
        <f t="shared" si="39"/>
        <v>0</v>
      </c>
      <c r="S17" s="221">
        <f t="shared" si="40"/>
        <v>0</v>
      </c>
      <c r="T17" s="221">
        <f t="shared" si="9"/>
        <v>0</v>
      </c>
      <c r="U17" s="221">
        <f t="shared" si="10"/>
        <v>0</v>
      </c>
      <c r="V17" s="221">
        <f t="shared" si="11"/>
        <v>0</v>
      </c>
      <c r="W17" s="221">
        <f t="shared" si="12"/>
        <v>0</v>
      </c>
      <c r="X17" s="221">
        <f t="shared" si="13"/>
        <v>0</v>
      </c>
      <c r="Y17" s="221">
        <f t="shared" si="14"/>
        <v>0</v>
      </c>
      <c r="Z17" s="221">
        <f t="shared" si="15"/>
        <v>0</v>
      </c>
      <c r="AA17" s="221">
        <f t="shared" si="16"/>
        <v>0</v>
      </c>
      <c r="AB17" s="221">
        <f t="shared" si="17"/>
        <v>0</v>
      </c>
      <c r="AC17" s="221">
        <f t="shared" si="18"/>
        <v>0</v>
      </c>
      <c r="AD17" s="221">
        <f t="shared" si="19"/>
        <v>0</v>
      </c>
      <c r="AE17" s="221">
        <f t="shared" si="20"/>
        <v>0</v>
      </c>
      <c r="AF17" s="221">
        <f t="shared" si="21"/>
        <v>0</v>
      </c>
      <c r="AG17" s="221">
        <f t="shared" si="22"/>
        <v>0</v>
      </c>
      <c r="AH17" s="221">
        <f t="shared" si="23"/>
        <v>0</v>
      </c>
      <c r="AI17" s="221">
        <f t="shared" si="24"/>
        <v>0</v>
      </c>
      <c r="AJ17" s="221">
        <f t="shared" si="25"/>
        <v>0</v>
      </c>
      <c r="AK17" s="221">
        <f t="shared" si="26"/>
        <v>0</v>
      </c>
      <c r="AL17" s="221">
        <f t="shared" si="27"/>
        <v>0</v>
      </c>
      <c r="AM17" s="221">
        <f t="shared" si="28"/>
        <v>0</v>
      </c>
      <c r="AN17" s="221">
        <f t="shared" si="29"/>
        <v>0</v>
      </c>
      <c r="AO17" s="221">
        <f t="shared" si="30"/>
        <v>0</v>
      </c>
      <c r="AP17" s="221">
        <f t="shared" si="31"/>
        <v>0</v>
      </c>
      <c r="AQ17" s="221">
        <f t="shared" si="32"/>
        <v>0</v>
      </c>
      <c r="AR17" s="221">
        <f t="shared" si="33"/>
        <v>0</v>
      </c>
      <c r="AS17" s="221">
        <f t="shared" si="34"/>
        <v>0</v>
      </c>
      <c r="AT17" s="221">
        <f t="shared" si="35"/>
        <v>0</v>
      </c>
      <c r="AU17" s="221">
        <f t="shared" si="36"/>
        <v>0</v>
      </c>
      <c r="AV17" s="221">
        <f t="shared" si="37"/>
        <v>0</v>
      </c>
      <c r="AW17" s="221">
        <f t="shared" si="38"/>
        <v>0</v>
      </c>
    </row>
    <row r="18" spans="1:49" s="218" customFormat="1" ht="12" customHeight="1">
      <c r="A18" s="40" t="str">
        <f t="array" ref="A18">IF(C18&lt;&gt;0,SUM(($C$11:C18&lt;&gt;0)*1),"")</f>
        <v/>
      </c>
      <c r="B18" s="219"/>
      <c r="C18" s="219"/>
      <c r="D18" s="219"/>
      <c r="E18" s="268"/>
      <c r="F18" s="269"/>
      <c r="G18" s="271"/>
      <c r="H18" s="271"/>
      <c r="I18" s="40" t="str">
        <f t="shared" si="0"/>
        <v/>
      </c>
      <c r="J18" s="221">
        <f t="shared" si="1"/>
        <v>0</v>
      </c>
      <c r="K18" s="221">
        <f t="shared" si="2"/>
        <v>0</v>
      </c>
      <c r="L18" s="221">
        <f t="shared" si="3"/>
        <v>0</v>
      </c>
      <c r="M18" s="221">
        <f t="shared" si="4"/>
        <v>0</v>
      </c>
      <c r="N18" s="221">
        <f t="shared" si="5"/>
        <v>0</v>
      </c>
      <c r="O18" s="221">
        <f t="shared" si="6"/>
        <v>0</v>
      </c>
      <c r="P18" s="221">
        <f t="shared" si="7"/>
        <v>0</v>
      </c>
      <c r="Q18" s="221">
        <f t="shared" si="8"/>
        <v>0</v>
      </c>
      <c r="R18" s="221">
        <f t="shared" si="39"/>
        <v>0</v>
      </c>
      <c r="S18" s="221">
        <f t="shared" si="40"/>
        <v>0</v>
      </c>
      <c r="T18" s="221">
        <f t="shared" si="9"/>
        <v>0</v>
      </c>
      <c r="U18" s="221">
        <f t="shared" si="10"/>
        <v>0</v>
      </c>
      <c r="V18" s="221">
        <f t="shared" si="11"/>
        <v>0</v>
      </c>
      <c r="W18" s="221">
        <f t="shared" si="12"/>
        <v>0</v>
      </c>
      <c r="X18" s="221">
        <f t="shared" si="13"/>
        <v>0</v>
      </c>
      <c r="Y18" s="221">
        <f t="shared" si="14"/>
        <v>0</v>
      </c>
      <c r="Z18" s="221">
        <f t="shared" si="15"/>
        <v>0</v>
      </c>
      <c r="AA18" s="221">
        <f t="shared" si="16"/>
        <v>0</v>
      </c>
      <c r="AB18" s="221">
        <f t="shared" si="17"/>
        <v>0</v>
      </c>
      <c r="AC18" s="221">
        <f t="shared" si="18"/>
        <v>0</v>
      </c>
      <c r="AD18" s="221">
        <f t="shared" si="19"/>
        <v>0</v>
      </c>
      <c r="AE18" s="221">
        <f t="shared" si="20"/>
        <v>0</v>
      </c>
      <c r="AF18" s="221">
        <f t="shared" si="21"/>
        <v>0</v>
      </c>
      <c r="AG18" s="221">
        <f t="shared" si="22"/>
        <v>0</v>
      </c>
      <c r="AH18" s="221">
        <f t="shared" si="23"/>
        <v>0</v>
      </c>
      <c r="AI18" s="221">
        <f t="shared" si="24"/>
        <v>0</v>
      </c>
      <c r="AJ18" s="221">
        <f t="shared" si="25"/>
        <v>0</v>
      </c>
      <c r="AK18" s="221">
        <f t="shared" si="26"/>
        <v>0</v>
      </c>
      <c r="AL18" s="221">
        <f t="shared" si="27"/>
        <v>0</v>
      </c>
      <c r="AM18" s="221">
        <f t="shared" si="28"/>
        <v>0</v>
      </c>
      <c r="AN18" s="221">
        <f t="shared" si="29"/>
        <v>0</v>
      </c>
      <c r="AO18" s="221">
        <f t="shared" si="30"/>
        <v>0</v>
      </c>
      <c r="AP18" s="221">
        <f t="shared" si="31"/>
        <v>0</v>
      </c>
      <c r="AQ18" s="221">
        <f t="shared" si="32"/>
        <v>0</v>
      </c>
      <c r="AR18" s="221">
        <f t="shared" si="33"/>
        <v>0</v>
      </c>
      <c r="AS18" s="221">
        <f t="shared" si="34"/>
        <v>0</v>
      </c>
      <c r="AT18" s="221">
        <f t="shared" si="35"/>
        <v>0</v>
      </c>
      <c r="AU18" s="221">
        <f t="shared" si="36"/>
        <v>0</v>
      </c>
      <c r="AV18" s="221">
        <f t="shared" si="37"/>
        <v>0</v>
      </c>
      <c r="AW18" s="221">
        <f t="shared" si="38"/>
        <v>0</v>
      </c>
    </row>
    <row r="19" spans="1:49" s="256" customFormat="1" ht="12" customHeight="1">
      <c r="A19" s="40">
        <f t="array" aca="1" ref="A19" ca="1">IF(C19&lt;&gt;0,SUM(($C$11:C19&lt;&gt;0)*1),"")</f>
        <v>2</v>
      </c>
      <c r="B19" s="222">
        <v>42369</v>
      </c>
      <c r="C19" s="222" t="s">
        <v>101</v>
      </c>
      <c r="D19" s="222">
        <f t="shared" ref="D19:D24" si="41">B19</f>
        <v>42369</v>
      </c>
      <c r="E19" s="223" t="s">
        <v>102</v>
      </c>
      <c r="F19" s="62">
        <f ca="1">AL26</f>
        <v>0</v>
      </c>
      <c r="G19" s="224" t="s">
        <v>151</v>
      </c>
      <c r="H19" s="224" t="s">
        <v>85</v>
      </c>
      <c r="I19" s="40">
        <f t="shared" ref="I19:I24" ca="1" si="42">A19</f>
        <v>2</v>
      </c>
      <c r="J19" s="221">
        <f t="shared" ref="J19:J25" si="43">IF($G19="1111",$F19,0)</f>
        <v>0</v>
      </c>
      <c r="K19" s="221">
        <f t="shared" ref="K19:K25" si="44">IF($H19="1111",$F19,0)</f>
        <v>0</v>
      </c>
      <c r="L19" s="221">
        <f t="shared" ref="L19:L25" si="45">IF($G19="1121",$F19,0)</f>
        <v>0</v>
      </c>
      <c r="M19" s="221">
        <f t="shared" ref="M19:M25" si="46">IF($H19="1121",$F19,0)</f>
        <v>0</v>
      </c>
      <c r="N19" s="221">
        <f t="shared" ref="N19:N25" si="47">IF($G19="1331",$F19,0)</f>
        <v>0</v>
      </c>
      <c r="O19" s="221">
        <f t="shared" ref="O19:O25" si="48">IF($H19="1331",$F19,0)</f>
        <v>0</v>
      </c>
      <c r="P19" s="221">
        <f t="shared" ref="P19:P25" si="49">IF($G19="1388",$F19,0)</f>
        <v>0</v>
      </c>
      <c r="Q19" s="221">
        <f t="shared" ref="Q19:Q25" si="50">IF($H19="1388",$F19,0)</f>
        <v>0</v>
      </c>
      <c r="R19" s="221">
        <f t="shared" ref="R19:R25" ca="1" si="51">IF($G19="2412",$F19,0)</f>
        <v>0</v>
      </c>
      <c r="S19" s="221">
        <f t="shared" ref="S19:S25" si="52">IF($H19="2412",$F19,0)</f>
        <v>0</v>
      </c>
      <c r="T19" s="221">
        <f t="shared" ref="T19:T25" si="53">IF($G19="331",$F19,0)</f>
        <v>0</v>
      </c>
      <c r="U19" s="221">
        <f t="shared" ref="U19:U25" si="54">IF($H19="331",$F19,0)</f>
        <v>0</v>
      </c>
      <c r="V19" s="221">
        <f t="shared" ref="V19:V25" si="55">IF($G19="3334",$F19,0)</f>
        <v>0</v>
      </c>
      <c r="W19" s="221">
        <f t="shared" ref="W19:W25" si="56">IF($H19="3334",$F19,0)</f>
        <v>0</v>
      </c>
      <c r="X19" s="221">
        <f t="shared" ref="X19:X25" si="57">IF($G19="33382",$F19,0)</f>
        <v>0</v>
      </c>
      <c r="Y19" s="221">
        <f t="shared" ref="Y19:Y25" si="58">IF($H19="33382",$F19,0)</f>
        <v>0</v>
      </c>
      <c r="Z19" s="221">
        <f t="shared" ref="Z19:Z25" si="59">IF($G19="3388",$F19,0)</f>
        <v>0</v>
      </c>
      <c r="AA19" s="221">
        <f t="shared" ref="AA19:AA25" si="60">IF($H19="3388",$F19,0)</f>
        <v>0</v>
      </c>
      <c r="AB19" s="221">
        <f t="shared" ref="AB19:AB25" si="61">IF($G19="3411",$F19,0)</f>
        <v>0</v>
      </c>
      <c r="AC19" s="221">
        <f t="shared" ref="AC19:AC25" si="62">IF($H19="3411",$F19,0)</f>
        <v>0</v>
      </c>
      <c r="AD19" s="221">
        <f t="shared" ref="AD19:AD25" si="63">IF($G19="4111",$F19,0)</f>
        <v>0</v>
      </c>
      <c r="AE19" s="221">
        <f t="shared" ref="AE19:AE25" si="64">IF($H19="4111",$F19,0)</f>
        <v>0</v>
      </c>
      <c r="AF19" s="221">
        <f t="shared" ref="AF19:AF25" si="65">IF($G19="4211",$F19,0)</f>
        <v>0</v>
      </c>
      <c r="AG19" s="221">
        <f t="shared" ref="AG19:AG25" si="66">IF($H19="4211",$F19,0)</f>
        <v>0</v>
      </c>
      <c r="AH19" s="221">
        <f t="shared" ref="AH19:AH25" si="67">IF($G19="4212",$F19,0)</f>
        <v>0</v>
      </c>
      <c r="AI19" s="221">
        <f t="shared" ref="AI19:AI25" si="68">IF($H19="4212",$F19,0)</f>
        <v>0</v>
      </c>
      <c r="AJ19" s="221">
        <f t="shared" ref="AJ19:AJ25" si="69">IF($G19="515",$F19,0)</f>
        <v>0</v>
      </c>
      <c r="AK19" s="221">
        <f t="shared" ref="AK19:AK25" si="70">IF($H19="515",$F19,0)</f>
        <v>0</v>
      </c>
      <c r="AL19" s="221">
        <f t="shared" ref="AL19:AL25" si="71">IF($G19="635",$F19,0)</f>
        <v>0</v>
      </c>
      <c r="AM19" s="221">
        <f t="shared" ref="AM19:AM25" ca="1" si="72">IF($H19="635",$F19,0)</f>
        <v>0</v>
      </c>
      <c r="AN19" s="221">
        <f t="shared" ref="AN19:AN25" si="73">IF($G19="642",$F19,0)</f>
        <v>0</v>
      </c>
      <c r="AO19" s="221">
        <f t="shared" ref="AO19:AO25" si="74">IF($H19="642",$F19,0)</f>
        <v>0</v>
      </c>
      <c r="AP19" s="221">
        <f t="shared" ref="AP19:AP25" si="75">IF($G19="711",$F19,0)</f>
        <v>0</v>
      </c>
      <c r="AQ19" s="221">
        <f t="shared" ref="AQ19:AQ25" si="76">IF($H19="711",$F19,0)</f>
        <v>0</v>
      </c>
      <c r="AR19" s="221">
        <f t="shared" ref="AR19:AR25" si="77">IF($G19="811",$F19,0)</f>
        <v>0</v>
      </c>
      <c r="AS19" s="221">
        <f t="shared" ref="AS19:AS25" si="78">IF($H19="811",$F19,0)</f>
        <v>0</v>
      </c>
      <c r="AT19" s="221">
        <f t="shared" ref="AT19:AT25" si="79">IF($G19="821",$F19,0)</f>
        <v>0</v>
      </c>
      <c r="AU19" s="221">
        <f t="shared" ref="AU19:AU25" si="80">IF($H19="821",$F19,0)</f>
        <v>0</v>
      </c>
      <c r="AV19" s="221">
        <f t="shared" ref="AV19:AV25" si="81">IF($G19="911",$F19,0)</f>
        <v>0</v>
      </c>
      <c r="AW19" s="221">
        <f t="shared" ref="AW19:AW25" si="82">IF($H19="911",$F19,0)</f>
        <v>0</v>
      </c>
    </row>
    <row r="20" spans="1:49" s="256" customFormat="1" ht="12" customHeight="1">
      <c r="A20" s="40">
        <f t="array" aca="1" ref="A20" ca="1">IF(C20&lt;&gt;0,SUM(($C$11:C20&lt;&gt;0)*1),"")</f>
        <v>3</v>
      </c>
      <c r="B20" s="222">
        <v>42369</v>
      </c>
      <c r="C20" s="222" t="s">
        <v>101</v>
      </c>
      <c r="D20" s="222">
        <f t="shared" si="41"/>
        <v>42369</v>
      </c>
      <c r="E20" s="223" t="s">
        <v>103</v>
      </c>
      <c r="F20" s="62">
        <f ca="1">AN26</f>
        <v>0</v>
      </c>
      <c r="G20" s="224" t="s">
        <v>95</v>
      </c>
      <c r="H20" s="224" t="s">
        <v>87</v>
      </c>
      <c r="I20" s="40">
        <f t="shared" ca="1" si="42"/>
        <v>3</v>
      </c>
      <c r="J20" s="221">
        <f t="shared" si="43"/>
        <v>0</v>
      </c>
      <c r="K20" s="221">
        <f t="shared" si="44"/>
        <v>0</v>
      </c>
      <c r="L20" s="221">
        <f t="shared" si="45"/>
        <v>0</v>
      </c>
      <c r="M20" s="221">
        <f t="shared" si="46"/>
        <v>0</v>
      </c>
      <c r="N20" s="221">
        <f t="shared" si="47"/>
        <v>0</v>
      </c>
      <c r="O20" s="221">
        <f t="shared" si="48"/>
        <v>0</v>
      </c>
      <c r="P20" s="221">
        <f t="shared" si="49"/>
        <v>0</v>
      </c>
      <c r="Q20" s="221">
        <f t="shared" si="50"/>
        <v>0</v>
      </c>
      <c r="R20" s="221">
        <f t="shared" si="51"/>
        <v>0</v>
      </c>
      <c r="S20" s="221">
        <f t="shared" si="52"/>
        <v>0</v>
      </c>
      <c r="T20" s="221">
        <f t="shared" si="53"/>
        <v>0</v>
      </c>
      <c r="U20" s="221">
        <f t="shared" si="54"/>
        <v>0</v>
      </c>
      <c r="V20" s="221">
        <f t="shared" si="55"/>
        <v>0</v>
      </c>
      <c r="W20" s="221">
        <f t="shared" si="56"/>
        <v>0</v>
      </c>
      <c r="X20" s="221">
        <f t="shared" si="57"/>
        <v>0</v>
      </c>
      <c r="Y20" s="221">
        <f t="shared" si="58"/>
        <v>0</v>
      </c>
      <c r="Z20" s="221">
        <f t="shared" si="59"/>
        <v>0</v>
      </c>
      <c r="AA20" s="221">
        <f t="shared" si="60"/>
        <v>0</v>
      </c>
      <c r="AB20" s="221">
        <f t="shared" si="61"/>
        <v>0</v>
      </c>
      <c r="AC20" s="221">
        <f t="shared" si="62"/>
        <v>0</v>
      </c>
      <c r="AD20" s="221">
        <f t="shared" si="63"/>
        <v>0</v>
      </c>
      <c r="AE20" s="221">
        <f t="shared" si="64"/>
        <v>0</v>
      </c>
      <c r="AF20" s="221">
        <f t="shared" si="65"/>
        <v>0</v>
      </c>
      <c r="AG20" s="221">
        <f t="shared" si="66"/>
        <v>0</v>
      </c>
      <c r="AH20" s="221">
        <f t="shared" si="67"/>
        <v>0</v>
      </c>
      <c r="AI20" s="221">
        <f t="shared" si="68"/>
        <v>0</v>
      </c>
      <c r="AJ20" s="221">
        <f t="shared" si="69"/>
        <v>0</v>
      </c>
      <c r="AK20" s="221">
        <f t="shared" si="70"/>
        <v>0</v>
      </c>
      <c r="AL20" s="221">
        <f t="shared" si="71"/>
        <v>0</v>
      </c>
      <c r="AM20" s="221">
        <f t="shared" si="72"/>
        <v>0</v>
      </c>
      <c r="AN20" s="221">
        <f t="shared" si="73"/>
        <v>0</v>
      </c>
      <c r="AO20" s="221">
        <f t="shared" ca="1" si="74"/>
        <v>0</v>
      </c>
      <c r="AP20" s="221">
        <f t="shared" si="75"/>
        <v>0</v>
      </c>
      <c r="AQ20" s="221">
        <f t="shared" si="76"/>
        <v>0</v>
      </c>
      <c r="AR20" s="221">
        <f t="shared" si="77"/>
        <v>0</v>
      </c>
      <c r="AS20" s="221">
        <f t="shared" si="78"/>
        <v>0</v>
      </c>
      <c r="AT20" s="221">
        <f t="shared" si="79"/>
        <v>0</v>
      </c>
      <c r="AU20" s="221">
        <f t="shared" si="80"/>
        <v>0</v>
      </c>
      <c r="AV20" s="221">
        <f t="shared" ca="1" si="81"/>
        <v>0</v>
      </c>
      <c r="AW20" s="221">
        <f t="shared" si="82"/>
        <v>0</v>
      </c>
    </row>
    <row r="21" spans="1:49" s="256" customFormat="1" ht="12" customHeight="1">
      <c r="A21" s="40">
        <f t="array" aca="1" ref="A21" ca="1">IF(C21&lt;&gt;0,SUM(($C$11:C21&lt;&gt;0)*1),"")</f>
        <v>4</v>
      </c>
      <c r="B21" s="222">
        <v>42369</v>
      </c>
      <c r="C21" s="222" t="s">
        <v>101</v>
      </c>
      <c r="D21" s="222">
        <f t="shared" si="41"/>
        <v>42369</v>
      </c>
      <c r="E21" s="223" t="s">
        <v>192</v>
      </c>
      <c r="F21" s="62"/>
      <c r="G21" s="224" t="s">
        <v>80</v>
      </c>
      <c r="H21" s="224" t="s">
        <v>95</v>
      </c>
      <c r="I21" s="40">
        <f t="shared" ca="1" si="42"/>
        <v>4</v>
      </c>
      <c r="J21" s="221">
        <f t="shared" si="43"/>
        <v>0</v>
      </c>
      <c r="K21" s="221">
        <f t="shared" si="44"/>
        <v>0</v>
      </c>
      <c r="L21" s="221">
        <f t="shared" si="45"/>
        <v>0</v>
      </c>
      <c r="M21" s="221">
        <f t="shared" si="46"/>
        <v>0</v>
      </c>
      <c r="N21" s="221">
        <f t="shared" si="47"/>
        <v>0</v>
      </c>
      <c r="O21" s="221">
        <f t="shared" si="48"/>
        <v>0</v>
      </c>
      <c r="P21" s="221">
        <f t="shared" si="49"/>
        <v>0</v>
      </c>
      <c r="Q21" s="221">
        <f t="shared" si="50"/>
        <v>0</v>
      </c>
      <c r="R21" s="221">
        <f t="shared" si="51"/>
        <v>0</v>
      </c>
      <c r="S21" s="221">
        <f t="shared" si="52"/>
        <v>0</v>
      </c>
      <c r="T21" s="221">
        <f t="shared" si="53"/>
        <v>0</v>
      </c>
      <c r="U21" s="221">
        <f t="shared" si="54"/>
        <v>0</v>
      </c>
      <c r="V21" s="221">
        <f t="shared" si="55"/>
        <v>0</v>
      </c>
      <c r="W21" s="221">
        <f t="shared" si="56"/>
        <v>0</v>
      </c>
      <c r="X21" s="221">
        <f t="shared" si="57"/>
        <v>0</v>
      </c>
      <c r="Y21" s="221">
        <f t="shared" si="58"/>
        <v>0</v>
      </c>
      <c r="Z21" s="221">
        <f t="shared" si="59"/>
        <v>0</v>
      </c>
      <c r="AA21" s="221">
        <f t="shared" si="60"/>
        <v>0</v>
      </c>
      <c r="AB21" s="221">
        <f t="shared" si="61"/>
        <v>0</v>
      </c>
      <c r="AC21" s="221">
        <f t="shared" si="62"/>
        <v>0</v>
      </c>
      <c r="AD21" s="221">
        <f t="shared" si="63"/>
        <v>0</v>
      </c>
      <c r="AE21" s="221">
        <f t="shared" si="64"/>
        <v>0</v>
      </c>
      <c r="AF21" s="221">
        <f t="shared" si="65"/>
        <v>0</v>
      </c>
      <c r="AG21" s="221">
        <f t="shared" si="66"/>
        <v>0</v>
      </c>
      <c r="AH21" s="221">
        <f t="shared" si="67"/>
        <v>0</v>
      </c>
      <c r="AI21" s="221">
        <f t="shared" si="68"/>
        <v>0</v>
      </c>
      <c r="AJ21" s="221">
        <f t="shared" si="69"/>
        <v>0</v>
      </c>
      <c r="AK21" s="221">
        <f t="shared" si="70"/>
        <v>0</v>
      </c>
      <c r="AL21" s="221">
        <f t="shared" si="71"/>
        <v>0</v>
      </c>
      <c r="AM21" s="221">
        <f t="shared" si="72"/>
        <v>0</v>
      </c>
      <c r="AN21" s="221">
        <f t="shared" si="73"/>
        <v>0</v>
      </c>
      <c r="AO21" s="221">
        <f t="shared" si="74"/>
        <v>0</v>
      </c>
      <c r="AP21" s="221">
        <f t="shared" si="75"/>
        <v>0</v>
      </c>
      <c r="AQ21" s="221">
        <f t="shared" si="76"/>
        <v>0</v>
      </c>
      <c r="AR21" s="221">
        <f t="shared" si="77"/>
        <v>0</v>
      </c>
      <c r="AS21" s="221">
        <f t="shared" si="78"/>
        <v>0</v>
      </c>
      <c r="AT21" s="221">
        <f t="shared" si="79"/>
        <v>0</v>
      </c>
      <c r="AU21" s="221">
        <f t="shared" si="80"/>
        <v>0</v>
      </c>
      <c r="AV21" s="221">
        <f t="shared" si="81"/>
        <v>0</v>
      </c>
      <c r="AW21" s="221">
        <f t="shared" si="82"/>
        <v>0</v>
      </c>
    </row>
    <row r="22" spans="1:49" s="256" customFormat="1" ht="12" customHeight="1">
      <c r="A22" s="40">
        <f t="array" aca="1" ref="A22" ca="1">IF(C22&lt;&gt;0,SUM(($C$11:C22&lt;&gt;0)*1),"")</f>
        <v>5</v>
      </c>
      <c r="B22" s="222">
        <v>42369</v>
      </c>
      <c r="C22" s="222" t="s">
        <v>101</v>
      </c>
      <c r="D22" s="222">
        <f t="shared" si="41"/>
        <v>42369</v>
      </c>
      <c r="E22" s="223" t="s">
        <v>105</v>
      </c>
      <c r="F22" s="62">
        <f ca="1">AK26</f>
        <v>0</v>
      </c>
      <c r="G22" s="224" t="s">
        <v>34</v>
      </c>
      <c r="H22" s="224" t="s">
        <v>95</v>
      </c>
      <c r="I22" s="40">
        <f t="shared" ca="1" si="42"/>
        <v>5</v>
      </c>
      <c r="J22" s="221">
        <f t="shared" si="43"/>
        <v>0</v>
      </c>
      <c r="K22" s="221">
        <f t="shared" si="44"/>
        <v>0</v>
      </c>
      <c r="L22" s="221">
        <f t="shared" si="45"/>
        <v>0</v>
      </c>
      <c r="M22" s="221">
        <f t="shared" si="46"/>
        <v>0</v>
      </c>
      <c r="N22" s="221">
        <f t="shared" si="47"/>
        <v>0</v>
      </c>
      <c r="O22" s="221">
        <f t="shared" si="48"/>
        <v>0</v>
      </c>
      <c r="P22" s="221">
        <f t="shared" si="49"/>
        <v>0</v>
      </c>
      <c r="Q22" s="221">
        <f t="shared" si="50"/>
        <v>0</v>
      </c>
      <c r="R22" s="221">
        <f t="shared" si="51"/>
        <v>0</v>
      </c>
      <c r="S22" s="221">
        <f t="shared" si="52"/>
        <v>0</v>
      </c>
      <c r="T22" s="221">
        <f t="shared" si="53"/>
        <v>0</v>
      </c>
      <c r="U22" s="221">
        <f t="shared" si="54"/>
        <v>0</v>
      </c>
      <c r="V22" s="221">
        <f t="shared" si="55"/>
        <v>0</v>
      </c>
      <c r="W22" s="221">
        <f t="shared" si="56"/>
        <v>0</v>
      </c>
      <c r="X22" s="221">
        <f t="shared" si="57"/>
        <v>0</v>
      </c>
      <c r="Y22" s="221">
        <f t="shared" si="58"/>
        <v>0</v>
      </c>
      <c r="Z22" s="221">
        <f t="shared" si="59"/>
        <v>0</v>
      </c>
      <c r="AA22" s="221">
        <f t="shared" si="60"/>
        <v>0</v>
      </c>
      <c r="AB22" s="221">
        <f t="shared" si="61"/>
        <v>0</v>
      </c>
      <c r="AC22" s="221">
        <f t="shared" si="62"/>
        <v>0</v>
      </c>
      <c r="AD22" s="221">
        <f t="shared" si="63"/>
        <v>0</v>
      </c>
      <c r="AE22" s="221">
        <f t="shared" si="64"/>
        <v>0</v>
      </c>
      <c r="AF22" s="221">
        <f t="shared" si="65"/>
        <v>0</v>
      </c>
      <c r="AG22" s="221">
        <f t="shared" si="66"/>
        <v>0</v>
      </c>
      <c r="AH22" s="221">
        <f t="shared" si="67"/>
        <v>0</v>
      </c>
      <c r="AI22" s="221">
        <f t="shared" si="68"/>
        <v>0</v>
      </c>
      <c r="AJ22" s="221">
        <f t="shared" ca="1" si="69"/>
        <v>0</v>
      </c>
      <c r="AK22" s="221">
        <f t="shared" si="70"/>
        <v>0</v>
      </c>
      <c r="AL22" s="221">
        <f t="shared" si="71"/>
        <v>0</v>
      </c>
      <c r="AM22" s="221">
        <f t="shared" si="72"/>
        <v>0</v>
      </c>
      <c r="AN22" s="221">
        <f t="shared" si="73"/>
        <v>0</v>
      </c>
      <c r="AO22" s="221">
        <f t="shared" si="74"/>
        <v>0</v>
      </c>
      <c r="AP22" s="221">
        <f t="shared" si="75"/>
        <v>0</v>
      </c>
      <c r="AQ22" s="221">
        <f t="shared" si="76"/>
        <v>0</v>
      </c>
      <c r="AR22" s="221">
        <f t="shared" si="77"/>
        <v>0</v>
      </c>
      <c r="AS22" s="221">
        <f t="shared" si="78"/>
        <v>0</v>
      </c>
      <c r="AT22" s="221">
        <f t="shared" si="79"/>
        <v>0</v>
      </c>
      <c r="AU22" s="221">
        <f t="shared" si="80"/>
        <v>0</v>
      </c>
      <c r="AV22" s="221">
        <f t="shared" si="81"/>
        <v>0</v>
      </c>
      <c r="AW22" s="221">
        <f t="shared" ca="1" si="82"/>
        <v>0</v>
      </c>
    </row>
    <row r="23" spans="1:49" s="256" customFormat="1" ht="12" customHeight="1">
      <c r="A23" s="40">
        <f t="array" aca="1" ref="A23" ca="1">IF(C23&lt;&gt;0,SUM(($C$11:C23&lt;&gt;0)*1),"")</f>
        <v>6</v>
      </c>
      <c r="B23" s="222">
        <v>42369</v>
      </c>
      <c r="C23" s="222" t="s">
        <v>101</v>
      </c>
      <c r="D23" s="222">
        <f t="shared" si="41"/>
        <v>42369</v>
      </c>
      <c r="E23" s="223" t="s">
        <v>106</v>
      </c>
      <c r="F23" s="62">
        <f ca="1">AQ26</f>
        <v>0</v>
      </c>
      <c r="G23" s="224" t="s">
        <v>89</v>
      </c>
      <c r="H23" s="224" t="s">
        <v>95</v>
      </c>
      <c r="I23" s="40">
        <f t="shared" ca="1" si="42"/>
        <v>6</v>
      </c>
      <c r="J23" s="221">
        <f t="shared" si="43"/>
        <v>0</v>
      </c>
      <c r="K23" s="221">
        <f t="shared" si="44"/>
        <v>0</v>
      </c>
      <c r="L23" s="221">
        <f t="shared" si="45"/>
        <v>0</v>
      </c>
      <c r="M23" s="221">
        <f t="shared" si="46"/>
        <v>0</v>
      </c>
      <c r="N23" s="221">
        <f t="shared" si="47"/>
        <v>0</v>
      </c>
      <c r="O23" s="221">
        <f t="shared" si="48"/>
        <v>0</v>
      </c>
      <c r="P23" s="221">
        <f t="shared" si="49"/>
        <v>0</v>
      </c>
      <c r="Q23" s="221">
        <f t="shared" si="50"/>
        <v>0</v>
      </c>
      <c r="R23" s="221">
        <f t="shared" si="51"/>
        <v>0</v>
      </c>
      <c r="S23" s="221">
        <f t="shared" si="52"/>
        <v>0</v>
      </c>
      <c r="T23" s="221">
        <f t="shared" si="53"/>
        <v>0</v>
      </c>
      <c r="U23" s="221">
        <f t="shared" si="54"/>
        <v>0</v>
      </c>
      <c r="V23" s="221">
        <f t="shared" si="55"/>
        <v>0</v>
      </c>
      <c r="W23" s="221">
        <f t="shared" si="56"/>
        <v>0</v>
      </c>
      <c r="X23" s="221">
        <f t="shared" si="57"/>
        <v>0</v>
      </c>
      <c r="Y23" s="221">
        <f t="shared" si="58"/>
        <v>0</v>
      </c>
      <c r="Z23" s="221">
        <f t="shared" si="59"/>
        <v>0</v>
      </c>
      <c r="AA23" s="221">
        <f t="shared" si="60"/>
        <v>0</v>
      </c>
      <c r="AB23" s="221">
        <f t="shared" si="61"/>
        <v>0</v>
      </c>
      <c r="AC23" s="221">
        <f t="shared" si="62"/>
        <v>0</v>
      </c>
      <c r="AD23" s="221">
        <f t="shared" si="63"/>
        <v>0</v>
      </c>
      <c r="AE23" s="221">
        <f t="shared" si="64"/>
        <v>0</v>
      </c>
      <c r="AF23" s="221">
        <f t="shared" si="65"/>
        <v>0</v>
      </c>
      <c r="AG23" s="221">
        <f t="shared" si="66"/>
        <v>0</v>
      </c>
      <c r="AH23" s="221">
        <f t="shared" si="67"/>
        <v>0</v>
      </c>
      <c r="AI23" s="221">
        <f t="shared" si="68"/>
        <v>0</v>
      </c>
      <c r="AJ23" s="221">
        <f t="shared" si="69"/>
        <v>0</v>
      </c>
      <c r="AK23" s="221">
        <f t="shared" si="70"/>
        <v>0</v>
      </c>
      <c r="AL23" s="221">
        <f t="shared" si="71"/>
        <v>0</v>
      </c>
      <c r="AM23" s="221">
        <f t="shared" si="72"/>
        <v>0</v>
      </c>
      <c r="AN23" s="221">
        <f t="shared" si="73"/>
        <v>0</v>
      </c>
      <c r="AO23" s="221">
        <f t="shared" si="74"/>
        <v>0</v>
      </c>
      <c r="AP23" s="221">
        <f t="shared" ca="1" si="75"/>
        <v>0</v>
      </c>
      <c r="AQ23" s="221">
        <f t="shared" si="76"/>
        <v>0</v>
      </c>
      <c r="AR23" s="221">
        <f t="shared" si="77"/>
        <v>0</v>
      </c>
      <c r="AS23" s="221">
        <f t="shared" si="78"/>
        <v>0</v>
      </c>
      <c r="AT23" s="221">
        <f t="shared" si="79"/>
        <v>0</v>
      </c>
      <c r="AU23" s="221">
        <f t="shared" si="80"/>
        <v>0</v>
      </c>
      <c r="AV23" s="221">
        <f t="shared" si="81"/>
        <v>0</v>
      </c>
      <c r="AW23" s="221">
        <f t="shared" ca="1" si="82"/>
        <v>0</v>
      </c>
    </row>
    <row r="24" spans="1:49" s="256" customFormat="1" ht="12" customHeight="1">
      <c r="A24" s="40">
        <f t="array" aca="1" ref="A24" ca="1">IF(C24&lt;&gt;0,SUM(($C$11:C24&lt;&gt;0)*1),"")</f>
        <v>7</v>
      </c>
      <c r="B24" s="222">
        <v>42369</v>
      </c>
      <c r="C24" s="222" t="s">
        <v>101</v>
      </c>
      <c r="D24" s="222">
        <f t="shared" si="41"/>
        <v>42369</v>
      </c>
      <c r="E24" s="223" t="s">
        <v>107</v>
      </c>
      <c r="F24" s="62">
        <f ca="1">AR26</f>
        <v>0</v>
      </c>
      <c r="G24" s="224" t="s">
        <v>95</v>
      </c>
      <c r="H24" s="224" t="s">
        <v>91</v>
      </c>
      <c r="I24" s="40">
        <f t="shared" ca="1" si="42"/>
        <v>7</v>
      </c>
      <c r="J24" s="221">
        <f t="shared" si="43"/>
        <v>0</v>
      </c>
      <c r="K24" s="221">
        <f t="shared" si="44"/>
        <v>0</v>
      </c>
      <c r="L24" s="221">
        <f t="shared" si="45"/>
        <v>0</v>
      </c>
      <c r="M24" s="221">
        <f t="shared" si="46"/>
        <v>0</v>
      </c>
      <c r="N24" s="221">
        <f t="shared" si="47"/>
        <v>0</v>
      </c>
      <c r="O24" s="221">
        <f t="shared" si="48"/>
        <v>0</v>
      </c>
      <c r="P24" s="221">
        <f t="shared" si="49"/>
        <v>0</v>
      </c>
      <c r="Q24" s="221">
        <f t="shared" si="50"/>
        <v>0</v>
      </c>
      <c r="R24" s="221">
        <f t="shared" si="51"/>
        <v>0</v>
      </c>
      <c r="S24" s="221">
        <f t="shared" si="52"/>
        <v>0</v>
      </c>
      <c r="T24" s="221">
        <f t="shared" si="53"/>
        <v>0</v>
      </c>
      <c r="U24" s="221">
        <f t="shared" si="54"/>
        <v>0</v>
      </c>
      <c r="V24" s="221">
        <f t="shared" si="55"/>
        <v>0</v>
      </c>
      <c r="W24" s="221">
        <f t="shared" si="56"/>
        <v>0</v>
      </c>
      <c r="X24" s="221">
        <f t="shared" si="57"/>
        <v>0</v>
      </c>
      <c r="Y24" s="221">
        <f t="shared" si="58"/>
        <v>0</v>
      </c>
      <c r="Z24" s="221">
        <f t="shared" si="59"/>
        <v>0</v>
      </c>
      <c r="AA24" s="221">
        <f t="shared" si="60"/>
        <v>0</v>
      </c>
      <c r="AB24" s="221">
        <f t="shared" si="61"/>
        <v>0</v>
      </c>
      <c r="AC24" s="221">
        <f t="shared" si="62"/>
        <v>0</v>
      </c>
      <c r="AD24" s="221">
        <f t="shared" si="63"/>
        <v>0</v>
      </c>
      <c r="AE24" s="221">
        <f t="shared" si="64"/>
        <v>0</v>
      </c>
      <c r="AF24" s="221">
        <f t="shared" si="65"/>
        <v>0</v>
      </c>
      <c r="AG24" s="221">
        <f t="shared" si="66"/>
        <v>0</v>
      </c>
      <c r="AH24" s="221">
        <f t="shared" si="67"/>
        <v>0</v>
      </c>
      <c r="AI24" s="221">
        <f t="shared" si="68"/>
        <v>0</v>
      </c>
      <c r="AJ24" s="221">
        <f t="shared" si="69"/>
        <v>0</v>
      </c>
      <c r="AK24" s="221">
        <f t="shared" si="70"/>
        <v>0</v>
      </c>
      <c r="AL24" s="221">
        <f t="shared" si="71"/>
        <v>0</v>
      </c>
      <c r="AM24" s="221">
        <f t="shared" si="72"/>
        <v>0</v>
      </c>
      <c r="AN24" s="221">
        <f t="shared" si="73"/>
        <v>0</v>
      </c>
      <c r="AO24" s="221">
        <f t="shared" si="74"/>
        <v>0</v>
      </c>
      <c r="AP24" s="221">
        <f t="shared" si="75"/>
        <v>0</v>
      </c>
      <c r="AQ24" s="221">
        <f t="shared" si="76"/>
        <v>0</v>
      </c>
      <c r="AR24" s="221">
        <f t="shared" si="77"/>
        <v>0</v>
      </c>
      <c r="AS24" s="221">
        <f t="shared" ca="1" si="78"/>
        <v>0</v>
      </c>
      <c r="AT24" s="221">
        <f t="shared" si="79"/>
        <v>0</v>
      </c>
      <c r="AU24" s="221">
        <f t="shared" si="80"/>
        <v>0</v>
      </c>
      <c r="AV24" s="221">
        <f t="shared" ca="1" si="81"/>
        <v>0</v>
      </c>
      <c r="AW24" s="221">
        <f t="shared" si="82"/>
        <v>0</v>
      </c>
    </row>
    <row r="25" spans="1:49" s="218" customFormat="1" ht="12" customHeight="1">
      <c r="A25" s="40" t="str">
        <f t="array" ref="A25">IF(C25&lt;&gt;0,SUM(($C$11:C25&lt;&gt;0)*1),"")</f>
        <v/>
      </c>
      <c r="B25" s="169"/>
      <c r="C25" s="169"/>
      <c r="D25" s="169"/>
      <c r="E25" s="220"/>
      <c r="F25" s="42"/>
      <c r="G25" s="226"/>
      <c r="H25" s="226"/>
      <c r="I25" s="40" t="str">
        <f>A25</f>
        <v/>
      </c>
      <c r="J25" s="221">
        <f t="shared" si="43"/>
        <v>0</v>
      </c>
      <c r="K25" s="221">
        <f t="shared" si="44"/>
        <v>0</v>
      </c>
      <c r="L25" s="221">
        <f t="shared" si="45"/>
        <v>0</v>
      </c>
      <c r="M25" s="221">
        <f t="shared" si="46"/>
        <v>0</v>
      </c>
      <c r="N25" s="221">
        <f t="shared" si="47"/>
        <v>0</v>
      </c>
      <c r="O25" s="221">
        <f t="shared" si="48"/>
        <v>0</v>
      </c>
      <c r="P25" s="221">
        <f t="shared" si="49"/>
        <v>0</v>
      </c>
      <c r="Q25" s="221">
        <f t="shared" si="50"/>
        <v>0</v>
      </c>
      <c r="R25" s="221">
        <f t="shared" si="51"/>
        <v>0</v>
      </c>
      <c r="S25" s="221">
        <f t="shared" si="52"/>
        <v>0</v>
      </c>
      <c r="T25" s="221">
        <f t="shared" si="53"/>
        <v>0</v>
      </c>
      <c r="U25" s="221">
        <f t="shared" si="54"/>
        <v>0</v>
      </c>
      <c r="V25" s="221">
        <f t="shared" si="55"/>
        <v>0</v>
      </c>
      <c r="W25" s="221">
        <f t="shared" si="56"/>
        <v>0</v>
      </c>
      <c r="X25" s="221">
        <f t="shared" si="57"/>
        <v>0</v>
      </c>
      <c r="Y25" s="221">
        <f t="shared" si="58"/>
        <v>0</v>
      </c>
      <c r="Z25" s="221">
        <f t="shared" si="59"/>
        <v>0</v>
      </c>
      <c r="AA25" s="221">
        <f t="shared" si="60"/>
        <v>0</v>
      </c>
      <c r="AB25" s="221">
        <f t="shared" si="61"/>
        <v>0</v>
      </c>
      <c r="AC25" s="221">
        <f t="shared" si="62"/>
        <v>0</v>
      </c>
      <c r="AD25" s="221">
        <f t="shared" si="63"/>
        <v>0</v>
      </c>
      <c r="AE25" s="221">
        <f t="shared" si="64"/>
        <v>0</v>
      </c>
      <c r="AF25" s="221">
        <f t="shared" si="65"/>
        <v>0</v>
      </c>
      <c r="AG25" s="221">
        <f t="shared" si="66"/>
        <v>0</v>
      </c>
      <c r="AH25" s="221">
        <f t="shared" si="67"/>
        <v>0</v>
      </c>
      <c r="AI25" s="221">
        <f t="shared" si="68"/>
        <v>0</v>
      </c>
      <c r="AJ25" s="221">
        <f t="shared" si="69"/>
        <v>0</v>
      </c>
      <c r="AK25" s="221">
        <f t="shared" si="70"/>
        <v>0</v>
      </c>
      <c r="AL25" s="221">
        <f t="shared" si="71"/>
        <v>0</v>
      </c>
      <c r="AM25" s="221">
        <f t="shared" si="72"/>
        <v>0</v>
      </c>
      <c r="AN25" s="221">
        <f t="shared" si="73"/>
        <v>0</v>
      </c>
      <c r="AO25" s="221">
        <f t="shared" si="74"/>
        <v>0</v>
      </c>
      <c r="AP25" s="221">
        <f t="shared" si="75"/>
        <v>0</v>
      </c>
      <c r="AQ25" s="221">
        <f t="shared" si="76"/>
        <v>0</v>
      </c>
      <c r="AR25" s="221">
        <f t="shared" si="77"/>
        <v>0</v>
      </c>
      <c r="AS25" s="221">
        <f t="shared" si="78"/>
        <v>0</v>
      </c>
      <c r="AT25" s="221">
        <f t="shared" si="79"/>
        <v>0</v>
      </c>
      <c r="AU25" s="221">
        <f t="shared" si="80"/>
        <v>0</v>
      </c>
      <c r="AV25" s="221">
        <f t="shared" si="81"/>
        <v>0</v>
      </c>
      <c r="AW25" s="221">
        <f t="shared" si="82"/>
        <v>0</v>
      </c>
    </row>
    <row r="26" spans="1:49" s="218" customFormat="1" ht="12" customHeight="1">
      <c r="A26" s="227"/>
      <c r="B26" s="169"/>
      <c r="C26" s="257"/>
      <c r="D26" s="169"/>
      <c r="E26" s="220" t="s">
        <v>155</v>
      </c>
      <c r="F26" s="227"/>
      <c r="G26" s="226"/>
      <c r="H26" s="226"/>
      <c r="I26" s="227"/>
      <c r="J26" s="227">
        <f t="shared" ref="J26:AW26" ca="1" si="83">SUM(J11:J25)</f>
        <v>0</v>
      </c>
      <c r="K26" s="227">
        <f t="shared" ca="1" si="83"/>
        <v>0</v>
      </c>
      <c r="L26" s="227">
        <f t="shared" ca="1" si="83"/>
        <v>0</v>
      </c>
      <c r="M26" s="227">
        <f t="shared" ca="1" si="83"/>
        <v>0</v>
      </c>
      <c r="N26" s="227">
        <f t="shared" ca="1" si="83"/>
        <v>0</v>
      </c>
      <c r="O26" s="227">
        <f t="shared" ca="1" si="83"/>
        <v>0</v>
      </c>
      <c r="P26" s="227">
        <f t="shared" ca="1" si="83"/>
        <v>0</v>
      </c>
      <c r="Q26" s="227">
        <f t="shared" ca="1" si="83"/>
        <v>0</v>
      </c>
      <c r="R26" s="227">
        <f t="shared" ca="1" si="83"/>
        <v>0</v>
      </c>
      <c r="S26" s="227">
        <f t="shared" ca="1" si="83"/>
        <v>0</v>
      </c>
      <c r="T26" s="227">
        <f t="shared" ca="1" si="83"/>
        <v>0</v>
      </c>
      <c r="U26" s="227">
        <f t="shared" ca="1" si="83"/>
        <v>0</v>
      </c>
      <c r="V26" s="227">
        <f t="shared" ca="1" si="83"/>
        <v>0</v>
      </c>
      <c r="W26" s="227">
        <f t="shared" ca="1" si="83"/>
        <v>0</v>
      </c>
      <c r="X26" s="227">
        <f t="shared" ca="1" si="83"/>
        <v>0</v>
      </c>
      <c r="Y26" s="227">
        <f t="shared" ca="1" si="83"/>
        <v>0</v>
      </c>
      <c r="Z26" s="227">
        <f t="shared" ca="1" si="83"/>
        <v>0</v>
      </c>
      <c r="AA26" s="227">
        <f t="shared" ca="1" si="83"/>
        <v>0</v>
      </c>
      <c r="AB26" s="227">
        <f t="shared" ca="1" si="83"/>
        <v>0</v>
      </c>
      <c r="AC26" s="227">
        <f t="shared" ca="1" si="83"/>
        <v>0</v>
      </c>
      <c r="AD26" s="227">
        <f t="shared" ca="1" si="83"/>
        <v>0</v>
      </c>
      <c r="AE26" s="227">
        <f t="shared" ca="1" si="83"/>
        <v>0</v>
      </c>
      <c r="AF26" s="227">
        <f t="shared" ca="1" si="83"/>
        <v>0</v>
      </c>
      <c r="AG26" s="227">
        <f t="shared" ca="1" si="83"/>
        <v>0</v>
      </c>
      <c r="AH26" s="227">
        <f t="shared" ca="1" si="83"/>
        <v>0</v>
      </c>
      <c r="AI26" s="227">
        <f t="shared" ca="1" si="83"/>
        <v>0</v>
      </c>
      <c r="AJ26" s="227">
        <f t="shared" ca="1" si="83"/>
        <v>0</v>
      </c>
      <c r="AK26" s="227">
        <f t="shared" ca="1" si="83"/>
        <v>0</v>
      </c>
      <c r="AL26" s="227">
        <f t="shared" ca="1" si="83"/>
        <v>0</v>
      </c>
      <c r="AM26" s="227">
        <f t="shared" ca="1" si="83"/>
        <v>0</v>
      </c>
      <c r="AN26" s="227">
        <f t="shared" ca="1" si="83"/>
        <v>0</v>
      </c>
      <c r="AO26" s="227">
        <f t="shared" ca="1" si="83"/>
        <v>0</v>
      </c>
      <c r="AP26" s="227">
        <f t="shared" ca="1" si="83"/>
        <v>0</v>
      </c>
      <c r="AQ26" s="227">
        <f t="shared" ca="1" si="83"/>
        <v>0</v>
      </c>
      <c r="AR26" s="227">
        <f t="shared" ca="1" si="83"/>
        <v>0</v>
      </c>
      <c r="AS26" s="227">
        <f t="shared" ca="1" si="83"/>
        <v>0</v>
      </c>
      <c r="AT26" s="227">
        <f t="shared" ca="1" si="83"/>
        <v>0</v>
      </c>
      <c r="AU26" s="227">
        <f t="shared" ca="1" si="83"/>
        <v>0</v>
      </c>
      <c r="AV26" s="227">
        <f t="shared" ca="1" si="83"/>
        <v>0</v>
      </c>
      <c r="AW26" s="227">
        <f t="shared" ca="1" si="83"/>
        <v>0</v>
      </c>
    </row>
    <row r="27" spans="1:49" s="218" customFormat="1" ht="12" customHeight="1">
      <c r="A27" s="228"/>
      <c r="B27" s="228"/>
      <c r="C27" s="228"/>
      <c r="D27" s="228"/>
      <c r="E27" s="229" t="s">
        <v>193</v>
      </c>
      <c r="F27" s="228"/>
      <c r="G27" s="230"/>
      <c r="H27" s="230"/>
      <c r="I27" s="228"/>
      <c r="J27" s="250">
        <f ca="1">MAX(J10+J26-K10-K26,0)</f>
        <v>3994790000</v>
      </c>
      <c r="K27" s="250">
        <f ca="1">MAX(K10+K26-J10-J26,0)</f>
        <v>0</v>
      </c>
      <c r="L27" s="250">
        <f ca="1">MAX(L10+L26-M10-M26,0)</f>
        <v>0</v>
      </c>
      <c r="M27" s="250">
        <f ca="1">MAX(M10+M26-L10-L26,0)</f>
        <v>0</v>
      </c>
      <c r="N27" s="250">
        <f ca="1">MAX(N10+N26-O10-O26,0)</f>
        <v>0</v>
      </c>
      <c r="O27" s="250">
        <f ca="1">MAX(O10+O26-N10-N26,0)</f>
        <v>0</v>
      </c>
      <c r="P27" s="250">
        <f ca="1">MAX(P10+P26-Q10-Q26,0)</f>
        <v>0</v>
      </c>
      <c r="Q27" s="250">
        <f ca="1">MAX(Q10+Q26-P10-P26,0)</f>
        <v>0</v>
      </c>
      <c r="R27" s="250">
        <f ca="1">MAX(R10+R26-S10-S26,0)</f>
        <v>0</v>
      </c>
      <c r="S27" s="250">
        <f ca="1">MAX(S10+S26-R10-R26,0)</f>
        <v>0</v>
      </c>
      <c r="T27" s="250">
        <f ca="1">MAX(T10+T26-U10-U26,0)</f>
        <v>0</v>
      </c>
      <c r="U27" s="250">
        <f ca="1">MAX(U10+U26-T10-T26,0)</f>
        <v>0</v>
      </c>
      <c r="V27" s="250">
        <f ca="1">MAX(V10+V26-W10-W26,0)</f>
        <v>0</v>
      </c>
      <c r="W27" s="250">
        <f ca="1">MAX(W10+W26-V10-V26,0)</f>
        <v>0</v>
      </c>
      <c r="X27" s="250">
        <f ca="1">MAX(X10+X26-Y10-Y26,0)</f>
        <v>0</v>
      </c>
      <c r="Y27" s="250">
        <f ca="1">MAX(Y10+Y26-X10-X26,0)</f>
        <v>0</v>
      </c>
      <c r="Z27" s="250">
        <f ca="1">MAX(Z10+Z26-AA10-AA26,0)</f>
        <v>0</v>
      </c>
      <c r="AA27" s="250">
        <f ca="1">MAX(AA10+AA26-Z10-Z26,0)</f>
        <v>0</v>
      </c>
      <c r="AB27" s="250">
        <f ca="1">MAX(AB10+AB26-AC10-AC26,0)</f>
        <v>0</v>
      </c>
      <c r="AC27" s="250">
        <f ca="1">MAX(AC10+AC26-AB10-AB26,0)</f>
        <v>0</v>
      </c>
      <c r="AD27" s="250">
        <f ca="1">MAX(AD10+AD26-AE10-AE26,0)</f>
        <v>0</v>
      </c>
      <c r="AE27" s="250">
        <f ca="1">MAX(AE10+AE26-AD10-AD26,0)</f>
        <v>4000000000</v>
      </c>
      <c r="AF27" s="250">
        <f ca="1">MAX(AF10+AF26-AG10-AG26,0)</f>
        <v>0</v>
      </c>
      <c r="AG27" s="250">
        <f ca="1">MAX(AG10+AG26-AF10-AF26,0)</f>
        <v>0</v>
      </c>
      <c r="AH27" s="250">
        <f ca="1">MAX(AH10+AH26-AI10-AI26,0)</f>
        <v>5210000</v>
      </c>
      <c r="AI27" s="250">
        <f ca="1">MAX(AI10+AI26-AH10-AH26,0)</f>
        <v>0</v>
      </c>
      <c r="AJ27" s="250">
        <f ca="1">MAX(AJ10+AJ26-AK10-AK26,0)</f>
        <v>0</v>
      </c>
      <c r="AK27" s="250">
        <f ca="1">MAX(AK10+AK26-AJ10-AJ26,0)</f>
        <v>0</v>
      </c>
      <c r="AL27" s="250">
        <f ca="1">MAX(AL10+AL26-AM10-AM26,0)</f>
        <v>0</v>
      </c>
      <c r="AM27" s="250">
        <f ca="1">MAX(AM10+AM26-AL10-AL26,0)</f>
        <v>0</v>
      </c>
      <c r="AN27" s="250">
        <f ca="1">MAX(AN10+AN26-AO10-AO26,0)</f>
        <v>0</v>
      </c>
      <c r="AO27" s="250">
        <f ca="1">MAX(AO10+AO26-AN10-AN26,0)</f>
        <v>0</v>
      </c>
      <c r="AP27" s="250">
        <f ca="1">MAX(AP10+AP26-AQ10-AQ26,0)</f>
        <v>0</v>
      </c>
      <c r="AQ27" s="250">
        <f ca="1">MAX(AQ10+AQ26-AP10-AP26,0)</f>
        <v>0</v>
      </c>
      <c r="AR27" s="250">
        <f ca="1">MAX(AR10+AR26-AS10-AS26,0)</f>
        <v>0</v>
      </c>
      <c r="AS27" s="250">
        <f ca="1">MAX(AS10+AS26-AR10-AR26,0)</f>
        <v>0</v>
      </c>
      <c r="AT27" s="250">
        <f ca="1">MAX(AT10+AT26-AU10-AU26,0)</f>
        <v>0</v>
      </c>
      <c r="AU27" s="250">
        <f ca="1">MAX(AU10+AU26-AT10-AT26,0)</f>
        <v>0</v>
      </c>
      <c r="AV27" s="250">
        <f ca="1">MAX(AV10+AV26-AW10-AW26,0)</f>
        <v>0</v>
      </c>
      <c r="AW27" s="250">
        <f ca="1">MAX(AW10+AW26-AV10-AV26,0)</f>
        <v>0</v>
      </c>
    </row>
    <row r="28" spans="1:49" s="218" customFormat="1" ht="12" customHeight="1">
      <c r="A28" s="232"/>
      <c r="B28" s="232"/>
      <c r="C28" s="233"/>
      <c r="D28" s="232"/>
      <c r="E28" s="234" t="s">
        <v>194</v>
      </c>
      <c r="F28" s="232"/>
      <c r="G28" s="235"/>
      <c r="H28" s="235"/>
      <c r="I28" s="232"/>
      <c r="J28" s="232">
        <f ca="1">J26+'07-09'!J22</f>
        <v>0</v>
      </c>
      <c r="K28" s="232">
        <f ca="1">K26+'07-09'!K22</f>
        <v>1910000</v>
      </c>
      <c r="L28" s="232">
        <f ca="1">L26+'07-09'!L22</f>
        <v>0</v>
      </c>
      <c r="M28" s="232">
        <f ca="1">M26+'07-09'!M22</f>
        <v>0</v>
      </c>
      <c r="N28" s="232">
        <f ca="1">N26+'07-09'!N22</f>
        <v>0</v>
      </c>
      <c r="O28" s="232">
        <f ca="1">O26+'07-09'!O22</f>
        <v>0</v>
      </c>
      <c r="P28" s="232">
        <f ca="1">P26+'07-09'!P22</f>
        <v>0</v>
      </c>
      <c r="Q28" s="232">
        <f ca="1">Q26+'07-09'!Q22</f>
        <v>0</v>
      </c>
      <c r="R28" s="232">
        <f ca="1">R26+'07-09'!R22</f>
        <v>0</v>
      </c>
      <c r="S28" s="232">
        <f ca="1">S26+'07-09'!S22</f>
        <v>0</v>
      </c>
      <c r="T28" s="232">
        <f ca="1">T26+'07-09'!T22</f>
        <v>0</v>
      </c>
      <c r="U28" s="232">
        <f ca="1">U26+'07-09'!U22</f>
        <v>0</v>
      </c>
      <c r="V28" s="232">
        <f ca="1">V26+'07-09'!V22</f>
        <v>0</v>
      </c>
      <c r="W28" s="232">
        <f ca="1">W26+'07-09'!W22</f>
        <v>0</v>
      </c>
      <c r="X28" s="232">
        <f ca="1">X26+'07-09'!X22</f>
        <v>1500000</v>
      </c>
      <c r="Y28" s="232">
        <f ca="1">Y26+'07-09'!Y22</f>
        <v>1500000</v>
      </c>
      <c r="Z28" s="232">
        <f ca="1">Z26+'07-09'!Z22</f>
        <v>0</v>
      </c>
      <c r="AA28" s="232">
        <f ca="1">AA26+'07-09'!AA22</f>
        <v>0</v>
      </c>
      <c r="AB28" s="232">
        <f ca="1">AB26+'07-09'!AB22</f>
        <v>0</v>
      </c>
      <c r="AC28" s="232">
        <f ca="1">AC26+'07-09'!AC22</f>
        <v>0</v>
      </c>
      <c r="AD28" s="232">
        <f ca="1">AD26+'07-09'!AD22</f>
        <v>0</v>
      </c>
      <c r="AE28" s="232">
        <f ca="1">AE26+'07-09'!AE22</f>
        <v>0</v>
      </c>
      <c r="AF28" s="232">
        <f ca="1">AF26+'07-09'!AF22</f>
        <v>0</v>
      </c>
      <c r="AG28" s="232">
        <f ca="1">AG26+'07-09'!AG22</f>
        <v>0</v>
      </c>
      <c r="AH28" s="232">
        <f ca="1">AH26+'07-09'!AH22</f>
        <v>1910000</v>
      </c>
      <c r="AI28" s="232">
        <f ca="1">AI26+'07-09'!AI22</f>
        <v>0</v>
      </c>
      <c r="AJ28" s="232">
        <f ca="1">AJ26+'07-09'!AJ22</f>
        <v>0</v>
      </c>
      <c r="AK28" s="232">
        <f ca="1">AK26+'07-09'!AK22</f>
        <v>0</v>
      </c>
      <c r="AL28" s="232">
        <f ca="1">AL26+'07-09'!AL22</f>
        <v>0</v>
      </c>
      <c r="AM28" s="232">
        <f ca="1">AM26+'07-09'!AM22</f>
        <v>0</v>
      </c>
      <c r="AN28" s="232">
        <f ca="1">AN26+'07-09'!AN22</f>
        <v>1910000</v>
      </c>
      <c r="AO28" s="232">
        <f ca="1">AO26+'07-09'!AO22</f>
        <v>1910000</v>
      </c>
      <c r="AP28" s="232">
        <f ca="1">AP26+'07-09'!AP22</f>
        <v>0</v>
      </c>
      <c r="AQ28" s="232">
        <f ca="1">AQ26+'07-09'!AQ22</f>
        <v>0</v>
      </c>
      <c r="AR28" s="232">
        <f ca="1">AR26+'07-09'!AR22</f>
        <v>0</v>
      </c>
      <c r="AS28" s="232">
        <f ca="1">AS26+'07-09'!AS22</f>
        <v>0</v>
      </c>
      <c r="AT28" s="232">
        <f ca="1">AT26+'07-09'!AT22</f>
        <v>0</v>
      </c>
      <c r="AU28" s="232">
        <f ca="1">AU26+'07-09'!AU22</f>
        <v>0</v>
      </c>
      <c r="AV28" s="232">
        <f ca="1">AV26+'07-09'!AV22</f>
        <v>1910000</v>
      </c>
      <c r="AW28" s="232">
        <f ca="1">AW26+'07-09'!AW22</f>
        <v>1910000</v>
      </c>
    </row>
    <row r="29" spans="1:49" ht="12" customHeight="1">
      <c r="B29" s="237"/>
      <c r="C29" s="238"/>
      <c r="D29" s="238"/>
      <c r="E29" s="238"/>
      <c r="F29" s="238"/>
      <c r="G29" s="239"/>
      <c r="H29" s="239"/>
      <c r="I29" s="238"/>
      <c r="J29" s="238"/>
      <c r="K29" s="238"/>
      <c r="Z29" s="238"/>
      <c r="AA29" s="238"/>
      <c r="AB29" s="238"/>
      <c r="AC29" s="239"/>
      <c r="AD29" s="239"/>
      <c r="AE29" s="239"/>
      <c r="AF29" s="239"/>
      <c r="AG29" s="255"/>
      <c r="AH29" s="238"/>
      <c r="AI29" s="238"/>
      <c r="AJ29" s="238"/>
      <c r="AK29" s="238"/>
      <c r="AN29" s="238"/>
      <c r="AO29" s="238"/>
      <c r="AP29" s="238"/>
      <c r="AQ29" s="238"/>
      <c r="AR29" s="238"/>
      <c r="AS29" s="238"/>
      <c r="AV29" s="238"/>
      <c r="AW29" s="238"/>
    </row>
    <row r="30" spans="1:49" ht="12" customHeight="1">
      <c r="B30" s="237"/>
      <c r="C30" s="238"/>
      <c r="D30" s="238"/>
      <c r="E30" s="238"/>
      <c r="F30" s="238"/>
      <c r="G30" s="239"/>
      <c r="H30" s="239"/>
      <c r="I30" s="238"/>
      <c r="J30" s="238"/>
      <c r="K30" s="238"/>
      <c r="Z30" s="238"/>
      <c r="AA30" s="238"/>
      <c r="AB30" s="238"/>
      <c r="AC30" s="239"/>
      <c r="AD30" s="239"/>
      <c r="AE30" s="239"/>
      <c r="AF30" s="239"/>
      <c r="AG30" s="255"/>
      <c r="AH30" s="238"/>
      <c r="AI30" s="238"/>
      <c r="AJ30" s="238"/>
      <c r="AK30" s="238"/>
      <c r="AN30" s="238"/>
      <c r="AO30" s="238"/>
      <c r="AP30" s="238"/>
      <c r="AQ30" s="238"/>
      <c r="AR30" s="238"/>
      <c r="AS30" s="238"/>
      <c r="AV30" s="238"/>
      <c r="AW30" s="238"/>
    </row>
    <row r="31" spans="1:49" ht="12" customHeight="1">
      <c r="J31" s="240"/>
      <c r="K31" s="240"/>
      <c r="L31" s="240">
        <v>2367123</v>
      </c>
      <c r="M31" s="258"/>
      <c r="N31" s="258"/>
      <c r="O31" s="258"/>
      <c r="P31" s="240"/>
      <c r="AC31" s="197"/>
      <c r="AD31" s="197"/>
      <c r="AE31" s="197"/>
      <c r="AF31" s="197"/>
      <c r="AG31" s="259"/>
    </row>
    <row r="32" spans="1:49" s="203" customFormat="1" ht="12" customHeight="1">
      <c r="F32" s="260"/>
      <c r="G32" s="261"/>
      <c r="H32" s="261"/>
      <c r="P32" s="262"/>
      <c r="X32" s="196"/>
      <c r="Y32" s="196"/>
      <c r="AC32" s="261"/>
      <c r="AD32" s="261"/>
      <c r="AE32" s="261"/>
      <c r="AF32" s="261"/>
      <c r="AG32" s="263"/>
      <c r="AL32" s="196"/>
      <c r="AM32" s="196"/>
      <c r="AT32" s="196"/>
      <c r="AU32" s="196"/>
    </row>
    <row r="33" spans="5:33" ht="12" customHeight="1">
      <c r="L33" s="218">
        <f ca="1">L27-L31</f>
        <v>-2367123</v>
      </c>
      <c r="AC33" s="197"/>
      <c r="AD33" s="197"/>
      <c r="AE33" s="197"/>
      <c r="AF33" s="197"/>
      <c r="AG33" s="259"/>
    </row>
    <row r="34" spans="5:33">
      <c r="J34" s="218"/>
      <c r="K34" s="218"/>
    </row>
    <row r="35" spans="5:33">
      <c r="R35" s="218"/>
    </row>
    <row r="36" spans="5:33">
      <c r="F36" s="218"/>
      <c r="R36" s="218"/>
    </row>
    <row r="37" spans="5:33">
      <c r="F37" s="218"/>
      <c r="R37" s="218"/>
    </row>
    <row r="38" spans="5:33">
      <c r="F38" s="218"/>
      <c r="G38" s="218"/>
      <c r="R38" s="218"/>
    </row>
    <row r="39" spans="5:33">
      <c r="F39" s="218"/>
      <c r="R39" s="218"/>
    </row>
    <row r="40" spans="5:33">
      <c r="F40" s="218"/>
      <c r="R40" s="218"/>
    </row>
    <row r="41" spans="5:33">
      <c r="F41" s="218"/>
      <c r="M41" s="240"/>
      <c r="N41" s="240"/>
      <c r="O41" s="240"/>
      <c r="P41" s="240"/>
      <c r="R41" s="218"/>
    </row>
    <row r="42" spans="5:33">
      <c r="E42" s="251"/>
      <c r="F42" s="218"/>
      <c r="M42" s="240"/>
      <c r="N42" s="240"/>
      <c r="O42" s="240"/>
      <c r="P42" s="240"/>
    </row>
    <row r="43" spans="5:33">
      <c r="F43" s="240"/>
      <c r="M43" s="240"/>
      <c r="N43" s="240"/>
      <c r="O43" s="240"/>
      <c r="P43" s="240"/>
    </row>
    <row r="44" spans="5:33">
      <c r="F44" s="240"/>
      <c r="M44" s="240"/>
      <c r="N44" s="240"/>
      <c r="O44" s="240"/>
      <c r="P44" s="240"/>
    </row>
    <row r="45" spans="5:33">
      <c r="E45" s="240"/>
      <c r="F45" s="240"/>
      <c r="M45" s="240"/>
      <c r="N45" s="240"/>
      <c r="O45" s="240"/>
      <c r="P45" s="240"/>
    </row>
    <row r="46" spans="5:33">
      <c r="E46" s="240"/>
      <c r="F46" s="240"/>
      <c r="M46" s="240"/>
      <c r="N46" s="240"/>
      <c r="O46" s="240"/>
      <c r="P46" s="240"/>
    </row>
    <row r="47" spans="5:33">
      <c r="E47" s="240"/>
      <c r="F47" s="240"/>
      <c r="M47" s="240"/>
      <c r="N47" s="240"/>
      <c r="O47" s="240"/>
      <c r="P47" s="240"/>
    </row>
    <row r="48" spans="5:33">
      <c r="E48" s="240"/>
      <c r="F48" s="240"/>
      <c r="M48" s="240"/>
      <c r="N48" s="240"/>
      <c r="O48" s="240"/>
      <c r="P48" s="240"/>
    </row>
    <row r="49" spans="5:16">
      <c r="E49" s="240"/>
      <c r="F49" s="240"/>
      <c r="M49" s="240"/>
      <c r="N49" s="240"/>
      <c r="O49" s="240"/>
      <c r="P49" s="240"/>
    </row>
    <row r="50" spans="5:16">
      <c r="E50" s="240"/>
      <c r="F50" s="240"/>
      <c r="M50" s="240"/>
      <c r="N50" s="240"/>
      <c r="O50" s="240"/>
      <c r="P50" s="240"/>
    </row>
    <row r="51" spans="5:16">
      <c r="F51" s="240"/>
      <c r="M51" s="240"/>
      <c r="N51" s="240"/>
      <c r="O51" s="240"/>
      <c r="P51" s="240"/>
    </row>
    <row r="52" spans="5:16">
      <c r="F52" s="240"/>
      <c r="M52" s="240"/>
      <c r="N52" s="240"/>
      <c r="O52" s="240"/>
      <c r="P52" s="240"/>
    </row>
    <row r="53" spans="5:16">
      <c r="F53" s="240"/>
      <c r="M53" s="240"/>
      <c r="N53" s="240"/>
      <c r="O53" s="240"/>
      <c r="P53" s="240"/>
    </row>
    <row r="54" spans="5:16">
      <c r="F54" s="240"/>
      <c r="M54" s="240"/>
      <c r="N54" s="240"/>
      <c r="O54" s="240"/>
      <c r="P54" s="240"/>
    </row>
    <row r="55" spans="5:16">
      <c r="F55" s="240"/>
      <c r="M55" s="240"/>
      <c r="N55" s="240"/>
      <c r="O55" s="240"/>
      <c r="P55" s="240"/>
    </row>
    <row r="56" spans="5:16">
      <c r="F56" s="240"/>
      <c r="M56" s="240"/>
      <c r="N56" s="240"/>
      <c r="O56" s="240"/>
      <c r="P56" s="240"/>
    </row>
    <row r="57" spans="5:16">
      <c r="M57" s="240"/>
      <c r="N57" s="240"/>
      <c r="O57" s="240"/>
      <c r="P57" s="240"/>
    </row>
    <row r="59" spans="5:16">
      <c r="M59" s="240"/>
      <c r="N59" s="240"/>
      <c r="O59" s="240"/>
      <c r="P59" s="240"/>
    </row>
    <row r="60" spans="5:16">
      <c r="M60" s="240"/>
      <c r="N60" s="240"/>
      <c r="O60" s="240"/>
      <c r="P60" s="240"/>
    </row>
    <row r="61" spans="5:16">
      <c r="M61" s="240"/>
      <c r="N61" s="240"/>
      <c r="O61" s="240"/>
      <c r="P61" s="240"/>
    </row>
    <row r="62" spans="5:16">
      <c r="M62" s="240"/>
      <c r="N62" s="240"/>
      <c r="O62" s="240"/>
      <c r="P62" s="240"/>
    </row>
    <row r="63" spans="5:16">
      <c r="M63" s="240"/>
      <c r="N63" s="240"/>
      <c r="O63" s="240"/>
      <c r="P63" s="240"/>
    </row>
    <row r="64" spans="5:16">
      <c r="M64" s="240"/>
      <c r="N64" s="240"/>
      <c r="O64" s="240"/>
      <c r="P64" s="240"/>
    </row>
    <row r="77" spans="13:15">
      <c r="M77" s="240"/>
      <c r="N77" s="240"/>
      <c r="O77" s="240"/>
    </row>
    <row r="94" spans="13:16">
      <c r="P94" s="240"/>
    </row>
    <row r="95" spans="13:16">
      <c r="P95" s="240"/>
    </row>
    <row r="96" spans="13:16">
      <c r="M96" s="240"/>
      <c r="N96" s="240"/>
      <c r="O96" s="240"/>
      <c r="P96" s="240"/>
    </row>
    <row r="97" spans="13:16">
      <c r="M97" s="240"/>
      <c r="N97" s="240"/>
      <c r="O97" s="240"/>
      <c r="P97" s="240"/>
    </row>
    <row r="98" spans="13:16">
      <c r="M98" s="240"/>
      <c r="N98" s="240"/>
      <c r="O98" s="240"/>
    </row>
    <row r="99" spans="13:16">
      <c r="M99" s="240"/>
      <c r="N99" s="240"/>
      <c r="O99" s="240"/>
    </row>
    <row r="101" spans="13:16">
      <c r="M101" s="240"/>
      <c r="N101" s="240"/>
      <c r="O101" s="240"/>
      <c r="P101" s="240"/>
    </row>
    <row r="102" spans="13:16">
      <c r="M102" s="240"/>
      <c r="N102" s="240"/>
      <c r="O102" s="240"/>
      <c r="P102" s="240"/>
    </row>
    <row r="109" spans="13:16">
      <c r="M109" s="240"/>
      <c r="N109" s="240"/>
      <c r="O109" s="240"/>
      <c r="P109" s="240"/>
    </row>
    <row r="110" spans="13:16">
      <c r="M110" s="240"/>
      <c r="N110" s="240"/>
      <c r="O110" s="240"/>
      <c r="P110" s="240"/>
    </row>
    <row r="111" spans="13:16">
      <c r="M111" s="240"/>
      <c r="N111" s="240"/>
      <c r="O111" s="240"/>
      <c r="P111" s="240"/>
    </row>
    <row r="115" spans="13:16">
      <c r="M115" s="240"/>
      <c r="N115" s="240"/>
      <c r="O115" s="240"/>
      <c r="P115" s="240"/>
    </row>
    <row r="116" spans="13:16">
      <c r="M116" s="240"/>
      <c r="N116" s="240"/>
      <c r="O116" s="240"/>
      <c r="P116" s="240"/>
    </row>
    <row r="117" spans="13:16">
      <c r="M117" s="240"/>
      <c r="N117" s="240"/>
      <c r="O117" s="240"/>
      <c r="P117" s="240"/>
    </row>
    <row r="118" spans="13:16">
      <c r="M118" s="240"/>
      <c r="N118" s="240"/>
      <c r="O118" s="240"/>
      <c r="P118" s="240"/>
    </row>
    <row r="119" spans="13:16">
      <c r="M119" s="240"/>
      <c r="N119" s="240"/>
      <c r="O119" s="240"/>
      <c r="P119" s="240"/>
    </row>
    <row r="120" spans="13:16">
      <c r="M120" s="240"/>
      <c r="N120" s="240"/>
      <c r="O120" s="240"/>
      <c r="P120" s="240"/>
    </row>
    <row r="121" spans="13:16">
      <c r="M121" s="240"/>
      <c r="N121" s="240"/>
      <c r="O121" s="240"/>
      <c r="P121" s="240"/>
    </row>
    <row r="122" spans="13:16">
      <c r="M122" s="240"/>
      <c r="N122" s="240"/>
      <c r="O122" s="240"/>
      <c r="P122" s="240"/>
    </row>
    <row r="123" spans="13:16">
      <c r="M123" s="240"/>
      <c r="N123" s="240"/>
      <c r="O123" s="240"/>
      <c r="P123" s="240"/>
    </row>
    <row r="124" spans="13:16">
      <c r="M124" s="240"/>
      <c r="N124" s="240"/>
      <c r="O124" s="240"/>
      <c r="P124" s="240"/>
    </row>
    <row r="125" spans="13:16">
      <c r="M125" s="240"/>
      <c r="N125" s="240"/>
      <c r="O125" s="240"/>
      <c r="P125" s="240"/>
    </row>
    <row r="126" spans="13:16">
      <c r="M126" s="240"/>
      <c r="N126" s="240"/>
      <c r="O126" s="240"/>
      <c r="P126" s="240"/>
    </row>
    <row r="127" spans="13:16">
      <c r="M127" s="240"/>
      <c r="N127" s="240"/>
      <c r="O127" s="240"/>
      <c r="P127" s="240"/>
    </row>
    <row r="128" spans="13:16">
      <c r="M128" s="240"/>
      <c r="N128" s="240"/>
      <c r="O128" s="240"/>
      <c r="P128" s="240"/>
    </row>
    <row r="129" spans="13:16">
      <c r="M129" s="240"/>
      <c r="N129" s="240"/>
      <c r="O129" s="240"/>
      <c r="P129" s="240"/>
    </row>
    <row r="130" spans="13:16">
      <c r="M130" s="240"/>
      <c r="N130" s="240"/>
      <c r="O130" s="240"/>
      <c r="P130" s="240"/>
    </row>
    <row r="131" spans="13:16">
      <c r="M131" s="240"/>
      <c r="N131" s="240"/>
      <c r="O131" s="240"/>
      <c r="P131" s="240"/>
    </row>
    <row r="132" spans="13:16">
      <c r="M132" s="240"/>
      <c r="N132" s="240"/>
      <c r="O132" s="240"/>
      <c r="P132" s="240"/>
    </row>
    <row r="133" spans="13:16">
      <c r="M133" s="240"/>
      <c r="N133" s="240"/>
      <c r="O133" s="240"/>
      <c r="P133" s="240"/>
    </row>
    <row r="134" spans="13:16">
      <c r="M134" s="240"/>
      <c r="N134" s="240"/>
      <c r="O134" s="240"/>
      <c r="P134" s="240"/>
    </row>
    <row r="135" spans="13:16">
      <c r="M135" s="240"/>
      <c r="N135" s="240"/>
      <c r="O135" s="240"/>
      <c r="P135" s="240"/>
    </row>
    <row r="136" spans="13:16">
      <c r="M136" s="240"/>
      <c r="N136" s="240"/>
      <c r="O136" s="240"/>
      <c r="P136" s="240"/>
    </row>
    <row r="137" spans="13:16">
      <c r="M137" s="240"/>
      <c r="N137" s="240"/>
      <c r="O137" s="240"/>
      <c r="P137" s="240"/>
    </row>
    <row r="138" spans="13:16">
      <c r="M138" s="240"/>
      <c r="N138" s="240"/>
      <c r="O138" s="240"/>
      <c r="P138" s="240"/>
    </row>
    <row r="139" spans="13:16">
      <c r="M139" s="240"/>
      <c r="N139" s="240"/>
      <c r="O139" s="240"/>
      <c r="P139" s="240"/>
    </row>
    <row r="140" spans="13:16">
      <c r="M140" s="240"/>
      <c r="N140" s="240"/>
      <c r="O140" s="240"/>
      <c r="P140" s="240"/>
    </row>
    <row r="141" spans="13:16">
      <c r="M141" s="240"/>
      <c r="N141" s="240"/>
      <c r="O141" s="240"/>
      <c r="P141" s="240"/>
    </row>
    <row r="142" spans="13:16">
      <c r="M142" s="240"/>
      <c r="N142" s="240"/>
      <c r="O142" s="240"/>
      <c r="P142" s="240"/>
    </row>
    <row r="143" spans="13:16">
      <c r="M143" s="240"/>
      <c r="N143" s="240"/>
      <c r="O143" s="240"/>
      <c r="P143" s="240"/>
    </row>
    <row r="144" spans="13:16">
      <c r="M144" s="240"/>
      <c r="N144" s="240"/>
      <c r="O144" s="240"/>
      <c r="P144" s="240"/>
    </row>
    <row r="145" spans="13:16">
      <c r="M145" s="240"/>
      <c r="N145" s="240"/>
      <c r="O145" s="240"/>
      <c r="P145" s="240"/>
    </row>
    <row r="146" spans="13:16">
      <c r="M146" s="240"/>
      <c r="N146" s="240"/>
      <c r="O146" s="240"/>
      <c r="P146" s="240"/>
    </row>
    <row r="147" spans="13:16">
      <c r="M147" s="240"/>
      <c r="N147" s="240"/>
      <c r="O147" s="240"/>
      <c r="P147" s="240"/>
    </row>
    <row r="148" spans="13:16">
      <c r="M148" s="240"/>
      <c r="N148" s="240"/>
      <c r="O148" s="240"/>
      <c r="P148" s="240"/>
    </row>
    <row r="149" spans="13:16">
      <c r="M149" s="240"/>
      <c r="N149" s="240"/>
      <c r="O149" s="240"/>
      <c r="P149" s="240"/>
    </row>
    <row r="150" spans="13:16">
      <c r="M150" s="240"/>
      <c r="N150" s="240"/>
      <c r="O150" s="240"/>
      <c r="P150" s="240"/>
    </row>
    <row r="151" spans="13:16">
      <c r="M151" s="240"/>
      <c r="N151" s="240"/>
      <c r="O151" s="240"/>
      <c r="P151" s="240"/>
    </row>
    <row r="152" spans="13:16">
      <c r="M152" s="240"/>
      <c r="N152" s="240"/>
      <c r="O152" s="240"/>
      <c r="P152" s="240"/>
    </row>
    <row r="153" spans="13:16">
      <c r="M153" s="240"/>
      <c r="N153" s="240"/>
      <c r="O153" s="240"/>
      <c r="P153" s="240"/>
    </row>
    <row r="154" spans="13:16">
      <c r="M154" s="240"/>
      <c r="N154" s="240"/>
      <c r="O154" s="240"/>
      <c r="P154" s="240"/>
    </row>
    <row r="155" spans="13:16">
      <c r="M155" s="240"/>
      <c r="N155" s="240"/>
      <c r="O155" s="240"/>
      <c r="P155" s="240"/>
    </row>
    <row r="156" spans="13:16">
      <c r="M156" s="240"/>
      <c r="N156" s="240"/>
      <c r="O156" s="240"/>
      <c r="P156" s="240"/>
    </row>
    <row r="157" spans="13:16">
      <c r="M157" s="240"/>
      <c r="N157" s="240"/>
      <c r="O157" s="240"/>
      <c r="P157" s="240"/>
    </row>
    <row r="158" spans="13:16">
      <c r="M158" s="240"/>
      <c r="N158" s="240"/>
      <c r="O158" s="240"/>
      <c r="P158" s="240"/>
    </row>
    <row r="159" spans="13:16">
      <c r="M159" s="240"/>
      <c r="N159" s="240"/>
      <c r="O159" s="240"/>
      <c r="P159" s="240"/>
    </row>
    <row r="160" spans="13:16">
      <c r="M160" s="240"/>
      <c r="N160" s="240"/>
      <c r="O160" s="240"/>
      <c r="P160" s="240"/>
    </row>
    <row r="161" spans="13:16">
      <c r="M161" s="240"/>
      <c r="N161" s="240"/>
      <c r="O161" s="240"/>
      <c r="P161" s="240"/>
    </row>
    <row r="162" spans="13:16">
      <c r="M162" s="240"/>
      <c r="N162" s="240"/>
      <c r="O162" s="240"/>
      <c r="P162" s="240"/>
    </row>
    <row r="163" spans="13:16">
      <c r="M163" s="240"/>
      <c r="N163" s="240"/>
      <c r="O163" s="240"/>
      <c r="P163" s="240"/>
    </row>
    <row r="164" spans="13:16">
      <c r="M164" s="240"/>
      <c r="N164" s="240"/>
      <c r="O164" s="240"/>
      <c r="P164" s="240"/>
    </row>
    <row r="165" spans="13:16">
      <c r="M165" s="240"/>
      <c r="N165" s="240"/>
      <c r="O165" s="240"/>
      <c r="P165" s="240"/>
    </row>
    <row r="166" spans="13:16">
      <c r="M166" s="240"/>
      <c r="N166" s="240"/>
      <c r="O166" s="240"/>
      <c r="P166" s="240"/>
    </row>
    <row r="167" spans="13:16">
      <c r="M167" s="240"/>
      <c r="N167" s="240"/>
      <c r="O167" s="240"/>
      <c r="P167" s="240"/>
    </row>
    <row r="168" spans="13:16">
      <c r="M168" s="240"/>
      <c r="N168" s="240"/>
      <c r="O168" s="240"/>
      <c r="P168" s="240"/>
    </row>
    <row r="169" spans="13:16">
      <c r="M169" s="240"/>
      <c r="N169" s="240"/>
      <c r="O169" s="240"/>
      <c r="P169" s="240"/>
    </row>
    <row r="170" spans="13:16">
      <c r="M170" s="240"/>
      <c r="N170" s="240"/>
      <c r="O170" s="240"/>
      <c r="P170" s="240"/>
    </row>
    <row r="171" spans="13:16">
      <c r="M171" s="240"/>
      <c r="N171" s="240"/>
      <c r="O171" s="240"/>
      <c r="P171" s="240"/>
    </row>
    <row r="172" spans="13:16">
      <c r="M172" s="240"/>
      <c r="N172" s="240"/>
      <c r="O172" s="240"/>
      <c r="P172" s="240"/>
    </row>
    <row r="173" spans="13:16">
      <c r="M173" s="240"/>
      <c r="N173" s="240"/>
      <c r="O173" s="240"/>
      <c r="P173" s="240"/>
    </row>
    <row r="174" spans="13:16">
      <c r="M174" s="240"/>
      <c r="N174" s="240"/>
      <c r="O174" s="240"/>
      <c r="P174" s="240"/>
    </row>
    <row r="175" spans="13:16">
      <c r="M175" s="240"/>
      <c r="N175" s="240"/>
      <c r="O175" s="240"/>
      <c r="P175" s="240"/>
    </row>
    <row r="176" spans="13:16">
      <c r="M176" s="240"/>
      <c r="N176" s="240"/>
      <c r="O176" s="240"/>
      <c r="P176" s="240"/>
    </row>
    <row r="177" spans="13:16">
      <c r="M177" s="240"/>
      <c r="N177" s="240"/>
      <c r="O177" s="240"/>
      <c r="P177" s="240"/>
    </row>
    <row r="178" spans="13:16">
      <c r="M178" s="240"/>
      <c r="N178" s="240"/>
      <c r="O178" s="240"/>
      <c r="P178" s="240"/>
    </row>
    <row r="179" spans="13:16">
      <c r="M179" s="240"/>
      <c r="N179" s="240"/>
      <c r="O179" s="240"/>
      <c r="P179" s="240"/>
    </row>
    <row r="180" spans="13:16">
      <c r="M180" s="240"/>
      <c r="N180" s="240"/>
      <c r="O180" s="240"/>
      <c r="P180" s="240"/>
    </row>
    <row r="181" spans="13:16">
      <c r="M181" s="240"/>
      <c r="N181" s="240"/>
      <c r="O181" s="240"/>
      <c r="P181" s="240"/>
    </row>
    <row r="182" spans="13:16">
      <c r="M182" s="240"/>
      <c r="N182" s="240"/>
      <c r="O182" s="240"/>
      <c r="P182" s="240"/>
    </row>
    <row r="183" spans="13:16">
      <c r="M183" s="240"/>
      <c r="N183" s="240"/>
      <c r="O183" s="240"/>
      <c r="P183" s="240"/>
    </row>
    <row r="184" spans="13:16">
      <c r="M184" s="240"/>
      <c r="N184" s="240"/>
      <c r="O184" s="240"/>
      <c r="P184" s="240"/>
    </row>
    <row r="185" spans="13:16">
      <c r="M185" s="240"/>
      <c r="N185" s="240"/>
      <c r="O185" s="240"/>
      <c r="P185" s="240"/>
    </row>
    <row r="186" spans="13:16">
      <c r="M186" s="240"/>
      <c r="N186" s="240"/>
      <c r="O186" s="240"/>
      <c r="P186" s="240"/>
    </row>
    <row r="187" spans="13:16">
      <c r="M187" s="240"/>
      <c r="N187" s="240"/>
      <c r="O187" s="240"/>
      <c r="P187" s="240"/>
    </row>
    <row r="188" spans="13:16">
      <c r="M188" s="240"/>
      <c r="N188" s="240"/>
      <c r="O188" s="240"/>
      <c r="P188" s="240"/>
    </row>
    <row r="189" spans="13:16">
      <c r="M189" s="240"/>
      <c r="N189" s="240"/>
      <c r="O189" s="240"/>
      <c r="P189" s="240"/>
    </row>
  </sheetData>
  <autoFilter ref="A9:AW28">
    <filterColumn colId="5"/>
    <filterColumn colId="6"/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29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163" customWidth="1"/>
    <col min="2" max="2" width="8.28515625" style="163" customWidth="1"/>
    <col min="3" max="3" width="10.28515625" style="163" customWidth="1"/>
    <col min="4" max="4" width="38.42578125" style="5" customWidth="1"/>
    <col min="5" max="5" width="7.28515625" style="163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157</v>
      </c>
      <c r="G2" s="313" t="s">
        <v>158</v>
      </c>
      <c r="H2" s="313"/>
      <c r="I2" s="313"/>
    </row>
    <row r="3" spans="1:9" ht="15.75" customHeight="1">
      <c r="A3" s="1" t="s">
        <v>159</v>
      </c>
      <c r="G3" s="314" t="s">
        <v>132</v>
      </c>
      <c r="H3" s="314"/>
      <c r="I3" s="314"/>
    </row>
    <row r="4" spans="1:9">
      <c r="F4" s="7"/>
      <c r="G4" s="314"/>
      <c r="H4" s="314"/>
      <c r="I4" s="314"/>
    </row>
    <row r="5" spans="1:9" ht="17.25" customHeight="1">
      <c r="A5" s="315" t="s">
        <v>160</v>
      </c>
      <c r="B5" s="315"/>
      <c r="C5" s="315"/>
      <c r="D5" s="315"/>
      <c r="E5" s="315"/>
      <c r="F5" s="315"/>
      <c r="G5" s="315"/>
      <c r="H5" s="315"/>
      <c r="I5" s="315"/>
    </row>
    <row r="6" spans="1:9">
      <c r="A6" s="316" t="s">
        <v>161</v>
      </c>
      <c r="B6" s="317"/>
      <c r="C6" s="317"/>
      <c r="D6" s="317"/>
      <c r="E6" s="317"/>
      <c r="F6" s="317"/>
      <c r="G6" s="317"/>
      <c r="H6" s="317"/>
      <c r="I6" s="317"/>
    </row>
    <row r="7" spans="1:9">
      <c r="B7" s="5"/>
      <c r="C7" s="5"/>
      <c r="D7" s="173" t="s">
        <v>162</v>
      </c>
      <c r="E7" s="174" t="s">
        <v>95</v>
      </c>
    </row>
    <row r="8" spans="1:9">
      <c r="B8" s="5"/>
      <c r="C8" s="5"/>
      <c r="D8" s="173" t="s">
        <v>163</v>
      </c>
      <c r="E8" s="5" t="str">
        <f>VLOOKUP($E$7,DSTK,2,0)</f>
        <v xml:space="preserve"> Xác định kết quả kinh doanh </v>
      </c>
    </row>
    <row r="9" spans="1:9">
      <c r="A9" s="317" t="s">
        <v>26</v>
      </c>
      <c r="B9" s="318"/>
      <c r="C9" s="318"/>
      <c r="D9" s="318"/>
      <c r="E9" s="318"/>
      <c r="F9" s="318"/>
      <c r="G9" s="318"/>
      <c r="H9" s="318"/>
      <c r="I9" s="318"/>
    </row>
    <row r="10" spans="1:9" ht="9.75" customHeight="1">
      <c r="C10" s="319"/>
      <c r="D10" s="320"/>
      <c r="E10" s="320"/>
      <c r="F10" s="320"/>
      <c r="G10" s="320"/>
      <c r="H10" s="320"/>
      <c r="I10" s="320"/>
    </row>
    <row r="11" spans="1:9" ht="19.5" customHeight="1">
      <c r="A11" s="321" t="s">
        <v>20</v>
      </c>
      <c r="B11" s="311" t="s">
        <v>1</v>
      </c>
      <c r="C11" s="322"/>
      <c r="D11" s="321" t="s">
        <v>0</v>
      </c>
      <c r="E11" s="321" t="s">
        <v>14</v>
      </c>
      <c r="F11" s="311" t="s">
        <v>21</v>
      </c>
      <c r="G11" s="322"/>
      <c r="H11" s="311" t="s">
        <v>27</v>
      </c>
      <c r="I11" s="312"/>
    </row>
    <row r="12" spans="1:9" ht="37.5" customHeight="1">
      <c r="A12" s="321"/>
      <c r="B12" s="175" t="s">
        <v>15</v>
      </c>
      <c r="C12" s="175" t="s">
        <v>28</v>
      </c>
      <c r="D12" s="321"/>
      <c r="E12" s="321"/>
      <c r="F12" s="175" t="s">
        <v>22</v>
      </c>
      <c r="G12" s="175" t="s">
        <v>23</v>
      </c>
      <c r="H12" s="175" t="s">
        <v>22</v>
      </c>
      <c r="I12" s="175" t="s">
        <v>23</v>
      </c>
    </row>
    <row r="13" spans="1:9" s="170" customFormat="1" ht="11.25" customHeight="1">
      <c r="A13" s="171" t="s">
        <v>2</v>
      </c>
      <c r="B13" s="172" t="s">
        <v>3</v>
      </c>
      <c r="C13" s="171" t="s">
        <v>4</v>
      </c>
      <c r="D13" s="171" t="s">
        <v>5</v>
      </c>
      <c r="E13" s="171" t="s">
        <v>6</v>
      </c>
      <c r="F13" s="171">
        <v>1</v>
      </c>
      <c r="G13" s="171">
        <v>2</v>
      </c>
      <c r="H13" s="171">
        <v>3</v>
      </c>
      <c r="I13" s="171">
        <v>4</v>
      </c>
    </row>
    <row r="14" spans="1:9" ht="16.5" customHeight="1">
      <c r="A14" s="176"/>
      <c r="B14" s="177"/>
      <c r="C14" s="176"/>
      <c r="D14" s="178" t="s">
        <v>7</v>
      </c>
      <c r="E14" s="177"/>
      <c r="F14" s="179"/>
      <c r="G14" s="179"/>
      <c r="H14" s="179">
        <f>VLOOKUP($E$7,DSTK,3,0)</f>
        <v>0</v>
      </c>
      <c r="I14" s="179">
        <f>VLOOKUP($E$7,DSTK,4,0)</f>
        <v>0</v>
      </c>
    </row>
    <row r="15" spans="1:9" ht="16.5" customHeight="1">
      <c r="A15" s="164">
        <f ca="1">IF(ROWS($1:1)&gt;COUNT(Dong5),"",OFFSET(TH!C$1,SMALL(Dong5,ROWS($1:1)),))</f>
        <v>40543</v>
      </c>
      <c r="B15" s="164" t="str">
        <f ca="1">IF(ROWS($1:1)&gt;COUNT(Dong5),"",OFFSET(TH!D$1,SMALL(Dong5,ROWS($1:1)),))</f>
        <v>BTKC</v>
      </c>
      <c r="C15" s="164">
        <f ca="1">IF(ROWS($1:1)&gt;COUNT(Dong5),"",OFFSET(TH!E$1,SMALL(Dong5,ROWS($1:1)),))</f>
        <v>40543</v>
      </c>
      <c r="D15" s="167" t="str">
        <f ca="1">IF(ROWS($1:1)&gt;COUNT(Dong5),"",OFFSET(TH!F$1,SMALL(Dong5,ROWS($1:1)),))</f>
        <v>K/C lãi SXKD</v>
      </c>
      <c r="E15" s="164" t="str">
        <f ca="1">IF(ROWS($1:1)&gt;COUNT(Dong5),"",IF(OFFSET(TH!J$1,SMALL(Dong5,ROWS($1:1)),)=$E$7,OFFSET(TH!K$1,SMALL(Dong5,ROWS($1:1)),),OFFSET(TH!J$1,SMALL(Dong5,ROWS($1:1)),)))</f>
        <v>4212</v>
      </c>
      <c r="F15" s="180">
        <f ca="1">IF(ROWS($1:1)&gt;COUNT(Dong5),0,IF(OFFSET(TH!J$1,SMALL(Dong5,ROWS($1:1)),)=$E$7,OFFSET(TH!I$1,SMALL(Dong5,ROWS($1:1)),),0))</f>
        <v>0</v>
      </c>
      <c r="G15" s="179">
        <f ca="1">IF(ROWS($1:1)&gt;COUNT(Dong5),0,IF(OFFSET(TH!K$1,SMALL(Dong5,ROWS($1:1)),)=$E$7,OFFSET(TH!I$1,SMALL(Dong5,ROWS($1:1)),),0))</f>
        <v>1910000</v>
      </c>
      <c r="H15" s="181">
        <f ca="1">IF(D15&lt;&gt;"",MAX(H14+F15-G15-I14,0),0)</f>
        <v>0</v>
      </c>
      <c r="I15" s="181">
        <f ca="1">IF(D15&lt;&gt;"",MAX(I14+G15-H14-F15,0),0)</f>
        <v>1910000</v>
      </c>
    </row>
    <row r="16" spans="1:9" ht="16.5" customHeight="1">
      <c r="A16" s="164">
        <f ca="1">IF(ROWS($1:2)&gt;COUNT(Dong5),"",OFFSET(TH!C$1,SMALL(Dong5,ROWS($1:2)),))</f>
        <v>40543</v>
      </c>
      <c r="B16" s="164" t="str">
        <f ca="1">IF(ROWS($1:2)&gt;COUNT(Dong5),"",OFFSET(TH!D$1,SMALL(Dong5,ROWS($1:2)),))</f>
        <v>BTKC</v>
      </c>
      <c r="C16" s="164">
        <f ca="1">IF(ROWS($1:2)&gt;COUNT(Dong5),"",OFFSET(TH!E$1,SMALL(Dong5,ROWS($1:2)),))</f>
        <v>40543</v>
      </c>
      <c r="D16" s="167" t="str">
        <f ca="1">IF(ROWS($1:2)&gt;COUNT(Dong5),"",OFFSET(TH!F$1,SMALL(Dong5,ROWS($1:2)),))</f>
        <v>K/C chi phí quản lý doanh nghiệp</v>
      </c>
      <c r="E16" s="164" t="str">
        <f ca="1">IF(ROWS($1:2)&gt;COUNT(Dong5),"",IF(OFFSET(TH!J$1,SMALL(Dong5,ROWS($1:2)),)=$E$7,OFFSET(TH!K$1,SMALL(Dong5,ROWS($1:2)),),OFFSET(TH!J$1,SMALL(Dong5,ROWS($1:2)),)))</f>
        <v>642</v>
      </c>
      <c r="F16" s="180">
        <f ca="1">IF(ROWS($1:2)&gt;COUNT(Dong5),0,IF(OFFSET(TH!J$1,SMALL(Dong5,ROWS($1:2)),)=$E$7,OFFSET(TH!I$1,SMALL(Dong5,ROWS($1:2)),),0))</f>
        <v>1910000</v>
      </c>
      <c r="G16" s="179">
        <f ca="1">IF(ROWS($1:2)&gt;COUNT(Dong5),0,IF(OFFSET(TH!K$1,SMALL(Dong5,ROWS($1:2)),)=$E$7,OFFSET(TH!I$1,SMALL(Dong5,ROWS($1:2)),),0))</f>
        <v>0</v>
      </c>
      <c r="H16" s="181">
        <f t="shared" ref="H16:H18" ca="1" si="0">IF(D16&lt;&gt;"",MAX(H15+F16-G16-I15,0),0)</f>
        <v>0</v>
      </c>
      <c r="I16" s="181">
        <f t="shared" ref="I16:I18" ca="1" si="1">IF(D16&lt;&gt;"",MAX(I15+G16-H15-F16,0),0)</f>
        <v>0</v>
      </c>
    </row>
    <row r="17" spans="1:9" ht="16.5" customHeight="1">
      <c r="A17" s="164">
        <f ca="1">IF(ROWS($1:3)&gt;COUNT(Dong5),"",OFFSET(TH!C$1,SMALL(Dong5,ROWS($1:3)),))</f>
        <v>40543</v>
      </c>
      <c r="B17" s="164" t="str">
        <f ca="1">IF(ROWS($1:3)&gt;COUNT(Dong5),"",OFFSET(TH!D$1,SMALL(Dong5,ROWS($1:3)),))</f>
        <v>BTKC</v>
      </c>
      <c r="C17" s="164">
        <f ca="1">IF(ROWS($1:3)&gt;COUNT(Dong5),"",OFFSET(TH!E$1,SMALL(Dong5,ROWS($1:3)),))</f>
        <v>40543</v>
      </c>
      <c r="D17" s="167" t="str">
        <f ca="1">IF(ROWS($1:3)&gt;COUNT(Dong5),"",OFFSET(TH!F$1,SMALL(Dong5,ROWS($1:3)),))</f>
        <v>K/C doanh thu hoạt động tài chính</v>
      </c>
      <c r="E17" s="164" t="str">
        <f ca="1">IF(ROWS($1:3)&gt;COUNT(Dong5),"",IF(OFFSET(TH!J$1,SMALL(Dong5,ROWS($1:3)),)=$E$7,OFFSET(TH!K$1,SMALL(Dong5,ROWS($1:3)),),OFFSET(TH!J$1,SMALL(Dong5,ROWS($1:3)),)))</f>
        <v>515</v>
      </c>
      <c r="F17" s="180">
        <f ca="1">IF(ROWS($1:3)&gt;COUNT(Dong5),0,IF(OFFSET(TH!J$1,SMALL(Dong5,ROWS($1:3)),)=$E$7,OFFSET(TH!I$1,SMALL(Dong5,ROWS($1:3)),),0))</f>
        <v>0</v>
      </c>
      <c r="G17" s="179">
        <f ca="1">IF(ROWS($1:3)&gt;COUNT(Dong5),0,IF(OFFSET(TH!K$1,SMALL(Dong5,ROWS($1:3)),)=$E$7,OFFSET(TH!I$1,SMALL(Dong5,ROWS($1:3)),),0))</f>
        <v>0</v>
      </c>
      <c r="H17" s="181">
        <f t="shared" ca="1" si="0"/>
        <v>0</v>
      </c>
      <c r="I17" s="181">
        <f t="shared" ca="1" si="1"/>
        <v>0</v>
      </c>
    </row>
    <row r="18" spans="1:9" ht="16.5" customHeight="1">
      <c r="A18" s="164">
        <f ca="1">IF(ROWS($1:4)&gt;COUNT(Dong5),"",OFFSET(TH!C$1,SMALL(Dong5,ROWS($1:4)),))</f>
        <v>40543</v>
      </c>
      <c r="B18" s="164" t="str">
        <f ca="1">IF(ROWS($1:4)&gt;COUNT(Dong5),"",OFFSET(TH!D$1,SMALL(Dong5,ROWS($1:4)),))</f>
        <v>BTKC</v>
      </c>
      <c r="C18" s="164">
        <f ca="1">IF(ROWS($1:4)&gt;COUNT(Dong5),"",OFFSET(TH!E$1,SMALL(Dong5,ROWS($1:4)),))</f>
        <v>40543</v>
      </c>
      <c r="D18" s="167" t="str">
        <f ca="1">IF(ROWS($1:4)&gt;COUNT(Dong5),"",OFFSET(TH!F$1,SMALL(Dong5,ROWS($1:4)),))</f>
        <v>K/C thu nhập khác</v>
      </c>
      <c r="E18" s="164" t="str">
        <f ca="1">IF(ROWS($1:4)&gt;COUNT(Dong5),"",IF(OFFSET(TH!J$1,SMALL(Dong5,ROWS($1:4)),)=$E$7,OFFSET(TH!K$1,SMALL(Dong5,ROWS($1:4)),),OFFSET(TH!J$1,SMALL(Dong5,ROWS($1:4)),)))</f>
        <v>711</v>
      </c>
      <c r="F18" s="180">
        <f ca="1">IF(ROWS($1:4)&gt;COUNT(Dong5),0,IF(OFFSET(TH!J$1,SMALL(Dong5,ROWS($1:4)),)=$E$7,OFFSET(TH!I$1,SMALL(Dong5,ROWS($1:4)),),0))</f>
        <v>0</v>
      </c>
      <c r="G18" s="179">
        <f ca="1">IF(ROWS($1:4)&gt;COUNT(Dong5),0,IF(OFFSET(TH!K$1,SMALL(Dong5,ROWS($1:4)),)=$E$7,OFFSET(TH!I$1,SMALL(Dong5,ROWS($1:4)),),0))</f>
        <v>0</v>
      </c>
      <c r="H18" s="181">
        <f t="shared" ca="1" si="0"/>
        <v>0</v>
      </c>
      <c r="I18" s="181">
        <f t="shared" ca="1" si="1"/>
        <v>0</v>
      </c>
    </row>
    <row r="19" spans="1:9" ht="16.5" customHeight="1">
      <c r="A19" s="164"/>
      <c r="B19" s="168"/>
      <c r="C19" s="164"/>
      <c r="D19" s="182"/>
      <c r="E19" s="168"/>
      <c r="F19" s="179"/>
      <c r="G19" s="179"/>
      <c r="H19" s="181"/>
      <c r="I19" s="181"/>
    </row>
    <row r="20" spans="1:9" ht="20.25" customHeight="1">
      <c r="A20" s="164"/>
      <c r="B20" s="168"/>
      <c r="C20" s="164"/>
      <c r="D20" s="183" t="s">
        <v>146</v>
      </c>
      <c r="E20" s="168" t="s">
        <v>19</v>
      </c>
      <c r="F20" s="184">
        <f ca="1">SUM(F15:F19)</f>
        <v>1910000</v>
      </c>
      <c r="G20" s="184">
        <f ca="1">SUM(G15:G19)</f>
        <v>1910000</v>
      </c>
      <c r="H20" s="184" t="s">
        <v>19</v>
      </c>
      <c r="I20" s="184" t="s">
        <v>19</v>
      </c>
    </row>
    <row r="21" spans="1:9" ht="20.25" customHeight="1">
      <c r="A21" s="185"/>
      <c r="B21" s="186"/>
      <c r="C21" s="185"/>
      <c r="D21" s="187" t="s">
        <v>10</v>
      </c>
      <c r="E21" s="186" t="s">
        <v>19</v>
      </c>
      <c r="F21" s="188" t="s">
        <v>19</v>
      </c>
      <c r="G21" s="188" t="s">
        <v>19</v>
      </c>
      <c r="H21" s="189">
        <f ca="1">MAX(H14+F20-G20-I14,0)</f>
        <v>0</v>
      </c>
      <c r="I21" s="189">
        <f ca="1">MAX(I14+G20-F20-H14,0)</f>
        <v>0</v>
      </c>
    </row>
    <row r="22" spans="1:9" ht="9.75" customHeight="1"/>
    <row r="23" spans="1:9">
      <c r="C23" s="165" t="s">
        <v>164</v>
      </c>
    </row>
    <row r="24" spans="1:9">
      <c r="C24" s="165" t="s">
        <v>165</v>
      </c>
    </row>
    <row r="25" spans="1:9" ht="13.5" customHeight="1">
      <c r="E25" s="317" t="s">
        <v>166</v>
      </c>
      <c r="F25" s="317"/>
      <c r="G25" s="317"/>
      <c r="H25" s="317"/>
      <c r="I25" s="317"/>
    </row>
    <row r="26" spans="1:9">
      <c r="A26" s="317" t="s">
        <v>11</v>
      </c>
      <c r="B26" s="317"/>
      <c r="C26" s="317"/>
      <c r="D26" s="317"/>
      <c r="E26" s="317" t="s">
        <v>12</v>
      </c>
      <c r="F26" s="317"/>
      <c r="G26" s="317"/>
      <c r="H26" s="317"/>
      <c r="I26" s="317"/>
    </row>
    <row r="27" spans="1:9">
      <c r="A27" s="317" t="s">
        <v>13</v>
      </c>
      <c r="B27" s="317"/>
      <c r="C27" s="317"/>
      <c r="D27" s="317"/>
      <c r="E27" s="317" t="s">
        <v>13</v>
      </c>
      <c r="F27" s="317"/>
      <c r="G27" s="317"/>
      <c r="H27" s="317"/>
      <c r="I27" s="317"/>
    </row>
    <row r="29" spans="1:9">
      <c r="D29" s="190"/>
      <c r="F29" s="191"/>
    </row>
  </sheetData>
  <mergeCells count="17">
    <mergeCell ref="E25:I25"/>
    <mergeCell ref="A26:D26"/>
    <mergeCell ref="E26:I26"/>
    <mergeCell ref="A27:D27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D30" sqref="D30"/>
    </sheetView>
  </sheetViews>
  <sheetFormatPr defaultRowHeight="15"/>
  <cols>
    <col min="1" max="1" width="3.7109375" style="74" customWidth="1"/>
    <col min="2" max="2" width="5.28515625" style="74" customWidth="1"/>
    <col min="3" max="3" width="15.140625" style="74" customWidth="1"/>
    <col min="4" max="4" width="16" style="74" customWidth="1"/>
    <col min="5" max="5" width="3.85546875" style="74" customWidth="1"/>
    <col min="6" max="6" width="6" style="74" customWidth="1"/>
    <col min="7" max="8" width="6.7109375" style="74" customWidth="1"/>
    <col min="9" max="9" width="10.42578125" style="74" customWidth="1"/>
    <col min="10" max="10" width="5.85546875" style="74" customWidth="1"/>
    <col min="11" max="11" width="8.28515625" style="74" customWidth="1"/>
    <col min="12" max="12" width="5" style="74" customWidth="1"/>
    <col min="13" max="13" width="6.42578125" style="74" customWidth="1"/>
    <col min="14" max="14" width="3.140625" style="74" customWidth="1"/>
    <col min="15" max="15" width="6.42578125" style="74" customWidth="1"/>
    <col min="16" max="16" width="5" style="110" customWidth="1"/>
    <col min="17" max="17" width="6.7109375" style="74" customWidth="1"/>
    <col min="18" max="18" width="1.5703125" style="74" customWidth="1"/>
    <col min="19" max="19" width="5.7109375" style="74" customWidth="1"/>
    <col min="20" max="20" width="1.5703125" style="74" customWidth="1"/>
    <col min="21" max="21" width="5" style="74" customWidth="1"/>
    <col min="22" max="22" width="1.5703125" style="74" customWidth="1"/>
    <col min="23" max="23" width="5.5703125" style="74" customWidth="1"/>
  </cols>
  <sheetData>
    <row r="1" spans="1:23" ht="13.5" customHeight="1">
      <c r="B1" s="72" t="s">
        <v>125</v>
      </c>
      <c r="C1" s="83"/>
      <c r="D1" s="73"/>
      <c r="E1" s="73"/>
      <c r="F1" s="73"/>
      <c r="G1" s="73"/>
      <c r="I1" s="75"/>
      <c r="L1" s="76" t="str">
        <f>+IF(LEFT($U$4,1)="T","Mẫu số 01 - TT","Mẫu số 02 - TT")</f>
        <v>Mẫu số 02 - TT</v>
      </c>
      <c r="N1" s="77"/>
      <c r="O1" s="77"/>
      <c r="P1" s="78"/>
      <c r="Q1" s="79"/>
      <c r="R1" s="79"/>
      <c r="S1" s="79"/>
      <c r="T1" s="79"/>
      <c r="U1" s="79"/>
      <c r="V1" s="80"/>
      <c r="W1" s="79"/>
    </row>
    <row r="2" spans="1:23" ht="13.5" customHeight="1">
      <c r="B2" s="83" t="s">
        <v>126</v>
      </c>
      <c r="C2" s="83"/>
      <c r="D2" s="73"/>
      <c r="E2" s="73"/>
      <c r="F2" s="73"/>
      <c r="G2" s="73"/>
      <c r="H2" s="75"/>
      <c r="I2" s="75"/>
      <c r="L2" s="84" t="str">
        <f>IF($Q$4=2015,"(Ban hành theo Thông tư số 200/2014/TT-BTC ","(Ban hành kèm theo QĐ 48/2006/QĐ-BTC")</f>
        <v>(Ban hành kèm theo QĐ 48/2006/QĐ-BTC</v>
      </c>
      <c r="N2" s="85"/>
      <c r="O2" s="85"/>
      <c r="P2" s="78"/>
      <c r="Q2" s="79"/>
      <c r="R2" s="79"/>
      <c r="S2" s="79"/>
      <c r="T2" s="79"/>
      <c r="U2" s="79"/>
      <c r="V2" s="86"/>
      <c r="W2" s="87" t="s">
        <v>112</v>
      </c>
    </row>
    <row r="3" spans="1:23" ht="13.5" customHeight="1">
      <c r="B3" s="83"/>
      <c r="C3" s="73"/>
      <c r="D3" s="73"/>
      <c r="E3" s="73"/>
      <c r="G3" s="73"/>
      <c r="I3" s="88"/>
      <c r="L3" s="84" t="str">
        <f>IF($Q$4=2015,"Ngày 22/12/2014 của Bộ Tài chính)","ngày 24/09/2006 của Bộ trưởng BTC)")</f>
        <v>ngày 24/09/2006 của Bộ trưởng BTC)</v>
      </c>
      <c r="N3" s="85"/>
      <c r="O3" s="85"/>
      <c r="P3" s="89"/>
      <c r="Q3" s="87" t="s">
        <v>128</v>
      </c>
      <c r="R3" s="266"/>
      <c r="S3" s="267" t="s">
        <v>206</v>
      </c>
      <c r="T3" s="266"/>
      <c r="U3" s="267" t="s">
        <v>113</v>
      </c>
      <c r="V3" s="86"/>
      <c r="W3" s="87" t="s">
        <v>113</v>
      </c>
    </row>
    <row r="4" spans="1:23" ht="21.75">
      <c r="B4" s="83"/>
      <c r="C4" s="73"/>
      <c r="D4" s="73"/>
      <c r="E4" s="73"/>
      <c r="G4" s="90"/>
      <c r="H4" s="91" t="str">
        <f>IF(LEFT($U$4,1)="T","PHIẾU THU","PHIẾU CHI")</f>
        <v>PHIẾU CHI</v>
      </c>
      <c r="J4" s="90"/>
      <c r="K4" s="92"/>
      <c r="M4" s="92"/>
      <c r="N4" s="92"/>
      <c r="O4" s="92"/>
      <c r="P4" s="93"/>
      <c r="Q4" s="120">
        <v>2010</v>
      </c>
      <c r="R4" s="94"/>
      <c r="S4" s="265">
        <v>2</v>
      </c>
      <c r="T4" s="94"/>
      <c r="U4" s="121" t="s">
        <v>4</v>
      </c>
      <c r="V4" s="122"/>
      <c r="W4" s="123">
        <v>1</v>
      </c>
    </row>
    <row r="5" spans="1:23">
      <c r="B5" s="83"/>
      <c r="C5" s="73"/>
      <c r="D5" s="73"/>
      <c r="E5" s="73"/>
      <c r="G5" s="90"/>
      <c r="H5" s="95" t="str">
        <f>IF(ISNA(VLOOKUP($M$7,TM,3,0)),"","Ngày  "&amp;DAY(VLOOKUP($M$7,TM,3,0))&amp;"  tháng  "&amp;$S$4&amp;"  năm  "&amp;$Q$4)</f>
        <v>Ngày  19  tháng  2  năm  2010</v>
      </c>
      <c r="J5" s="90"/>
      <c r="K5" s="92"/>
      <c r="M5" s="92"/>
      <c r="N5" s="92"/>
      <c r="O5" s="92"/>
      <c r="P5" s="93"/>
      <c r="Q5" s="87"/>
      <c r="V5" s="82"/>
      <c r="W5" s="87"/>
    </row>
    <row r="6" spans="1:23" ht="13.5">
      <c r="A6" s="98"/>
      <c r="B6" s="96"/>
      <c r="C6" s="97"/>
      <c r="D6" s="97"/>
      <c r="E6" s="97"/>
      <c r="F6" s="98"/>
      <c r="G6" s="99"/>
      <c r="H6" s="99"/>
      <c r="I6" s="99"/>
      <c r="J6" s="98"/>
      <c r="K6" s="98"/>
      <c r="L6" s="100" t="s">
        <v>114</v>
      </c>
      <c r="M6" s="98"/>
      <c r="N6" s="98"/>
      <c r="O6" s="101"/>
      <c r="P6" s="102"/>
      <c r="Q6" s="98"/>
      <c r="R6" s="98"/>
      <c r="S6" s="98"/>
      <c r="T6" s="98"/>
      <c r="U6" s="98"/>
      <c r="V6" s="103"/>
      <c r="W6" s="87"/>
    </row>
    <row r="7" spans="1:23" ht="13.5" customHeight="1">
      <c r="A7" s="98"/>
      <c r="B7" s="98"/>
      <c r="C7" s="98"/>
      <c r="D7" s="98"/>
      <c r="E7" s="96"/>
      <c r="F7" s="99"/>
      <c r="G7" s="99"/>
      <c r="H7" s="99"/>
      <c r="I7" s="99"/>
      <c r="J7" s="98"/>
      <c r="K7" s="98"/>
      <c r="L7" s="104" t="str">
        <f>"Số :    "</f>
        <v xml:space="preserve">Số :    </v>
      </c>
      <c r="M7" s="105" t="str">
        <f>$U$4&amp;IF($W$4&gt;=10,$W$4,"0"&amp;$W$4)</f>
        <v>C01</v>
      </c>
      <c r="N7" s="101"/>
      <c r="O7" s="101"/>
      <c r="P7" s="102"/>
      <c r="Q7" s="98"/>
      <c r="R7" s="98"/>
      <c r="S7" s="98"/>
      <c r="T7" s="98"/>
      <c r="U7" s="98"/>
      <c r="V7" s="98"/>
      <c r="W7" s="98"/>
    </row>
    <row r="8" spans="1:23" ht="13.5">
      <c r="A8" s="98"/>
      <c r="B8" s="98"/>
      <c r="C8" s="98"/>
      <c r="D8" s="98"/>
      <c r="E8" s="96"/>
      <c r="F8" s="96"/>
      <c r="G8" s="96"/>
      <c r="H8" s="96"/>
      <c r="I8" s="96"/>
      <c r="J8" s="98"/>
      <c r="K8" s="106"/>
      <c r="L8" s="100" t="s">
        <v>115</v>
      </c>
      <c r="M8" s="107" t="str">
        <f>IF($U$4="T","1111",IF($U$4="C",IF(ISNA(VLOOKUP($M$7,TM,11,0)),"",VLOOKUP($M$7,TM,10,0)),""))</f>
        <v>33382</v>
      </c>
      <c r="N8" s="101"/>
      <c r="O8" s="101"/>
      <c r="P8" s="108"/>
      <c r="Q8" s="98"/>
      <c r="R8" s="98"/>
      <c r="S8" s="98"/>
      <c r="T8" s="98"/>
      <c r="U8" s="98"/>
      <c r="V8" s="98"/>
      <c r="W8" s="98"/>
    </row>
    <row r="9" spans="1:23" ht="13.5">
      <c r="A9" s="98"/>
      <c r="B9" s="98"/>
      <c r="C9" s="98"/>
      <c r="D9" s="98"/>
      <c r="E9" s="96"/>
      <c r="F9" s="96"/>
      <c r="G9" s="96"/>
      <c r="H9" s="96"/>
      <c r="I9" s="96"/>
      <c r="J9" s="98"/>
      <c r="K9" s="106"/>
      <c r="L9" s="104" t="s">
        <v>116</v>
      </c>
      <c r="M9" s="107" t="str">
        <f>IF($U$4="C","1111",IF($U$4="T",IF(ISNA(VLOOKUP($M$7,TM,10,0)),"",VLOOKUP($M$7,TM,11,0)),""))</f>
        <v>1111</v>
      </c>
      <c r="N9" s="101"/>
      <c r="O9" s="101"/>
      <c r="P9" s="108"/>
      <c r="Q9" s="98"/>
      <c r="R9" s="98"/>
      <c r="S9" s="98"/>
      <c r="T9" s="98"/>
      <c r="U9" s="98"/>
      <c r="V9" s="98"/>
      <c r="W9" s="98"/>
    </row>
    <row r="10" spans="1:23">
      <c r="A10" s="98"/>
      <c r="B10" s="98"/>
      <c r="C10" s="109" t="str">
        <f>IF($U$4="T","Họ tên người nộp tiền :","Họ và tên người nhận tiền :")&amp;" "&amp;IF(ISNA(VLOOKUP($M$7,TM,8,0)),"",VLOOKUP($M$7,TM,8,0))</f>
        <v>Họ và tên người nhận tiền : Nguyễn Thiện Duy</v>
      </c>
      <c r="D10" s="96"/>
      <c r="E10" s="98"/>
      <c r="F10" s="96"/>
      <c r="G10" s="96"/>
      <c r="H10" s="96"/>
      <c r="I10" s="96"/>
      <c r="J10" s="98"/>
      <c r="K10" s="96"/>
      <c r="L10" s="104"/>
      <c r="M10" s="107"/>
      <c r="N10" s="101"/>
      <c r="O10" s="96"/>
      <c r="P10" s="102"/>
      <c r="Q10" s="98"/>
      <c r="R10" s="98"/>
      <c r="S10" s="98"/>
      <c r="T10" s="98"/>
      <c r="U10" s="98"/>
      <c r="V10" s="98"/>
      <c r="W10" s="98"/>
    </row>
    <row r="11" spans="1:23">
      <c r="C11" s="109" t="str">
        <f>"Địa chỉ :"</f>
        <v>Địa chỉ :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89"/>
    </row>
    <row r="12" spans="1:23">
      <c r="C12" s="109" t="str">
        <f>IF($U$4="T","Lý do nộp :","Lý do chi :")&amp;" "&amp;IF(ISNA(VLOOKUP($M$7,TM,6,0)),"",VLOOKUP($M$7,TM,6,0))</f>
        <v>Lý do chi : Nộp thuế môn bài 2010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</row>
    <row r="13" spans="1:23">
      <c r="C13" s="74" t="s">
        <v>130</v>
      </c>
      <c r="D13" s="111">
        <f ca="1">SUMIF(TM,$M$7,TH)</f>
        <v>1500000</v>
      </c>
      <c r="E13" s="74" t="s">
        <v>117</v>
      </c>
      <c r="F13" s="111"/>
      <c r="G13" s="111"/>
      <c r="P13" s="74"/>
    </row>
    <row r="14" spans="1:23">
      <c r="C14" s="74" t="str">
        <f ca="1">"Viết bằng chữ: " &amp;[2]!VND('IN - TC'!D13, TRUE)</f>
        <v>Viết bằng chữ: Một triệu, năm trăm ngàn đồng</v>
      </c>
      <c r="P14" s="89"/>
    </row>
    <row r="15" spans="1:23">
      <c r="C15" s="109" t="str">
        <f>"Kèm theo :     " &amp;IF(OR(ISNA(VLOOKUP($M$7,TM,7,0)),VLOOKUP($M$7,TM,7,0)=""),"                           ","    HĐ  "&amp;(VLOOKUP($M$7,TM,7,0))) &amp; "     chứng từ gốc. "</f>
        <v xml:space="preserve">Kèm theo :                                     chứng từ gốc. </v>
      </c>
      <c r="D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12"/>
    </row>
    <row r="16" spans="1:23">
      <c r="K16" s="113"/>
      <c r="L16" s="113"/>
      <c r="M16" s="127" t="str">
        <f>H5</f>
        <v>Ngày  19  tháng  2  năm  2010</v>
      </c>
      <c r="N16" s="113"/>
      <c r="O16" s="113"/>
      <c r="P16" s="74"/>
    </row>
    <row r="17" spans="1:23">
      <c r="C17" s="114" t="s">
        <v>118</v>
      </c>
      <c r="D17" s="115"/>
      <c r="E17" s="114" t="s">
        <v>12</v>
      </c>
      <c r="F17" s="115"/>
      <c r="G17" s="115"/>
      <c r="H17" s="114" t="str">
        <f>IF($U$4="C","Thủ quỹ","Người nộp tiền")</f>
        <v>Thủ quỹ</v>
      </c>
      <c r="J17" s="114" t="s">
        <v>119</v>
      </c>
      <c r="K17" s="115"/>
      <c r="M17" s="116" t="str">
        <f>IF($U$4="T","Thủ quỹ","Người nhận tiền")</f>
        <v>Người nhận tiền</v>
      </c>
      <c r="N17" s="117"/>
      <c r="O17" s="117"/>
      <c r="P17" s="74"/>
    </row>
    <row r="18" spans="1:23">
      <c r="A18" s="115"/>
      <c r="B18" s="115"/>
      <c r="C18" s="118" t="s">
        <v>120</v>
      </c>
      <c r="E18" s="118" t="s">
        <v>121</v>
      </c>
      <c r="H18" s="118" t="s">
        <v>121</v>
      </c>
      <c r="I18" s="115"/>
      <c r="J18" s="118" t="s">
        <v>121</v>
      </c>
      <c r="L18" s="115"/>
      <c r="M18" s="118" t="s">
        <v>121</v>
      </c>
      <c r="P18" s="115"/>
      <c r="Q18" s="115"/>
      <c r="R18" s="115"/>
      <c r="S18" s="115"/>
      <c r="T18" s="115"/>
      <c r="U18" s="115"/>
      <c r="V18" s="115"/>
      <c r="W18" s="115"/>
    </row>
    <row r="19" spans="1:23">
      <c r="P19" s="74"/>
    </row>
    <row r="20" spans="1:23">
      <c r="P20" s="74"/>
    </row>
    <row r="21" spans="1:23">
      <c r="P21" s="74"/>
    </row>
    <row r="22" spans="1:23">
      <c r="I22" s="81"/>
      <c r="P22" s="74"/>
    </row>
    <row r="23" spans="1:23">
      <c r="P23" s="74"/>
    </row>
    <row r="24" spans="1:23">
      <c r="B24" s="74" t="s">
        <v>122</v>
      </c>
      <c r="P24" s="74"/>
    </row>
    <row r="25" spans="1:23">
      <c r="B25" s="109"/>
      <c r="C25" s="109" t="s">
        <v>123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74"/>
    </row>
    <row r="26" spans="1:23">
      <c r="B26" s="109"/>
      <c r="C26" s="109" t="s">
        <v>124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74"/>
    </row>
    <row r="45" spans="5:5">
      <c r="E45" s="119"/>
    </row>
    <row r="46" spans="5:5">
      <c r="E46" s="119"/>
    </row>
    <row r="47" spans="5:5">
      <c r="E47" s="119"/>
    </row>
    <row r="48" spans="5:5">
      <c r="E48" s="119"/>
    </row>
    <row r="49" spans="5:5">
      <c r="E49" s="119"/>
    </row>
    <row r="50" spans="5:5">
      <c r="E50" s="119"/>
    </row>
    <row r="51" spans="5:5">
      <c r="E51" s="119"/>
    </row>
    <row r="52" spans="5:5">
      <c r="E52" s="119"/>
    </row>
    <row r="53" spans="5:5">
      <c r="E53" s="119"/>
    </row>
    <row r="54" spans="5:5">
      <c r="E54" s="119"/>
    </row>
    <row r="55" spans="5:5">
      <c r="E55" s="119"/>
    </row>
    <row r="56" spans="5:5">
      <c r="E56" s="119"/>
    </row>
    <row r="57" spans="5:5">
      <c r="E57" s="119"/>
    </row>
    <row r="58" spans="5:5">
      <c r="E58" s="119"/>
    </row>
    <row r="59" spans="5:5">
      <c r="E59" s="119"/>
    </row>
    <row r="60" spans="5:5">
      <c r="E60" s="119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P32"/>
  <sheetViews>
    <sheetView topLeftCell="A8" zoomScale="90" workbookViewId="0">
      <pane ySplit="4" topLeftCell="A12" activePane="bottomLeft" state="frozen"/>
      <selection activeCell="B1" sqref="B1:B2"/>
      <selection pane="bottomLeft" activeCell="L10" sqref="L10"/>
    </sheetView>
  </sheetViews>
  <sheetFormatPr defaultRowHeight="15"/>
  <cols>
    <col min="1" max="1" width="10.7109375" style="130" customWidth="1"/>
    <col min="2" max="2" width="11.5703125" style="130" customWidth="1"/>
    <col min="3" max="4" width="7.85546875" style="130" customWidth="1"/>
    <col min="5" max="5" width="34.5703125" style="130" customWidth="1"/>
    <col min="6" max="6" width="6.85546875" style="130" customWidth="1"/>
    <col min="7" max="7" width="16" style="130" customWidth="1"/>
    <col min="8" max="8" width="16.28515625" style="130" customWidth="1"/>
    <col min="9" max="9" width="15.85546875" style="130" customWidth="1"/>
    <col min="10" max="10" width="8.42578125" style="130" customWidth="1"/>
    <col min="11" max="11" width="2.140625" style="130" customWidth="1"/>
    <col min="12" max="12" width="10" style="130" customWidth="1"/>
    <col min="13" max="13" width="3.28515625" style="130" hidden="1" customWidth="1"/>
    <col min="14" max="15" width="5" style="130" hidden="1" customWidth="1"/>
    <col min="16" max="16" width="9.140625" style="130" hidden="1" customWidth="1"/>
    <col min="17" max="16384" width="9.140625" style="130"/>
  </cols>
  <sheetData>
    <row r="1" spans="1:15" s="3" customFormat="1" ht="16.5" customHeight="1">
      <c r="A1" s="157" t="s">
        <v>125</v>
      </c>
      <c r="B1" s="2"/>
      <c r="C1" s="2"/>
      <c r="D1" s="2"/>
      <c r="E1" s="2"/>
      <c r="G1" s="313" t="s">
        <v>131</v>
      </c>
      <c r="H1" s="313"/>
      <c r="I1" s="313"/>
      <c r="J1" s="313"/>
    </row>
    <row r="2" spans="1:15" s="3" customFormat="1" ht="16.5" customHeight="1">
      <c r="A2" s="109" t="s">
        <v>126</v>
      </c>
      <c r="B2" s="6"/>
      <c r="C2" s="6"/>
      <c r="D2" s="6"/>
      <c r="E2" s="6"/>
      <c r="G2" s="314" t="s">
        <v>132</v>
      </c>
      <c r="H2" s="314"/>
      <c r="I2" s="314"/>
      <c r="J2" s="314"/>
    </row>
    <row r="3" spans="1:15" s="3" customFormat="1" ht="16.5" customHeight="1">
      <c r="A3" s="4"/>
      <c r="B3" s="6"/>
      <c r="C3" s="128"/>
      <c r="D3" s="128"/>
      <c r="E3" s="6"/>
      <c r="G3" s="314"/>
      <c r="H3" s="314"/>
      <c r="I3" s="314"/>
      <c r="J3" s="314"/>
    </row>
    <row r="4" spans="1:15" s="3" customFormat="1" ht="6.75" customHeight="1">
      <c r="A4" s="6"/>
      <c r="B4" s="6"/>
      <c r="C4" s="6"/>
      <c r="D4" s="6"/>
      <c r="E4" s="6"/>
      <c r="G4" s="129"/>
      <c r="H4" s="129"/>
      <c r="I4" s="129"/>
      <c r="J4" s="129"/>
    </row>
    <row r="5" spans="1:15" ht="24.75" customHeight="1">
      <c r="A5" s="323" t="s">
        <v>133</v>
      </c>
      <c r="B5" s="323"/>
      <c r="C5" s="323"/>
      <c r="D5" s="323"/>
      <c r="E5" s="323"/>
      <c r="F5" s="323"/>
      <c r="G5" s="323"/>
      <c r="H5" s="323"/>
      <c r="I5" s="323"/>
      <c r="J5" s="323"/>
    </row>
    <row r="6" spans="1:15">
      <c r="A6" s="324" t="s">
        <v>134</v>
      </c>
      <c r="B6" s="324"/>
      <c r="C6" s="324"/>
      <c r="D6" s="324"/>
      <c r="E6" s="324"/>
      <c r="F6" s="324"/>
      <c r="G6" s="324"/>
      <c r="H6" s="324"/>
      <c r="I6" s="324"/>
      <c r="J6" s="324"/>
    </row>
    <row r="7" spans="1:15">
      <c r="A7" s="324" t="s">
        <v>135</v>
      </c>
      <c r="B7" s="324"/>
      <c r="C7" s="324"/>
      <c r="D7" s="324"/>
      <c r="E7" s="324"/>
      <c r="F7" s="324"/>
      <c r="G7" s="324"/>
      <c r="H7" s="324"/>
      <c r="I7" s="324"/>
      <c r="J7" s="324"/>
    </row>
    <row r="8" spans="1:15">
      <c r="A8" s="131"/>
      <c r="I8" s="131" t="s">
        <v>136</v>
      </c>
    </row>
    <row r="9" spans="1:15" ht="27.75" customHeight="1" thickBot="1">
      <c r="A9" s="325" t="s">
        <v>20</v>
      </c>
      <c r="B9" s="325" t="s">
        <v>137</v>
      </c>
      <c r="C9" s="327" t="s">
        <v>138</v>
      </c>
      <c r="D9" s="327"/>
      <c r="E9" s="327" t="s">
        <v>0</v>
      </c>
      <c r="F9" s="325" t="s">
        <v>14</v>
      </c>
      <c r="G9" s="327" t="s">
        <v>21</v>
      </c>
      <c r="H9" s="327"/>
      <c r="I9" s="327" t="s">
        <v>139</v>
      </c>
      <c r="J9" s="327" t="s">
        <v>140</v>
      </c>
      <c r="L9" s="158"/>
      <c r="N9" s="324" t="s">
        <v>150</v>
      </c>
      <c r="O9" s="324"/>
    </row>
    <row r="10" spans="1:15" ht="24" customHeight="1" thickBot="1">
      <c r="A10" s="326"/>
      <c r="B10" s="326"/>
      <c r="C10" s="132" t="s">
        <v>141</v>
      </c>
      <c r="D10" s="132" t="s">
        <v>142</v>
      </c>
      <c r="E10" s="327"/>
      <c r="F10" s="326"/>
      <c r="G10" s="132" t="s">
        <v>22</v>
      </c>
      <c r="H10" s="132" t="s">
        <v>23</v>
      </c>
      <c r="I10" s="327"/>
      <c r="J10" s="327"/>
      <c r="L10" s="160" t="s">
        <v>211</v>
      </c>
      <c r="N10" s="161">
        <f>IF(L10="Quý I",1,IF(L10="Quý II",4,IF(L10="Quý III",7,IF(L10="Quý IV",10,""))))</f>
        <v>7</v>
      </c>
      <c r="O10" s="162">
        <f>IF(L10="Quý I",3,IF(L10="Quý II",6,IF(L10="Quý III",9,IF(L10="Quý IV",12,""))))</f>
        <v>9</v>
      </c>
    </row>
    <row r="11" spans="1:15" s="133" customFormat="1" ht="11.25" customHeight="1">
      <c r="A11" s="134" t="s">
        <v>2</v>
      </c>
      <c r="B11" s="134" t="s">
        <v>3</v>
      </c>
      <c r="C11" s="134" t="s">
        <v>4</v>
      </c>
      <c r="D11" s="134" t="s">
        <v>5</v>
      </c>
      <c r="E11" s="134" t="s">
        <v>6</v>
      </c>
      <c r="F11" s="134" t="s">
        <v>143</v>
      </c>
      <c r="G11" s="134">
        <v>1</v>
      </c>
      <c r="H11" s="134">
        <v>2</v>
      </c>
      <c r="I11" s="134">
        <v>3</v>
      </c>
      <c r="J11" s="134" t="s">
        <v>144</v>
      </c>
    </row>
    <row r="12" spans="1:15" s="135" customFormat="1" ht="17.25" customHeight="1">
      <c r="A12" s="136"/>
      <c r="B12" s="136"/>
      <c r="C12" s="136"/>
      <c r="D12" s="136"/>
      <c r="E12" s="136" t="s">
        <v>145</v>
      </c>
      <c r="F12" s="137"/>
      <c r="G12" s="138"/>
      <c r="H12" s="136"/>
      <c r="I12" s="159">
        <f>IF($L$10="All",CDPS!$C$10,CDPS!$C$10+SUMIF(_N111,"x",TH)-SUMIF(_C111,"x",TH))</f>
        <v>3995200000</v>
      </c>
      <c r="J12" s="136"/>
    </row>
    <row r="13" spans="1:15" ht="17.25" customHeight="1">
      <c r="A13" s="139">
        <f ca="1">IF(ROWS($1:1)&gt;COUNT(Dong1),"",OFFSET(TH!C$1,SMALL(Dong1,ROWS($1:1)),))</f>
        <v>40437</v>
      </c>
      <c r="B13" s="139">
        <f ca="1">IF(ROWS($1:1)&gt;COUNT(Dong1),"",OFFSET(TH!E$1,SMALL(Dong1,ROWS($1:1)),))</f>
        <v>40437</v>
      </c>
      <c r="C13" s="140" t="str">
        <f ca="1">IF(ROWS($1:1)&gt;COUNT(Dong1),"",IF(OFFSET(TH!J$1,SMALL(Dong1,ROWS($1:1)),)="1111",OFFSET(TH!D$1,SMALL(Dong1,ROWS($1:1)),),""))</f>
        <v/>
      </c>
      <c r="D13" s="141" t="str">
        <f ca="1">IF(ROWS($1:1)&gt;COUNT(Dong1),"",IF(OFFSET(TH!K$1,SMALL(Dong1,ROWS($1:1)),)="1111",OFFSET(TH!D$1,SMALL(Dong1,ROWS($1:1)),),""))</f>
        <v>C01</v>
      </c>
      <c r="E13" s="142" t="str">
        <f ca="1">IF(ROWS($1:1)&gt;COUNT(Dong1),"",OFFSET(TH!F$1,SMALL(Dong1,ROWS($1:1)),))</f>
        <v>Phí khắc dấu</v>
      </c>
      <c r="F13" s="143" t="str">
        <f ca="1">IF(ROWS($1:1)&gt;COUNT(Dong1),"",IF(OFFSET(TH!K$1,SMALL(Dong1,ROWS($1:1)),)="1111",OFFSET(TH!J$1,SMALL(Dong1,ROWS($1:1)),),OFFSET(TH!K$1,SMALL(Dong1,ROWS($1:1)),)))</f>
        <v>642</v>
      </c>
      <c r="G13" s="144">
        <f ca="1">IF(ROWS($1:1)&gt;COUNT(Dong1),"",IF(OFFSET(TH!J$1,SMALL(Dong1,ROWS($1:1)),)="1111",OFFSET(TH!I$1,SMALL(Dong1,ROWS($1:1)),),0))</f>
        <v>0</v>
      </c>
      <c r="H13" s="142">
        <f ca="1">IF(ROWS($1:1)&gt;COUNT(Dong1),"",IF(OFFSET(TH!K$1,SMALL(Dong1,ROWS($1:1)),)="1111",OFFSET(TH!I$1,SMALL(Dong1,ROWS($1:1)),),0))</f>
        <v>390000</v>
      </c>
      <c r="I13" s="140">
        <f t="shared" ref="I13:I15" ca="1" si="0">IF(E13&lt;&gt;"",I12+G13-H13,0)</f>
        <v>3994810000</v>
      </c>
      <c r="J13" s="145"/>
    </row>
    <row r="14" spans="1:15" ht="17.25" customHeight="1">
      <c r="A14" s="139">
        <f ca="1">IF(ROWS($1:2)&gt;COUNT(Dong1),"",OFFSET(TH!C$1,SMALL(Dong1,ROWS($1:2)),))</f>
        <v>40451</v>
      </c>
      <c r="B14" s="139">
        <f ca="1">IF(ROWS($1:2)&gt;COUNT(Dong1),"",OFFSET(TH!E$1,SMALL(Dong1,ROWS($1:2)),))</f>
        <v>40451</v>
      </c>
      <c r="C14" s="140" t="str">
        <f ca="1">IF(ROWS($1:2)&gt;COUNT(Dong1),"",IF(OFFSET(TH!J$1,SMALL(Dong1,ROWS($1:2)),)="1111",OFFSET(TH!D$1,SMALL(Dong1,ROWS($1:2)),),""))</f>
        <v/>
      </c>
      <c r="D14" s="141" t="str">
        <f ca="1">IF(ROWS($1:2)&gt;COUNT(Dong1),"",IF(OFFSET(TH!K$1,SMALL(Dong1,ROWS($1:2)),)="1111",OFFSET(TH!D$1,SMALL(Dong1,ROWS($1:2)),),""))</f>
        <v>C02</v>
      </c>
      <c r="E14" s="142" t="str">
        <f ca="1">IF(ROWS($1:2)&gt;COUNT(Dong1),"",OFFSET(TH!F$1,SMALL(Dong1,ROWS($1:2)),))</f>
        <v>Lệ phí cục thuế Trà Vinh</v>
      </c>
      <c r="F14" s="143" t="str">
        <f ca="1">IF(ROWS($1:2)&gt;COUNT(Dong1),"",IF(OFFSET(TH!K$1,SMALL(Dong1,ROWS($1:2)),)="1111",OFFSET(TH!J$1,SMALL(Dong1,ROWS($1:2)),),OFFSET(TH!K$1,SMALL(Dong1,ROWS($1:2)),)))</f>
        <v>642</v>
      </c>
      <c r="G14" s="144">
        <f ca="1">IF(ROWS($1:2)&gt;COUNT(Dong1),"",IF(OFFSET(TH!J$1,SMALL(Dong1,ROWS($1:2)),)="1111",OFFSET(TH!I$1,SMALL(Dong1,ROWS($1:2)),),0))</f>
        <v>0</v>
      </c>
      <c r="H14" s="142">
        <f ca="1">IF(ROWS($1:2)&gt;COUNT(Dong1),"",IF(OFFSET(TH!K$1,SMALL(Dong1,ROWS($1:2)),)="1111",OFFSET(TH!I$1,SMALL(Dong1,ROWS($1:2)),),0))</f>
        <v>20000</v>
      </c>
      <c r="I14" s="140">
        <f t="shared" ca="1" si="0"/>
        <v>3994790000</v>
      </c>
      <c r="J14" s="145"/>
    </row>
    <row r="15" spans="1:15" ht="17.25" customHeight="1">
      <c r="A15" s="139" t="str">
        <f ca="1">IF(ROWS($1:3)&gt;COUNT(Dong1),"",OFFSET(TH!C$1,SMALL(Dong1,ROWS($1:3)),))</f>
        <v/>
      </c>
      <c r="B15" s="139" t="str">
        <f ca="1">IF(ROWS($1:3)&gt;COUNT(Dong1),"",OFFSET(TH!E$1,SMALL(Dong1,ROWS($1:3)),))</f>
        <v/>
      </c>
      <c r="C15" s="140" t="str">
        <f ca="1">IF(ROWS($1:3)&gt;COUNT(Dong1),"",IF(OFFSET(TH!J$1,SMALL(Dong1,ROWS($1:3)),)="1111",OFFSET(TH!D$1,SMALL(Dong1,ROWS($1:3)),),""))</f>
        <v/>
      </c>
      <c r="D15" s="141" t="str">
        <f ca="1">IF(ROWS($1:3)&gt;COUNT(Dong1),"",IF(OFFSET(TH!K$1,SMALL(Dong1,ROWS($1:3)),)="1111",OFFSET(TH!D$1,SMALL(Dong1,ROWS($1:3)),),""))</f>
        <v/>
      </c>
      <c r="E15" s="142" t="str">
        <f ca="1">IF(ROWS($1:3)&gt;COUNT(Dong1),"",OFFSET(TH!F$1,SMALL(Dong1,ROWS($1:3)),))</f>
        <v/>
      </c>
      <c r="F15" s="143" t="str">
        <f ca="1">IF(ROWS($1:3)&gt;COUNT(Dong1),"",IF(OFFSET(TH!K$1,SMALL(Dong1,ROWS($1:3)),)="1111",OFFSET(TH!J$1,SMALL(Dong1,ROWS($1:3)),),OFFSET(TH!K$1,SMALL(Dong1,ROWS($1:3)),)))</f>
        <v/>
      </c>
      <c r="G15" s="144" t="str">
        <f ca="1">IF(ROWS($1:3)&gt;COUNT(Dong1),"",IF(OFFSET(TH!J$1,SMALL(Dong1,ROWS($1:3)),)="1111",OFFSET(TH!I$1,SMALL(Dong1,ROWS($1:3)),),0))</f>
        <v/>
      </c>
      <c r="H15" s="142" t="str">
        <f ca="1">IF(ROWS($1:3)&gt;COUNT(Dong1),"",IF(OFFSET(TH!K$1,SMALL(Dong1,ROWS($1:3)),)="1111",OFFSET(TH!I$1,SMALL(Dong1,ROWS($1:3)),),0))</f>
        <v/>
      </c>
      <c r="I15" s="140">
        <f t="shared" ca="1" si="0"/>
        <v>0</v>
      </c>
      <c r="J15" s="145"/>
    </row>
    <row r="16" spans="1:15" ht="17.25" customHeight="1">
      <c r="A16" s="146"/>
      <c r="B16" s="145"/>
      <c r="C16" s="145"/>
      <c r="D16" s="145"/>
      <c r="E16" s="145"/>
      <c r="F16" s="147"/>
      <c r="G16" s="145"/>
      <c r="H16" s="145"/>
      <c r="I16" s="140"/>
      <c r="J16" s="145"/>
    </row>
    <row r="17" spans="1:10" s="135" customFormat="1" ht="17.25" customHeight="1">
      <c r="A17" s="148"/>
      <c r="B17" s="148"/>
      <c r="C17" s="148"/>
      <c r="D17" s="148"/>
      <c r="E17" s="148" t="s">
        <v>146</v>
      </c>
      <c r="F17" s="149" t="s">
        <v>19</v>
      </c>
      <c r="G17" s="148">
        <f ca="1">SUM(G13:G16)</f>
        <v>0</v>
      </c>
      <c r="H17" s="148">
        <f ca="1">SUM(H13:H16)</f>
        <v>410000</v>
      </c>
      <c r="I17" s="149" t="s">
        <v>19</v>
      </c>
      <c r="J17" s="149" t="s">
        <v>19</v>
      </c>
    </row>
    <row r="18" spans="1:10" s="135" customFormat="1" ht="17.25" customHeight="1">
      <c r="A18" s="150"/>
      <c r="B18" s="150"/>
      <c r="C18" s="150"/>
      <c r="D18" s="150"/>
      <c r="E18" s="150" t="s">
        <v>147</v>
      </c>
      <c r="F18" s="151" t="s">
        <v>19</v>
      </c>
      <c r="G18" s="151" t="s">
        <v>19</v>
      </c>
      <c r="H18" s="151" t="s">
        <v>19</v>
      </c>
      <c r="I18" s="152">
        <f ca="1">I12+G17-H17</f>
        <v>3994790000</v>
      </c>
      <c r="J18" s="151" t="s">
        <v>19</v>
      </c>
    </row>
    <row r="20" spans="1:10">
      <c r="A20" s="153" t="s">
        <v>148</v>
      </c>
    </row>
    <row r="21" spans="1:10">
      <c r="A21" s="166" t="str">
        <f ca="1">"- Ngày mở sổ: "&amp;DAY($A$13)&amp;"/"&amp;MONTH($A$13)&amp;"/ 2015"</f>
        <v>- Ngày mở sổ: 16/9/ 2015</v>
      </c>
    </row>
    <row r="22" spans="1:10">
      <c r="I22" s="154" t="str">
        <f>"Ngày "&amp;IF(OR($O$10=3,$O$10=12),"31","30")&amp;" tháng "&amp;$O$10&amp;"  năm  2015 "</f>
        <v xml:space="preserve">Ngày 30 tháng 9  năm  2015 </v>
      </c>
    </row>
    <row r="23" spans="1:10" s="155" customFormat="1" ht="14.25">
      <c r="B23" s="155" t="s">
        <v>11</v>
      </c>
      <c r="E23" s="155" t="s">
        <v>12</v>
      </c>
      <c r="I23" s="155" t="s">
        <v>118</v>
      </c>
    </row>
    <row r="24" spans="1:10" s="156" customFormat="1">
      <c r="B24" s="156" t="s">
        <v>13</v>
      </c>
      <c r="E24" s="156" t="s">
        <v>13</v>
      </c>
      <c r="I24" s="156" t="s">
        <v>149</v>
      </c>
    </row>
    <row r="25" spans="1:10" s="156" customFormat="1"/>
    <row r="29" spans="1:10">
      <c r="E29" s="130">
        <f ca="1">SUMIF($D$13:$D$15,#REF!,H13:H15)</f>
        <v>0</v>
      </c>
    </row>
    <row r="32" spans="1:10">
      <c r="A32" s="130">
        <v>2</v>
      </c>
      <c r="B32" s="130">
        <v>3</v>
      </c>
      <c r="C32" s="130">
        <v>4</v>
      </c>
      <c r="D32" s="130">
        <v>5</v>
      </c>
      <c r="E32" s="130">
        <v>6</v>
      </c>
      <c r="F32" s="130">
        <v>9</v>
      </c>
      <c r="G32" s="130">
        <v>10</v>
      </c>
      <c r="H32" s="130">
        <v>11</v>
      </c>
      <c r="I32" s="130">
        <v>12</v>
      </c>
      <c r="J32" s="130">
        <v>13</v>
      </c>
    </row>
  </sheetData>
  <autoFilter ref="A11:J18">
    <filterColumn colId="6"/>
  </autoFilter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5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CDPS</vt:lpstr>
      <vt:lpstr>TH</vt:lpstr>
      <vt:lpstr>01-03</vt:lpstr>
      <vt:lpstr>04-06</vt:lpstr>
      <vt:lpstr>07-09</vt:lpstr>
      <vt:lpstr>10-12</vt:lpstr>
      <vt:lpstr>CTTK</vt:lpstr>
      <vt:lpstr>IN - TC</vt:lpstr>
      <vt:lpstr>1111</vt:lpstr>
      <vt:lpstr>_C111</vt:lpstr>
      <vt:lpstr>_N111</vt:lpstr>
      <vt:lpstr>DSTK</vt:lpstr>
      <vt:lpstr>hgdgdgf</vt:lpstr>
      <vt:lpstr>KH</vt:lpstr>
      <vt:lpstr>KHC</vt:lpstr>
      <vt:lpstr>KHN</vt:lpstr>
      <vt:lpstr>'10-12'!Print_Area</vt:lpstr>
      <vt:lpstr>'1111'!Print_Area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2015-12-14T05:00:51Z</dcterms:modified>
</cp:coreProperties>
</file>