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</sheets>
  <externalReferences>
    <externalReference r:id="rId13"/>
    <externalReference r:id="rId14"/>
  </externalReferences>
  <definedNames>
    <definedName name="_C111">TH!$O$11:$O$157</definedName>
    <definedName name="_C112">TH!$R$11:$R$157</definedName>
    <definedName name="_C133">TH!#REF!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'01-03'!$A$9:$AW$65</definedName>
    <definedName name="_xlnm._FilterDatabase" localSheetId="3" hidden="1">'04-06'!$A$9:$AW$43</definedName>
    <definedName name="_xlnm._FilterDatabase" localSheetId="4" hidden="1">'07-09'!$A$9:$AW$36</definedName>
    <definedName name="_xlnm._FilterDatabase" localSheetId="5" hidden="1">'10-12'!$A$9:$AW$33</definedName>
    <definedName name="_xlnm._FilterDatabase" localSheetId="10" hidden="1">'1111'!$A$11:$J$23</definedName>
    <definedName name="_xlnm._FilterDatabase" localSheetId="11" hidden="1">'1121'!$A$10:$L$53</definedName>
    <definedName name="_xlnm._FilterDatabase" localSheetId="8" hidden="1">'331-CT'!$A$12:$J$21</definedName>
    <definedName name="_xlnm._FilterDatabase" localSheetId="6" hidden="1">CTTK!$A$13:$J$15</definedName>
    <definedName name="_xlnm._FilterDatabase" localSheetId="1" hidden="1">TH!$A$9:$P$130</definedName>
    <definedName name="_N111">TH!$N$11:$N$157</definedName>
    <definedName name="_N112">TH!$Q$11:$Q$157</definedName>
    <definedName name="_N133">TH!#REF!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'331'!$B$4:$B$6</definedName>
    <definedName name="DSKU">#REF!</definedName>
    <definedName name="DSTK">CDPS!$A$10:$D$40</definedName>
    <definedName name="DSTT">'[1]TH - TT'!$K$7:$K$226</definedName>
    <definedName name="DSTT1">'[1]TH - TT'!$I$7:$I$227</definedName>
    <definedName name="hgdgdgf">TH!$K$11:$K$157</definedName>
    <definedName name="KH">TH!$H$11:$H$157</definedName>
    <definedName name="KHC">TH!$K$11:$K$157</definedName>
    <definedName name="KHN">TH!$J$11:$J$157</definedName>
    <definedName name="Loai">OFFSET(TH!$L$5,,,COUNTA(TH!$L$5:$L$38467))</definedName>
    <definedName name="Loai1">OFFSET(TH!$M$5,,,COUNTA(TH!$M$5:$M$38467))</definedName>
    <definedName name="Loai2">OFFSET(TH!$P$5,,,COUNTA(TH!$P$5:$P$38467))</definedName>
    <definedName name="Loai3">OFFSET(TH!#REF!,,,COUNTA(TH!#REF!))</definedName>
    <definedName name="Loai4">OFFSET(TH!#REF!,,,COUNTA(TH!#REF!))</definedName>
    <definedName name="Loai5">OFFSET(TH!$S$5,,,COUNTA(TH!$S$5:$S$38467))</definedName>
    <definedName name="Loai6">OFFSET(TH!$T$5,,,COUNTA(TH!$T$5:$T$38467))</definedName>
    <definedName name="_xlnm.Print_Area" localSheetId="5">'10-12'!$A$6:$AW$38</definedName>
    <definedName name="_xlnm.Print_Area" localSheetId="10">'1111'!$A$1:$J$33</definedName>
    <definedName name="_xlnm.Print_Area" localSheetId="11">'1121'!$A$8:$J$34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TH!$I$11:$I$157</definedName>
    <definedName name="THN">#REF!</definedName>
    <definedName name="TM">TH!$A$11:$K$157</definedName>
  </definedNames>
  <calcPr calcId="124519"/>
</workbook>
</file>

<file path=xl/calcChain.xml><?xml version="1.0" encoding="utf-8"?>
<calcChain xmlns="http://schemas.openxmlformats.org/spreadsheetml/2006/main">
  <c r="E11" i="34"/>
  <c r="E12"/>
  <c r="E13"/>
  <c r="E14"/>
  <c r="E15"/>
  <c r="E16"/>
  <c r="E10"/>
  <c r="C41" i="15" l="1"/>
  <c r="D41"/>
  <c r="M9" i="39" l="1"/>
  <c r="B113" i="34" l="1"/>
  <c r="A113" s="1"/>
  <c r="L113"/>
  <c r="B114"/>
  <c r="L114"/>
  <c r="B115"/>
  <c r="A115" s="1"/>
  <c r="L115"/>
  <c r="B116"/>
  <c r="L116"/>
  <c r="B117"/>
  <c r="A117" s="1"/>
  <c r="L117"/>
  <c r="B118"/>
  <c r="L118"/>
  <c r="B119"/>
  <c r="A119" s="1"/>
  <c r="L119"/>
  <c r="B120"/>
  <c r="L120"/>
  <c r="B121"/>
  <c r="A121" s="1"/>
  <c r="L121"/>
  <c r="B122"/>
  <c r="L122"/>
  <c r="B123"/>
  <c r="A123" s="1"/>
  <c r="L123"/>
  <c r="B124"/>
  <c r="L124"/>
  <c r="B125"/>
  <c r="A125" s="1"/>
  <c r="L125"/>
  <c r="B126"/>
  <c r="A126" s="1"/>
  <c r="L126"/>
  <c r="B127"/>
  <c r="A127" s="1"/>
  <c r="L127"/>
  <c r="B128"/>
  <c r="A128" s="1"/>
  <c r="L128"/>
  <c r="B129"/>
  <c r="A129" s="1"/>
  <c r="L129"/>
  <c r="B130"/>
  <c r="A130" s="1"/>
  <c r="L130"/>
  <c r="T130" l="1"/>
  <c r="T128"/>
  <c r="T126"/>
  <c r="T125"/>
  <c r="T123"/>
  <c r="T121"/>
  <c r="T119"/>
  <c r="T117"/>
  <c r="T115"/>
  <c r="T113"/>
  <c r="A124"/>
  <c r="T124"/>
  <c r="A122"/>
  <c r="T122"/>
  <c r="A120"/>
  <c r="T120"/>
  <c r="A118"/>
  <c r="T118"/>
  <c r="A116"/>
  <c r="T116"/>
  <c r="A114"/>
  <c r="T114"/>
  <c r="T129"/>
  <c r="T127"/>
  <c r="D7" i="12" l="1"/>
  <c r="C7"/>
  <c r="L12" i="34" l="1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A62" i="48" l="1" a="1"/>
  <c r="A62" s="1"/>
  <c r="I62" s="1"/>
  <c r="A63" a="1"/>
  <c r="A63" s="1"/>
  <c r="I16" i="34"/>
  <c r="B16"/>
  <c r="A16" s="1"/>
  <c r="AK10" i="48"/>
  <c r="AJ10"/>
  <c r="AI10"/>
  <c r="AH10"/>
  <c r="F55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30" i="51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A30" a="1"/>
  <c r="A30" s="1"/>
  <c r="I30" s="1"/>
  <c r="AW29"/>
  <c r="AU29"/>
  <c r="AT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D29"/>
  <c r="AV28"/>
  <c r="AU28"/>
  <c r="AT28"/>
  <c r="AS28"/>
  <c r="AR28"/>
  <c r="AQ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D28"/>
  <c r="AV27"/>
  <c r="AU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D27"/>
  <c r="AV26"/>
  <c r="AU26"/>
  <c r="AT26"/>
  <c r="AS26"/>
  <c r="AR26"/>
  <c r="AQ26"/>
  <c r="AP26"/>
  <c r="AO26"/>
  <c r="AN26"/>
  <c r="AM26"/>
  <c r="AL26"/>
  <c r="AK26"/>
  <c r="AJ26"/>
  <c r="AI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D26"/>
  <c r="AW25"/>
  <c r="AU25"/>
  <c r="AT25"/>
  <c r="AS25"/>
  <c r="AR25"/>
  <c r="AQ25"/>
  <c r="AP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D25"/>
  <c r="AW24"/>
  <c r="AU24"/>
  <c r="AT24"/>
  <c r="AS24"/>
  <c r="AR24"/>
  <c r="AQ24"/>
  <c r="AP24"/>
  <c r="AO24"/>
  <c r="AN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Q24"/>
  <c r="P24"/>
  <c r="O24"/>
  <c r="N24"/>
  <c r="M24"/>
  <c r="L24"/>
  <c r="K24"/>
  <c r="J24"/>
  <c r="D24"/>
  <c r="A10" a="1"/>
  <c r="A10" s="1"/>
  <c r="AV41" i="50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A33" a="1"/>
  <c r="A33" s="1"/>
  <c r="I33" s="1"/>
  <c r="AW32"/>
  <c r="AU32"/>
  <c r="AT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D32"/>
  <c r="AV31"/>
  <c r="AU31"/>
  <c r="AT31"/>
  <c r="AS31"/>
  <c r="AR31"/>
  <c r="AQ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D31"/>
  <c r="AV30"/>
  <c r="AU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D30"/>
  <c r="AV29"/>
  <c r="AU29"/>
  <c r="AT29"/>
  <c r="AS29"/>
  <c r="AR29"/>
  <c r="AQ29"/>
  <c r="AP29"/>
  <c r="AO29"/>
  <c r="AN29"/>
  <c r="AM29"/>
  <c r="AL29"/>
  <c r="AK29"/>
  <c r="AJ29"/>
  <c r="AI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D29"/>
  <c r="AW28"/>
  <c r="AU28"/>
  <c r="AT28"/>
  <c r="AS28"/>
  <c r="AR28"/>
  <c r="AQ28"/>
  <c r="AP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D28"/>
  <c r="AW27"/>
  <c r="AU27"/>
  <c r="AT27"/>
  <c r="AS27"/>
  <c r="AR27"/>
  <c r="AQ27"/>
  <c r="AP27"/>
  <c r="AO27"/>
  <c r="AN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Q27"/>
  <c r="P27"/>
  <c r="O27"/>
  <c r="N27"/>
  <c r="M27"/>
  <c r="L27"/>
  <c r="K27"/>
  <c r="J27"/>
  <c r="D27"/>
  <c r="A10" a="1"/>
  <c r="A10" s="1"/>
  <c r="AV48" i="49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A40" a="1"/>
  <c r="A40" s="1"/>
  <c r="I40" s="1"/>
  <c r="AW39"/>
  <c r="AU39"/>
  <c r="AT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D39"/>
  <c r="AV38"/>
  <c r="AU38"/>
  <c r="AT38"/>
  <c r="AS38"/>
  <c r="AR38"/>
  <c r="AQ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D38"/>
  <c r="AV37"/>
  <c r="AU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D37"/>
  <c r="AV36"/>
  <c r="AU36"/>
  <c r="AT36"/>
  <c r="AS36"/>
  <c r="AR36"/>
  <c r="AQ36"/>
  <c r="AP36"/>
  <c r="AO36"/>
  <c r="AN36"/>
  <c r="AM36"/>
  <c r="AL36"/>
  <c r="AK36"/>
  <c r="AJ36"/>
  <c r="AI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D36"/>
  <c r="AW35"/>
  <c r="AU35"/>
  <c r="AT35"/>
  <c r="AS35"/>
  <c r="AR35"/>
  <c r="AQ35"/>
  <c r="AP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D35"/>
  <c r="AW34"/>
  <c r="AU34"/>
  <c r="AT34"/>
  <c r="AS34"/>
  <c r="AR34"/>
  <c r="AQ34"/>
  <c r="AP34"/>
  <c r="AO34"/>
  <c r="AN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Q34"/>
  <c r="P34"/>
  <c r="O34"/>
  <c r="N34"/>
  <c r="M34"/>
  <c r="L34"/>
  <c r="K34"/>
  <c r="J34"/>
  <c r="D34"/>
  <c r="A10" a="1"/>
  <c r="A10" s="1"/>
  <c r="AV70" i="48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AW61"/>
  <c r="AU61"/>
  <c r="AT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D61"/>
  <c r="AV60"/>
  <c r="AU60"/>
  <c r="AT60"/>
  <c r="AS60"/>
  <c r="AR60"/>
  <c r="AQ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D60"/>
  <c r="AV59"/>
  <c r="AU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D59"/>
  <c r="AV58"/>
  <c r="AU58"/>
  <c r="AT58"/>
  <c r="AS58"/>
  <c r="AR58"/>
  <c r="AQ58"/>
  <c r="AP58"/>
  <c r="AO58"/>
  <c r="AN58"/>
  <c r="AM58"/>
  <c r="AL58"/>
  <c r="AK58"/>
  <c r="AJ58"/>
  <c r="AI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D58"/>
  <c r="AW57"/>
  <c r="AU57"/>
  <c r="AT57"/>
  <c r="AS57"/>
  <c r="AR57"/>
  <c r="AQ57"/>
  <c r="AP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D57"/>
  <c r="AW56"/>
  <c r="AU56"/>
  <c r="AT56"/>
  <c r="AS56"/>
  <c r="AR56"/>
  <c r="AQ56"/>
  <c r="AP56"/>
  <c r="AO56"/>
  <c r="AN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Q56"/>
  <c r="P56"/>
  <c r="O56"/>
  <c r="N56"/>
  <c r="M56"/>
  <c r="L56"/>
  <c r="K56"/>
  <c r="J56"/>
  <c r="D56"/>
  <c r="AW55"/>
  <c r="AV55"/>
  <c r="AU55"/>
  <c r="AT55"/>
  <c r="AS55"/>
  <c r="AR55"/>
  <c r="AQ55"/>
  <c r="AP55"/>
  <c r="AO55"/>
  <c r="AN55"/>
  <c r="AM55"/>
  <c r="AL55"/>
  <c r="AK55"/>
  <c r="AJ55"/>
  <c r="AG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AH55"/>
  <c r="D55"/>
  <c r="A10" a="1"/>
  <c r="A10" s="1"/>
  <c r="S7" i="34"/>
  <c r="S113" l="1"/>
  <c r="S118"/>
  <c r="S122"/>
  <c r="S126"/>
  <c r="S127"/>
  <c r="S129"/>
  <c r="S114"/>
  <c r="S115"/>
  <c r="S116"/>
  <c r="S117"/>
  <c r="S119"/>
  <c r="S120"/>
  <c r="S121"/>
  <c r="S123"/>
  <c r="S124"/>
  <c r="S125"/>
  <c r="S128"/>
  <c r="S130"/>
  <c r="S13"/>
  <c r="S15"/>
  <c r="S17"/>
  <c r="S19"/>
  <c r="S21"/>
  <c r="S23"/>
  <c r="S25"/>
  <c r="S27"/>
  <c r="S29"/>
  <c r="S31"/>
  <c r="S33"/>
  <c r="S35"/>
  <c r="S37"/>
  <c r="S39"/>
  <c r="S41"/>
  <c r="S43"/>
  <c r="S45"/>
  <c r="S47"/>
  <c r="S49"/>
  <c r="S51"/>
  <c r="S53"/>
  <c r="S55"/>
  <c r="S57"/>
  <c r="S59"/>
  <c r="S61"/>
  <c r="S63"/>
  <c r="S65"/>
  <c r="S67"/>
  <c r="S69"/>
  <c r="S71"/>
  <c r="S73"/>
  <c r="S75"/>
  <c r="S77"/>
  <c r="S79"/>
  <c r="S81"/>
  <c r="S83"/>
  <c r="S85"/>
  <c r="S87"/>
  <c r="S89"/>
  <c r="S91"/>
  <c r="S93"/>
  <c r="S95"/>
  <c r="S97"/>
  <c r="S99"/>
  <c r="S101"/>
  <c r="S103"/>
  <c r="S105"/>
  <c r="S107"/>
  <c r="S109"/>
  <c r="S111"/>
  <c r="S12"/>
  <c r="S14"/>
  <c r="S16"/>
  <c r="S18"/>
  <c r="S20"/>
  <c r="S22"/>
  <c r="S24"/>
  <c r="S26"/>
  <c r="S28"/>
  <c r="S30"/>
  <c r="S32"/>
  <c r="S34"/>
  <c r="S36"/>
  <c r="S38"/>
  <c r="S40"/>
  <c r="S42"/>
  <c r="S44"/>
  <c r="S46"/>
  <c r="S48"/>
  <c r="S50"/>
  <c r="S52"/>
  <c r="S54"/>
  <c r="S56"/>
  <c r="S58"/>
  <c r="S60"/>
  <c r="S62"/>
  <c r="S64"/>
  <c r="S66"/>
  <c r="S68"/>
  <c r="S70"/>
  <c r="S72"/>
  <c r="S74"/>
  <c r="S76"/>
  <c r="S78"/>
  <c r="S80"/>
  <c r="S82"/>
  <c r="S84"/>
  <c r="S86"/>
  <c r="S88"/>
  <c r="S90"/>
  <c r="S92"/>
  <c r="S94"/>
  <c r="S96"/>
  <c r="S98"/>
  <c r="S100"/>
  <c r="S102"/>
  <c r="S104"/>
  <c r="S106"/>
  <c r="S108"/>
  <c r="S110"/>
  <c r="S112"/>
  <c r="AI55" i="48"/>
  <c r="AF55"/>
  <c r="S10" i="34"/>
  <c r="S11"/>
  <c r="AV56" i="48" l="1"/>
  <c r="AV24" i="51"/>
  <c r="AV27" i="50"/>
  <c r="AV34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B59" i="34" l="1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54" s="1"/>
  <c r="N9"/>
  <c r="O10" i="42"/>
  <c r="I27" s="1"/>
  <c r="N10"/>
  <c r="Q130" i="34" l="1"/>
  <c r="Q126"/>
  <c r="Q122"/>
  <c r="Q118"/>
  <c r="Q123"/>
  <c r="Q119"/>
  <c r="Q115"/>
  <c r="Q129"/>
  <c r="P130"/>
  <c r="R128"/>
  <c r="P126"/>
  <c r="P125"/>
  <c r="R123"/>
  <c r="P121"/>
  <c r="R119"/>
  <c r="P117"/>
  <c r="R115"/>
  <c r="P113"/>
  <c r="P124"/>
  <c r="R122"/>
  <c r="P120"/>
  <c r="R118"/>
  <c r="P116"/>
  <c r="R114"/>
  <c r="P129"/>
  <c r="P127"/>
  <c r="Q128"/>
  <c r="Q114"/>
  <c r="Q124"/>
  <c r="Q120"/>
  <c r="Q116"/>
  <c r="Q125"/>
  <c r="Q121"/>
  <c r="Q117"/>
  <c r="Q113"/>
  <c r="Q127"/>
  <c r="R130"/>
  <c r="P128"/>
  <c r="R126"/>
  <c r="R125"/>
  <c r="P123"/>
  <c r="R121"/>
  <c r="P119"/>
  <c r="R117"/>
  <c r="P115"/>
  <c r="R113"/>
  <c r="R124"/>
  <c r="P122"/>
  <c r="R120"/>
  <c r="P118"/>
  <c r="R116"/>
  <c r="P114"/>
  <c r="R129"/>
  <c r="R127"/>
  <c r="M116"/>
  <c r="M117"/>
  <c r="M118"/>
  <c r="M119"/>
  <c r="M120"/>
  <c r="M121"/>
  <c r="M122"/>
  <c r="M123"/>
  <c r="M124"/>
  <c r="M125"/>
  <c r="M126"/>
  <c r="M113"/>
  <c r="M114"/>
  <c r="M130"/>
  <c r="O124"/>
  <c r="O120"/>
  <c r="O116"/>
  <c r="M129"/>
  <c r="M127"/>
  <c r="O128"/>
  <c r="O125"/>
  <c r="O123"/>
  <c r="O121"/>
  <c r="O119"/>
  <c r="O117"/>
  <c r="O115"/>
  <c r="O113"/>
  <c r="N128"/>
  <c r="O127"/>
  <c r="N125"/>
  <c r="N123"/>
  <c r="N121"/>
  <c r="N119"/>
  <c r="N117"/>
  <c r="N115"/>
  <c r="N113"/>
  <c r="N124"/>
  <c r="N120"/>
  <c r="N116"/>
  <c r="N127"/>
  <c r="O114"/>
  <c r="O122"/>
  <c r="O118"/>
  <c r="M128"/>
  <c r="O126"/>
  <c r="M115"/>
  <c r="O130"/>
  <c r="N130"/>
  <c r="O129"/>
  <c r="N126"/>
  <c r="N129"/>
  <c r="N122"/>
  <c r="N118"/>
  <c r="N114"/>
  <c r="T39"/>
  <c r="A39"/>
  <c r="T36"/>
  <c r="A36"/>
  <c r="T33"/>
  <c r="A33"/>
  <c r="T31"/>
  <c r="A31"/>
  <c r="T29"/>
  <c r="A29"/>
  <c r="T27"/>
  <c r="A27"/>
  <c r="T25"/>
  <c r="A25"/>
  <c r="T23"/>
  <c r="A23"/>
  <c r="T21"/>
  <c r="A21"/>
  <c r="T19"/>
  <c r="A19"/>
  <c r="T82"/>
  <c r="A82"/>
  <c r="T79"/>
  <c r="A79"/>
  <c r="T77"/>
  <c r="A77"/>
  <c r="T75"/>
  <c r="A75"/>
  <c r="T72"/>
  <c r="A72"/>
  <c r="T70"/>
  <c r="A70"/>
  <c r="T66"/>
  <c r="A66"/>
  <c r="T63"/>
  <c r="A63"/>
  <c r="T61"/>
  <c r="A61"/>
  <c r="T59"/>
  <c r="A59"/>
  <c r="T38"/>
  <c r="A38"/>
  <c r="T35"/>
  <c r="A35"/>
  <c r="T32"/>
  <c r="A32"/>
  <c r="T30"/>
  <c r="A30"/>
  <c r="T28"/>
  <c r="A28"/>
  <c r="T26"/>
  <c r="A26"/>
  <c r="T24"/>
  <c r="A24"/>
  <c r="T22"/>
  <c r="A22"/>
  <c r="T20"/>
  <c r="A20"/>
  <c r="T18"/>
  <c r="A18"/>
  <c r="T80"/>
  <c r="A80"/>
  <c r="T78"/>
  <c r="A78"/>
  <c r="T76"/>
  <c r="A76"/>
  <c r="T73"/>
  <c r="A73"/>
  <c r="T71"/>
  <c r="A71"/>
  <c r="T67"/>
  <c r="A67"/>
  <c r="T64"/>
  <c r="A64"/>
  <c r="T62"/>
  <c r="A62"/>
  <c r="T60"/>
  <c r="A60"/>
  <c r="M16"/>
  <c r="N16"/>
  <c r="O16"/>
  <c r="N39"/>
  <c r="O39"/>
  <c r="M39"/>
  <c r="M36"/>
  <c r="O36"/>
  <c r="N36"/>
  <c r="N33"/>
  <c r="O33"/>
  <c r="M33"/>
  <c r="N31"/>
  <c r="O31"/>
  <c r="M31"/>
  <c r="N29"/>
  <c r="O29"/>
  <c r="M29"/>
  <c r="N27"/>
  <c r="O27"/>
  <c r="M27"/>
  <c r="N25"/>
  <c r="O25"/>
  <c r="M25"/>
  <c r="N23"/>
  <c r="O23"/>
  <c r="M23"/>
  <c r="N21"/>
  <c r="O21"/>
  <c r="M21"/>
  <c r="N19"/>
  <c r="O19"/>
  <c r="M19"/>
  <c r="M82"/>
  <c r="O82"/>
  <c r="N82"/>
  <c r="N79"/>
  <c r="O79"/>
  <c r="M79"/>
  <c r="N77"/>
  <c r="O77"/>
  <c r="M77"/>
  <c r="N75"/>
  <c r="O75"/>
  <c r="M75"/>
  <c r="M72"/>
  <c r="O72"/>
  <c r="N72"/>
  <c r="M70"/>
  <c r="O70"/>
  <c r="N70"/>
  <c r="M66"/>
  <c r="O66"/>
  <c r="N66"/>
  <c r="N63"/>
  <c r="O63"/>
  <c r="M63"/>
  <c r="N61"/>
  <c r="O61"/>
  <c r="M61"/>
  <c r="N59"/>
  <c r="O59"/>
  <c r="M59"/>
  <c r="M38"/>
  <c r="O38"/>
  <c r="N38"/>
  <c r="N35"/>
  <c r="O35"/>
  <c r="M35"/>
  <c r="M32"/>
  <c r="O32"/>
  <c r="N32"/>
  <c r="M30"/>
  <c r="O30"/>
  <c r="N30"/>
  <c r="M28"/>
  <c r="O28"/>
  <c r="N28"/>
  <c r="M26"/>
  <c r="O26"/>
  <c r="N26"/>
  <c r="M24"/>
  <c r="O24"/>
  <c r="N24"/>
  <c r="M22"/>
  <c r="O22"/>
  <c r="N22"/>
  <c r="M20"/>
  <c r="O20"/>
  <c r="N20"/>
  <c r="M18"/>
  <c r="O18"/>
  <c r="N18"/>
  <c r="M80"/>
  <c r="O80"/>
  <c r="N80"/>
  <c r="M78"/>
  <c r="O78"/>
  <c r="N78"/>
  <c r="M76"/>
  <c r="O76"/>
  <c r="N76"/>
  <c r="N73"/>
  <c r="O73"/>
  <c r="M73"/>
  <c r="N71"/>
  <c r="O71"/>
  <c r="M71"/>
  <c r="N67"/>
  <c r="O67"/>
  <c r="M67"/>
  <c r="M64"/>
  <c r="O64"/>
  <c r="N64"/>
  <c r="M62"/>
  <c r="O62"/>
  <c r="N62"/>
  <c r="M60"/>
  <c r="O60"/>
  <c r="N60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9"/>
  <c r="Q60"/>
  <c r="Q61"/>
  <c r="Q62"/>
  <c r="Q63"/>
  <c r="Q64"/>
  <c r="Q66"/>
  <c r="Q67"/>
  <c r="Q70"/>
  <c r="Q71"/>
  <c r="Q72"/>
  <c r="Q73"/>
  <c r="Q75"/>
  <c r="Q76"/>
  <c r="Q77"/>
  <c r="Q78"/>
  <c r="Q79"/>
  <c r="Q80"/>
  <c r="Q82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9"/>
  <c r="R59"/>
  <c r="P60"/>
  <c r="R60"/>
  <c r="P61"/>
  <c r="R61"/>
  <c r="P62"/>
  <c r="R62"/>
  <c r="P63"/>
  <c r="R63"/>
  <c r="P64"/>
  <c r="R64"/>
  <c r="P66"/>
  <c r="R66"/>
  <c r="P67"/>
  <c r="R67"/>
  <c r="P70"/>
  <c r="R70"/>
  <c r="P71"/>
  <c r="R71"/>
  <c r="P72"/>
  <c r="R72"/>
  <c r="P73"/>
  <c r="R73"/>
  <c r="P75"/>
  <c r="R75"/>
  <c r="P76"/>
  <c r="R76"/>
  <c r="P77"/>
  <c r="R77"/>
  <c r="P78"/>
  <c r="R78"/>
  <c r="P79"/>
  <c r="R79"/>
  <c r="P80"/>
  <c r="R80"/>
  <c r="P82"/>
  <c r="R82"/>
  <c r="I13" i="14" l="1"/>
  <c r="J13"/>
  <c r="L11" i="34"/>
  <c r="L10"/>
  <c r="C24" i="47"/>
  <c r="D14" i="14" l="1"/>
  <c r="H14"/>
  <c r="E14"/>
  <c r="G14"/>
  <c r="B14"/>
  <c r="L1" i="39" l="1"/>
  <c r="L3"/>
  <c r="L2"/>
  <c r="M17" l="1"/>
  <c r="H17"/>
  <c r="C11"/>
  <c r="M7"/>
  <c r="L7"/>
  <c r="H4" l="1"/>
  <c r="C21" i="47" l="1"/>
  <c r="A21" l="1"/>
  <c r="A17"/>
  <c r="C23"/>
  <c r="C18"/>
  <c r="C22"/>
  <c r="I11" i="34"/>
  <c r="I15"/>
  <c r="F20" i="47" s="1"/>
  <c r="I14" i="34"/>
  <c r="G19" i="47" s="1"/>
  <c r="I13" i="34"/>
  <c r="G18" i="47" s="1"/>
  <c r="I12" i="34"/>
  <c r="F17" i="47" l="1"/>
  <c r="F16"/>
  <c r="B15" i="34"/>
  <c r="A15" s="1"/>
  <c r="B109"/>
  <c r="B95"/>
  <c r="B94"/>
  <c r="F34" i="47" l="1"/>
  <c r="T109" i="34"/>
  <c r="A109"/>
  <c r="T94"/>
  <c r="A94"/>
  <c r="T95"/>
  <c r="A95"/>
  <c r="N95"/>
  <c r="O95"/>
  <c r="M95"/>
  <c r="P95"/>
  <c r="Q95"/>
  <c r="R95"/>
  <c r="M94"/>
  <c r="O94"/>
  <c r="N94"/>
  <c r="Q94"/>
  <c r="P94"/>
  <c r="R94"/>
  <c r="M109"/>
  <c r="O109"/>
  <c r="N109"/>
  <c r="P109"/>
  <c r="Q109"/>
  <c r="R109"/>
  <c r="N15"/>
  <c r="O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J14" l="1"/>
  <c r="I14"/>
  <c r="I15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"/>
  <c r="A11" s="1"/>
  <c r="A5" i="12"/>
  <c r="A4"/>
  <c r="T112" i="34" l="1"/>
  <c r="A112"/>
  <c r="T104"/>
  <c r="A104"/>
  <c r="T105"/>
  <c r="A105"/>
  <c r="T100"/>
  <c r="A100"/>
  <c r="T101"/>
  <c r="A101"/>
  <c r="T91"/>
  <c r="A91"/>
  <c r="T89"/>
  <c r="A89"/>
  <c r="T87"/>
  <c r="A87"/>
  <c r="T93"/>
  <c r="A93"/>
  <c r="T84"/>
  <c r="A84"/>
  <c r="T83"/>
  <c r="A83"/>
  <c r="T57"/>
  <c r="A57"/>
  <c r="T55"/>
  <c r="A55"/>
  <c r="T53"/>
  <c r="A53"/>
  <c r="T51"/>
  <c r="A51"/>
  <c r="T49"/>
  <c r="A49"/>
  <c r="T47"/>
  <c r="A47"/>
  <c r="T45"/>
  <c r="A45"/>
  <c r="T43"/>
  <c r="A43"/>
  <c r="T42"/>
  <c r="A42"/>
  <c r="T111"/>
  <c r="A111"/>
  <c r="T107"/>
  <c r="A107"/>
  <c r="T108"/>
  <c r="A108"/>
  <c r="T102"/>
  <c r="A102"/>
  <c r="T97"/>
  <c r="A97"/>
  <c r="T99"/>
  <c r="A99"/>
  <c r="T90"/>
  <c r="A90"/>
  <c r="T88"/>
  <c r="A88"/>
  <c r="T86"/>
  <c r="A86"/>
  <c r="T92"/>
  <c r="A92"/>
  <c r="T85"/>
  <c r="A85"/>
  <c r="T58"/>
  <c r="A58"/>
  <c r="T56"/>
  <c r="A56"/>
  <c r="T54"/>
  <c r="A54"/>
  <c r="T52"/>
  <c r="A52"/>
  <c r="T50"/>
  <c r="A50"/>
  <c r="T48"/>
  <c r="A48"/>
  <c r="T46"/>
  <c r="A46"/>
  <c r="T44"/>
  <c r="A44"/>
  <c r="T41"/>
  <c r="A41"/>
  <c r="N112"/>
  <c r="O112"/>
  <c r="M112"/>
  <c r="Q112"/>
  <c r="P112"/>
  <c r="R112"/>
  <c r="N104"/>
  <c r="O104"/>
  <c r="M104"/>
  <c r="Q104"/>
  <c r="P104"/>
  <c r="R104"/>
  <c r="M105"/>
  <c r="O105"/>
  <c r="N105"/>
  <c r="P105"/>
  <c r="Q105"/>
  <c r="R105"/>
  <c r="N100"/>
  <c r="O100"/>
  <c r="M100"/>
  <c r="Q100"/>
  <c r="P100"/>
  <c r="R100"/>
  <c r="M101"/>
  <c r="O101"/>
  <c r="N101"/>
  <c r="P101"/>
  <c r="Q101"/>
  <c r="R101"/>
  <c r="N91"/>
  <c r="O91"/>
  <c r="M91"/>
  <c r="P91"/>
  <c r="Q91"/>
  <c r="R91"/>
  <c r="N89"/>
  <c r="O89"/>
  <c r="M89"/>
  <c r="P89"/>
  <c r="Q89"/>
  <c r="R89"/>
  <c r="N87"/>
  <c r="O87"/>
  <c r="M87"/>
  <c r="P87"/>
  <c r="Q87"/>
  <c r="R87"/>
  <c r="N93"/>
  <c r="O93"/>
  <c r="M93"/>
  <c r="P93"/>
  <c r="Q93"/>
  <c r="R93"/>
  <c r="M84"/>
  <c r="O84"/>
  <c r="N84"/>
  <c r="Q84"/>
  <c r="P84"/>
  <c r="R84"/>
  <c r="N83"/>
  <c r="O83"/>
  <c r="M83"/>
  <c r="P83"/>
  <c r="Q83"/>
  <c r="R83"/>
  <c r="N57"/>
  <c r="O57"/>
  <c r="M57"/>
  <c r="P57"/>
  <c r="Q57"/>
  <c r="R57"/>
  <c r="N55"/>
  <c r="O55"/>
  <c r="M55"/>
  <c r="P55"/>
  <c r="Q55"/>
  <c r="R55"/>
  <c r="N53"/>
  <c r="O53"/>
  <c r="M53"/>
  <c r="P53"/>
  <c r="Q53"/>
  <c r="R53"/>
  <c r="N51"/>
  <c r="O51"/>
  <c r="M51"/>
  <c r="P51"/>
  <c r="Q51"/>
  <c r="R51"/>
  <c r="N49"/>
  <c r="O49"/>
  <c r="M49"/>
  <c r="P49"/>
  <c r="Q49"/>
  <c r="R49"/>
  <c r="N47"/>
  <c r="O47"/>
  <c r="M47"/>
  <c r="P47"/>
  <c r="Q47"/>
  <c r="R47"/>
  <c r="N45"/>
  <c r="O45"/>
  <c r="M45"/>
  <c r="P45"/>
  <c r="Q45"/>
  <c r="R45"/>
  <c r="N43"/>
  <c r="O43"/>
  <c r="M43"/>
  <c r="P43"/>
  <c r="Q43"/>
  <c r="R43"/>
  <c r="M42"/>
  <c r="O42"/>
  <c r="N42"/>
  <c r="Q42"/>
  <c r="P42"/>
  <c r="R42"/>
  <c r="N13"/>
  <c r="O13"/>
  <c r="M13"/>
  <c r="P13"/>
  <c r="Q13"/>
  <c r="R13"/>
  <c r="M12"/>
  <c r="O12"/>
  <c r="N12"/>
  <c r="Q12"/>
  <c r="P12"/>
  <c r="R12"/>
  <c r="M111"/>
  <c r="O111"/>
  <c r="N111"/>
  <c r="P111"/>
  <c r="Q111"/>
  <c r="R111"/>
  <c r="M107"/>
  <c r="O107"/>
  <c r="N107"/>
  <c r="P107"/>
  <c r="Q107"/>
  <c r="R107"/>
  <c r="N108"/>
  <c r="O108"/>
  <c r="M108"/>
  <c r="Q108"/>
  <c r="P108"/>
  <c r="R108"/>
  <c r="N102"/>
  <c r="O102"/>
  <c r="M102"/>
  <c r="Q102"/>
  <c r="P102"/>
  <c r="R102"/>
  <c r="N97"/>
  <c r="O97"/>
  <c r="M97"/>
  <c r="P97"/>
  <c r="Q97"/>
  <c r="R97"/>
  <c r="M99"/>
  <c r="O99"/>
  <c r="N99"/>
  <c r="P99"/>
  <c r="Q99"/>
  <c r="R99"/>
  <c r="M90"/>
  <c r="O90"/>
  <c r="N90"/>
  <c r="Q90"/>
  <c r="P90"/>
  <c r="R90"/>
  <c r="M88"/>
  <c r="O88"/>
  <c r="N88"/>
  <c r="Q88"/>
  <c r="P88"/>
  <c r="R88"/>
  <c r="M86"/>
  <c r="O86"/>
  <c r="N86"/>
  <c r="Q86"/>
  <c r="P86"/>
  <c r="R86"/>
  <c r="M92"/>
  <c r="O92"/>
  <c r="N92"/>
  <c r="Q92"/>
  <c r="P92"/>
  <c r="R92"/>
  <c r="N85"/>
  <c r="O85"/>
  <c r="M85"/>
  <c r="P85"/>
  <c r="Q85"/>
  <c r="R85"/>
  <c r="M58"/>
  <c r="O58"/>
  <c r="N58"/>
  <c r="Q58"/>
  <c r="P58"/>
  <c r="R58"/>
  <c r="M56"/>
  <c r="O56"/>
  <c r="N56"/>
  <c r="Q56"/>
  <c r="P56"/>
  <c r="R56"/>
  <c r="M54"/>
  <c r="O54"/>
  <c r="N54"/>
  <c r="Q54"/>
  <c r="P54"/>
  <c r="R54"/>
  <c r="M52"/>
  <c r="O52"/>
  <c r="N52"/>
  <c r="Q52"/>
  <c r="P52"/>
  <c r="R52"/>
  <c r="M50"/>
  <c r="O50"/>
  <c r="N50"/>
  <c r="Q50"/>
  <c r="P50"/>
  <c r="R50"/>
  <c r="M48"/>
  <c r="O48"/>
  <c r="N48"/>
  <c r="Q48"/>
  <c r="P48"/>
  <c r="R48"/>
  <c r="M46"/>
  <c r="O46"/>
  <c r="N46"/>
  <c r="Q46"/>
  <c r="P46"/>
  <c r="R46"/>
  <c r="M44"/>
  <c r="O44"/>
  <c r="N44"/>
  <c r="Q44"/>
  <c r="P44"/>
  <c r="R44"/>
  <c r="N41"/>
  <c r="O41"/>
  <c r="M41"/>
  <c r="P41"/>
  <c r="Q41"/>
  <c r="R41"/>
  <c r="M14"/>
  <c r="O14"/>
  <c r="N14"/>
  <c r="Q14"/>
  <c r="P14"/>
  <c r="R14"/>
  <c r="N11"/>
  <c r="O11"/>
  <c r="M11"/>
  <c r="M10"/>
  <c r="O10"/>
  <c r="N10"/>
  <c r="P11"/>
  <c r="R11"/>
  <c r="Q11"/>
  <c r="Q10"/>
  <c r="R10"/>
  <c r="P10"/>
  <c r="I16" i="14"/>
  <c r="J16"/>
  <c r="A15" i="47"/>
  <c r="C19"/>
  <c r="C17"/>
  <c r="C15"/>
  <c r="B65" i="34" l="1"/>
  <c r="B68"/>
  <c r="B81"/>
  <c r="B69"/>
  <c r="B74"/>
  <c r="B37"/>
  <c r="B34"/>
  <c r="I17" i="14"/>
  <c r="J17"/>
  <c r="B17" i="34"/>
  <c r="B98"/>
  <c r="B106"/>
  <c r="B110"/>
  <c r="B40"/>
  <c r="B96"/>
  <c r="B103"/>
  <c r="T40" l="1"/>
  <c r="A40"/>
  <c r="T106"/>
  <c r="A106"/>
  <c r="T96"/>
  <c r="A96"/>
  <c r="T110"/>
  <c r="A110"/>
  <c r="T98"/>
  <c r="A98"/>
  <c r="T34"/>
  <c r="A34"/>
  <c r="T74"/>
  <c r="A74"/>
  <c r="T81"/>
  <c r="A81"/>
  <c r="T65"/>
  <c r="A65"/>
  <c r="T103"/>
  <c r="A103"/>
  <c r="T17"/>
  <c r="A17"/>
  <c r="T37"/>
  <c r="A37"/>
  <c r="T69"/>
  <c r="A69"/>
  <c r="T68"/>
  <c r="A68"/>
  <c r="M96"/>
  <c r="O96"/>
  <c r="N96"/>
  <c r="Q96"/>
  <c r="P96"/>
  <c r="R96"/>
  <c r="N110"/>
  <c r="O110"/>
  <c r="M110"/>
  <c r="Q110"/>
  <c r="P110"/>
  <c r="R110"/>
  <c r="N98"/>
  <c r="O98"/>
  <c r="M98"/>
  <c r="Q98"/>
  <c r="P98"/>
  <c r="R98"/>
  <c r="M34"/>
  <c r="O34"/>
  <c r="N34"/>
  <c r="Q34"/>
  <c r="P34"/>
  <c r="R34"/>
  <c r="M74"/>
  <c r="O74"/>
  <c r="N74"/>
  <c r="Q74"/>
  <c r="P74"/>
  <c r="R74"/>
  <c r="N81"/>
  <c r="O81"/>
  <c r="M81"/>
  <c r="P81"/>
  <c r="Q81"/>
  <c r="R81"/>
  <c r="N65"/>
  <c r="O65"/>
  <c r="M65"/>
  <c r="P65"/>
  <c r="Q65"/>
  <c r="R65"/>
  <c r="M103"/>
  <c r="O103"/>
  <c r="N103"/>
  <c r="P103"/>
  <c r="Q103"/>
  <c r="R103"/>
  <c r="M40"/>
  <c r="O40"/>
  <c r="N40"/>
  <c r="Q40"/>
  <c r="P40"/>
  <c r="R40"/>
  <c r="N106"/>
  <c r="O106"/>
  <c r="M106"/>
  <c r="Q106"/>
  <c r="P106"/>
  <c r="R106"/>
  <c r="N17"/>
  <c r="O17"/>
  <c r="M17"/>
  <c r="P17"/>
  <c r="Q17"/>
  <c r="R17"/>
  <c r="N37"/>
  <c r="O37"/>
  <c r="M37"/>
  <c r="P37"/>
  <c r="Q37"/>
  <c r="R37"/>
  <c r="N69"/>
  <c r="O69"/>
  <c r="M69"/>
  <c r="P69"/>
  <c r="Q69"/>
  <c r="R69"/>
  <c r="M68"/>
  <c r="O68"/>
  <c r="N68"/>
  <c r="Q68"/>
  <c r="P68"/>
  <c r="R68"/>
  <c r="I18" i="14"/>
  <c r="J18"/>
  <c r="G21"/>
  <c r="C21"/>
  <c r="A21" s="1"/>
  <c r="H21"/>
  <c r="D21"/>
  <c r="E21"/>
  <c r="B21"/>
  <c r="C12" i="51" l="1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12" i="50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12" i="49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50" i="48"/>
  <c r="D50"/>
  <c r="F50"/>
  <c r="H50"/>
  <c r="C51"/>
  <c r="E51"/>
  <c r="G51"/>
  <c r="B52"/>
  <c r="D52"/>
  <c r="F52"/>
  <c r="H52"/>
  <c r="C53"/>
  <c r="E53"/>
  <c r="G53"/>
  <c r="B54"/>
  <c r="D54"/>
  <c r="F54"/>
  <c r="H54"/>
  <c r="C37"/>
  <c r="E37"/>
  <c r="G37"/>
  <c r="B38"/>
  <c r="D38"/>
  <c r="F38"/>
  <c r="H38"/>
  <c r="C39"/>
  <c r="E39"/>
  <c r="G39"/>
  <c r="B40"/>
  <c r="D40"/>
  <c r="F40"/>
  <c r="H40"/>
  <c r="C41"/>
  <c r="E41"/>
  <c r="G41"/>
  <c r="B42"/>
  <c r="D42"/>
  <c r="F42"/>
  <c r="H42"/>
  <c r="C43"/>
  <c r="E43"/>
  <c r="G43"/>
  <c r="B44"/>
  <c r="D44"/>
  <c r="F44"/>
  <c r="H44"/>
  <c r="C45"/>
  <c r="E45"/>
  <c r="G45"/>
  <c r="B46"/>
  <c r="D46"/>
  <c r="F46"/>
  <c r="H46"/>
  <c r="C47"/>
  <c r="E47"/>
  <c r="G47"/>
  <c r="B48"/>
  <c r="D48"/>
  <c r="F48"/>
  <c r="H48"/>
  <c r="C49"/>
  <c r="E49"/>
  <c r="G49"/>
  <c r="B12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B12" i="51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12" i="50"/>
  <c r="D12"/>
  <c r="F12"/>
  <c r="H12"/>
  <c r="C13"/>
  <c r="E13"/>
  <c r="G13"/>
  <c r="B14"/>
  <c r="D14"/>
  <c r="F14"/>
  <c r="H14"/>
  <c r="C15"/>
  <c r="E15"/>
  <c r="G15"/>
  <c r="B16"/>
  <c r="D16"/>
  <c r="F16"/>
  <c r="H16"/>
  <c r="C17"/>
  <c r="E17"/>
  <c r="G17"/>
  <c r="B18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12" i="49"/>
  <c r="E12"/>
  <c r="G12"/>
  <c r="B13"/>
  <c r="D13"/>
  <c r="F13"/>
  <c r="H13"/>
  <c r="C14"/>
  <c r="E14"/>
  <c r="G14"/>
  <c r="B15"/>
  <c r="D15"/>
  <c r="F15"/>
  <c r="H15"/>
  <c r="C16"/>
  <c r="E16"/>
  <c r="G16"/>
  <c r="B17"/>
  <c r="D17"/>
  <c r="F17"/>
  <c r="H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50" i="48"/>
  <c r="E50"/>
  <c r="G50"/>
  <c r="B51"/>
  <c r="D51"/>
  <c r="F51"/>
  <c r="H51"/>
  <c r="C52"/>
  <c r="E52"/>
  <c r="G52"/>
  <c r="B53"/>
  <c r="D53"/>
  <c r="F53"/>
  <c r="H53"/>
  <c r="C54"/>
  <c r="E54"/>
  <c r="G54"/>
  <c r="B37"/>
  <c r="D37"/>
  <c r="F37"/>
  <c r="H37"/>
  <c r="C38"/>
  <c r="E38"/>
  <c r="G38"/>
  <c r="B39"/>
  <c r="D39"/>
  <c r="F39"/>
  <c r="H39"/>
  <c r="C40"/>
  <c r="E40"/>
  <c r="G40"/>
  <c r="B41"/>
  <c r="D41"/>
  <c r="F41"/>
  <c r="H41"/>
  <c r="C42"/>
  <c r="E42"/>
  <c r="G42"/>
  <c r="B43"/>
  <c r="D43"/>
  <c r="F43"/>
  <c r="H43"/>
  <c r="C44"/>
  <c r="E44"/>
  <c r="G44"/>
  <c r="B45"/>
  <c r="D45"/>
  <c r="F45"/>
  <c r="H45"/>
  <c r="C46"/>
  <c r="E46"/>
  <c r="G46"/>
  <c r="B47"/>
  <c r="D47"/>
  <c r="F47"/>
  <c r="H47"/>
  <c r="C48"/>
  <c r="E48"/>
  <c r="G48"/>
  <c r="D49"/>
  <c r="H49"/>
  <c r="E12"/>
  <c r="B13"/>
  <c r="F13"/>
  <c r="C14"/>
  <c r="G14"/>
  <c r="D15"/>
  <c r="H15"/>
  <c r="E16"/>
  <c r="B17"/>
  <c r="F17"/>
  <c r="C18"/>
  <c r="E18"/>
  <c r="G18"/>
  <c r="B19"/>
  <c r="D19"/>
  <c r="F19"/>
  <c r="H19"/>
  <c r="C20"/>
  <c r="E20"/>
  <c r="G20"/>
  <c r="B21"/>
  <c r="D21"/>
  <c r="F21"/>
  <c r="H21"/>
  <c r="C22"/>
  <c r="E22"/>
  <c r="G22"/>
  <c r="B23"/>
  <c r="D23"/>
  <c r="F23"/>
  <c r="H23"/>
  <c r="C24"/>
  <c r="E24"/>
  <c r="G24"/>
  <c r="B25"/>
  <c r="D25"/>
  <c r="F25"/>
  <c r="H25"/>
  <c r="C26"/>
  <c r="E26"/>
  <c r="G26"/>
  <c r="B27"/>
  <c r="D27"/>
  <c r="F27"/>
  <c r="H27"/>
  <c r="C28"/>
  <c r="E28"/>
  <c r="G28"/>
  <c r="B29"/>
  <c r="D29"/>
  <c r="F29"/>
  <c r="H29"/>
  <c r="C30"/>
  <c r="E30"/>
  <c r="G30"/>
  <c r="B31"/>
  <c r="D31"/>
  <c r="F31"/>
  <c r="H31"/>
  <c r="C32"/>
  <c r="E32"/>
  <c r="G32"/>
  <c r="B33"/>
  <c r="D33"/>
  <c r="F33"/>
  <c r="H33"/>
  <c r="C34"/>
  <c r="E34"/>
  <c r="G34"/>
  <c r="B35"/>
  <c r="D35"/>
  <c r="F35"/>
  <c r="H35"/>
  <c r="C36"/>
  <c r="E36"/>
  <c r="G36"/>
  <c r="B49"/>
  <c r="F49"/>
  <c r="C12"/>
  <c r="G12"/>
  <c r="D13"/>
  <c r="H13"/>
  <c r="E14"/>
  <c r="B15"/>
  <c r="F15"/>
  <c r="C16"/>
  <c r="G16"/>
  <c r="D17"/>
  <c r="H17"/>
  <c r="D18"/>
  <c r="F18"/>
  <c r="H18"/>
  <c r="C19"/>
  <c r="E19"/>
  <c r="G19"/>
  <c r="B20"/>
  <c r="D20"/>
  <c r="F20"/>
  <c r="H20"/>
  <c r="C21"/>
  <c r="E21"/>
  <c r="G21"/>
  <c r="B22"/>
  <c r="D22"/>
  <c r="F22"/>
  <c r="H22"/>
  <c r="C23"/>
  <c r="E23"/>
  <c r="G23"/>
  <c r="B24"/>
  <c r="D24"/>
  <c r="F24"/>
  <c r="H24"/>
  <c r="C25"/>
  <c r="E25"/>
  <c r="G25"/>
  <c r="B26"/>
  <c r="D26"/>
  <c r="F26"/>
  <c r="H26"/>
  <c r="C27"/>
  <c r="E27"/>
  <c r="G27"/>
  <c r="B28"/>
  <c r="D28"/>
  <c r="F28"/>
  <c r="H28"/>
  <c r="C29"/>
  <c r="E29"/>
  <c r="G29"/>
  <c r="B30"/>
  <c r="D30"/>
  <c r="F30"/>
  <c r="H30"/>
  <c r="C31"/>
  <c r="E31"/>
  <c r="G31"/>
  <c r="B32"/>
  <c r="D32"/>
  <c r="F32"/>
  <c r="H32"/>
  <c r="C33"/>
  <c r="E33"/>
  <c r="G33"/>
  <c r="B34"/>
  <c r="D34"/>
  <c r="F34"/>
  <c r="H34"/>
  <c r="C35"/>
  <c r="E35"/>
  <c r="G35"/>
  <c r="B36"/>
  <c r="D36"/>
  <c r="F36"/>
  <c r="H36"/>
  <c r="M8" i="39"/>
  <c r="J19" i="14"/>
  <c r="I19"/>
  <c r="H23"/>
  <c r="G23"/>
  <c r="AW34" i="48" l="1"/>
  <c r="AS34"/>
  <c r="AO34"/>
  <c r="AK34"/>
  <c r="AG34"/>
  <c r="AC34"/>
  <c r="Y34"/>
  <c r="U34"/>
  <c r="Q34"/>
  <c r="M34"/>
  <c r="AU34"/>
  <c r="AQ34"/>
  <c r="AM34"/>
  <c r="AI34"/>
  <c r="AE34"/>
  <c r="AA34"/>
  <c r="W34"/>
  <c r="S34"/>
  <c r="O34"/>
  <c r="K34"/>
  <c r="AV33"/>
  <c r="AR33"/>
  <c r="AN33"/>
  <c r="AJ33"/>
  <c r="AF33"/>
  <c r="AB33"/>
  <c r="X33"/>
  <c r="T33"/>
  <c r="P33"/>
  <c r="L33"/>
  <c r="AT33"/>
  <c r="AP33"/>
  <c r="AL33"/>
  <c r="AH33"/>
  <c r="AD33"/>
  <c r="Z33"/>
  <c r="V33"/>
  <c r="R33"/>
  <c r="N33"/>
  <c r="J33"/>
  <c r="AW26"/>
  <c r="AS26"/>
  <c r="AO26"/>
  <c r="AK26"/>
  <c r="AG26"/>
  <c r="AC26"/>
  <c r="Y26"/>
  <c r="U26"/>
  <c r="Q26"/>
  <c r="M26"/>
  <c r="AU26"/>
  <c r="AQ26"/>
  <c r="AM26"/>
  <c r="AI26"/>
  <c r="AE26"/>
  <c r="AA26"/>
  <c r="W26"/>
  <c r="S26"/>
  <c r="O26"/>
  <c r="K26"/>
  <c r="AV25"/>
  <c r="AR25"/>
  <c r="AN25"/>
  <c r="AJ25"/>
  <c r="AF25"/>
  <c r="AB25"/>
  <c r="X25"/>
  <c r="T25"/>
  <c r="P25"/>
  <c r="L25"/>
  <c r="AT25"/>
  <c r="AP25"/>
  <c r="AL25"/>
  <c r="AH25"/>
  <c r="AD25"/>
  <c r="Z25"/>
  <c r="V25"/>
  <c r="R25"/>
  <c r="N25"/>
  <c r="J25"/>
  <c r="AV21"/>
  <c r="AR21"/>
  <c r="AN21"/>
  <c r="AJ21"/>
  <c r="AF21"/>
  <c r="AB21"/>
  <c r="X21"/>
  <c r="T21"/>
  <c r="P21"/>
  <c r="L21"/>
  <c r="AT21"/>
  <c r="AP21"/>
  <c r="AL21"/>
  <c r="AH21"/>
  <c r="AD21"/>
  <c r="Z21"/>
  <c r="V21"/>
  <c r="R21"/>
  <c r="N21"/>
  <c r="J21"/>
  <c r="AW18"/>
  <c r="AS18"/>
  <c r="AO18"/>
  <c r="AK18"/>
  <c r="AG18"/>
  <c r="AC18"/>
  <c r="Y18"/>
  <c r="U18"/>
  <c r="Q18"/>
  <c r="M18"/>
  <c r="AU18"/>
  <c r="AQ18"/>
  <c r="AM18"/>
  <c r="AI18"/>
  <c r="AE18"/>
  <c r="AA18"/>
  <c r="W18"/>
  <c r="S18"/>
  <c r="O18"/>
  <c r="K18"/>
  <c r="AW13"/>
  <c r="AS13"/>
  <c r="AO13"/>
  <c r="AK13"/>
  <c r="AG13"/>
  <c r="AC13"/>
  <c r="Y13"/>
  <c r="U13"/>
  <c r="Q13"/>
  <c r="M13"/>
  <c r="AQ13"/>
  <c r="AI13"/>
  <c r="AA13"/>
  <c r="S13"/>
  <c r="K13"/>
  <c r="AU13"/>
  <c r="AE13"/>
  <c r="O13"/>
  <c r="AM13"/>
  <c r="W13"/>
  <c r="AV12"/>
  <c r="AR12"/>
  <c r="AN12"/>
  <c r="AJ12"/>
  <c r="AF12"/>
  <c r="AB12"/>
  <c r="X12"/>
  <c r="T12"/>
  <c r="P12"/>
  <c r="L12"/>
  <c r="AP12"/>
  <c r="AH12"/>
  <c r="Z12"/>
  <c r="R12"/>
  <c r="J12"/>
  <c r="AL12"/>
  <c r="V12"/>
  <c r="AT12"/>
  <c r="N12"/>
  <c r="AD12"/>
  <c r="AV36"/>
  <c r="AR36"/>
  <c r="AN36"/>
  <c r="AJ36"/>
  <c r="AF36"/>
  <c r="AB36"/>
  <c r="X36"/>
  <c r="T36"/>
  <c r="P36"/>
  <c r="L36"/>
  <c r="AP36"/>
  <c r="AH36"/>
  <c r="Z36"/>
  <c r="R36"/>
  <c r="J36"/>
  <c r="AL36"/>
  <c r="V36"/>
  <c r="AT36"/>
  <c r="N36"/>
  <c r="AD36"/>
  <c r="AW33"/>
  <c r="AS33"/>
  <c r="AO33"/>
  <c r="AK33"/>
  <c r="AG33"/>
  <c r="AC33"/>
  <c r="Y33"/>
  <c r="U33"/>
  <c r="Q33"/>
  <c r="M33"/>
  <c r="AQ33"/>
  <c r="AI33"/>
  <c r="AA33"/>
  <c r="S33"/>
  <c r="K33"/>
  <c r="AU33"/>
  <c r="AE33"/>
  <c r="O33"/>
  <c r="W33"/>
  <c r="AM33"/>
  <c r="AV32"/>
  <c r="AR32"/>
  <c r="AN32"/>
  <c r="AJ32"/>
  <c r="AF32"/>
  <c r="AB32"/>
  <c r="X32"/>
  <c r="T32"/>
  <c r="P32"/>
  <c r="L32"/>
  <c r="AP32"/>
  <c r="AH32"/>
  <c r="Z32"/>
  <c r="R32"/>
  <c r="J32"/>
  <c r="AL32"/>
  <c r="V32"/>
  <c r="AD32"/>
  <c r="AT32"/>
  <c r="N32"/>
  <c r="AW29"/>
  <c r="AS29"/>
  <c r="AO29"/>
  <c r="AK29"/>
  <c r="AG29"/>
  <c r="AC29"/>
  <c r="Y29"/>
  <c r="U29"/>
  <c r="Q29"/>
  <c r="M29"/>
  <c r="AQ29"/>
  <c r="AI29"/>
  <c r="AA29"/>
  <c r="S29"/>
  <c r="K29"/>
  <c r="AU29"/>
  <c r="AE29"/>
  <c r="O29"/>
  <c r="AM29"/>
  <c r="W29"/>
  <c r="AV28"/>
  <c r="AR28"/>
  <c r="AN28"/>
  <c r="AJ28"/>
  <c r="AF28"/>
  <c r="AB28"/>
  <c r="X28"/>
  <c r="T28"/>
  <c r="P28"/>
  <c r="L28"/>
  <c r="AP28"/>
  <c r="AH28"/>
  <c r="Z28"/>
  <c r="R28"/>
  <c r="J28"/>
  <c r="AL28"/>
  <c r="V28"/>
  <c r="AT28"/>
  <c r="N28"/>
  <c r="AD28"/>
  <c r="AW25"/>
  <c r="AS25"/>
  <c r="AO25"/>
  <c r="AK25"/>
  <c r="AG25"/>
  <c r="AC25"/>
  <c r="Y25"/>
  <c r="U25"/>
  <c r="Q25"/>
  <c r="M25"/>
  <c r="AQ25"/>
  <c r="AI25"/>
  <c r="AA25"/>
  <c r="S25"/>
  <c r="K25"/>
  <c r="AU25"/>
  <c r="AE25"/>
  <c r="O25"/>
  <c r="W25"/>
  <c r="AM25"/>
  <c r="AV24"/>
  <c r="AR24"/>
  <c r="AN24"/>
  <c r="AJ24"/>
  <c r="AF24"/>
  <c r="AB24"/>
  <c r="X24"/>
  <c r="T24"/>
  <c r="P24"/>
  <c r="L24"/>
  <c r="AP24"/>
  <c r="AH24"/>
  <c r="Z24"/>
  <c r="R24"/>
  <c r="J24"/>
  <c r="AL24"/>
  <c r="V24"/>
  <c r="AD24"/>
  <c r="AT24"/>
  <c r="N24"/>
  <c r="AW21"/>
  <c r="AS21"/>
  <c r="AO21"/>
  <c r="AK21"/>
  <c r="AG21"/>
  <c r="AC21"/>
  <c r="Y21"/>
  <c r="U21"/>
  <c r="Q21"/>
  <c r="M21"/>
  <c r="AQ21"/>
  <c r="AI21"/>
  <c r="AA21"/>
  <c r="S21"/>
  <c r="K21"/>
  <c r="AU21"/>
  <c r="AE21"/>
  <c r="O21"/>
  <c r="AM21"/>
  <c r="W21"/>
  <c r="AV20"/>
  <c r="AR20"/>
  <c r="AN20"/>
  <c r="AJ20"/>
  <c r="AF20"/>
  <c r="AB20"/>
  <c r="X20"/>
  <c r="T20"/>
  <c r="P20"/>
  <c r="L20"/>
  <c r="AP20"/>
  <c r="AH20"/>
  <c r="Z20"/>
  <c r="R20"/>
  <c r="J20"/>
  <c r="AL20"/>
  <c r="V20"/>
  <c r="AT20"/>
  <c r="N20"/>
  <c r="AD20"/>
  <c r="AW49"/>
  <c r="AS49"/>
  <c r="AO49"/>
  <c r="AK49"/>
  <c r="AG49"/>
  <c r="AC49"/>
  <c r="Y49"/>
  <c r="U49"/>
  <c r="Q49"/>
  <c r="M49"/>
  <c r="AQ49"/>
  <c r="AI49"/>
  <c r="AA49"/>
  <c r="S49"/>
  <c r="K49"/>
  <c r="AM49"/>
  <c r="W49"/>
  <c r="AU49"/>
  <c r="AE49"/>
  <c r="O49"/>
  <c r="AV48"/>
  <c r="AR48"/>
  <c r="AN48"/>
  <c r="AJ48"/>
  <c r="AF48"/>
  <c r="AB48"/>
  <c r="X48"/>
  <c r="T48"/>
  <c r="P48"/>
  <c r="L48"/>
  <c r="AP48"/>
  <c r="AH48"/>
  <c r="Z48"/>
  <c r="R48"/>
  <c r="J48"/>
  <c r="AT48"/>
  <c r="AD48"/>
  <c r="AL48"/>
  <c r="V48"/>
  <c r="N48"/>
  <c r="AW45"/>
  <c r="AS45"/>
  <c r="AO45"/>
  <c r="AK45"/>
  <c r="AG45"/>
  <c r="AC45"/>
  <c r="Y45"/>
  <c r="U45"/>
  <c r="Q45"/>
  <c r="M45"/>
  <c r="AQ45"/>
  <c r="AI45"/>
  <c r="AA45"/>
  <c r="S45"/>
  <c r="K45"/>
  <c r="AU45"/>
  <c r="AE45"/>
  <c r="O45"/>
  <c r="AM45"/>
  <c r="W45"/>
  <c r="AV44"/>
  <c r="AR44"/>
  <c r="AN44"/>
  <c r="AJ44"/>
  <c r="AF44"/>
  <c r="AB44"/>
  <c r="X44"/>
  <c r="T44"/>
  <c r="P44"/>
  <c r="L44"/>
  <c r="AP44"/>
  <c r="AH44"/>
  <c r="Z44"/>
  <c r="R44"/>
  <c r="J44"/>
  <c r="AL44"/>
  <c r="V44"/>
  <c r="AT44"/>
  <c r="N44"/>
  <c r="AD44"/>
  <c r="AW41"/>
  <c r="AS41"/>
  <c r="AO41"/>
  <c r="AK41"/>
  <c r="AG41"/>
  <c r="AC41"/>
  <c r="Y41"/>
  <c r="U41"/>
  <c r="Q41"/>
  <c r="M41"/>
  <c r="AQ41"/>
  <c r="AI41"/>
  <c r="AA41"/>
  <c r="S41"/>
  <c r="K41"/>
  <c r="AU41"/>
  <c r="AE41"/>
  <c r="O41"/>
  <c r="W41"/>
  <c r="AM41"/>
  <c r="AV40"/>
  <c r="AR40"/>
  <c r="AN40"/>
  <c r="AJ40"/>
  <c r="AF40"/>
  <c r="AB40"/>
  <c r="X40"/>
  <c r="T40"/>
  <c r="P40"/>
  <c r="L40"/>
  <c r="AP40"/>
  <c r="AH40"/>
  <c r="Z40"/>
  <c r="R40"/>
  <c r="J40"/>
  <c r="AL40"/>
  <c r="V40"/>
  <c r="AD40"/>
  <c r="AT40"/>
  <c r="N40"/>
  <c r="AW37"/>
  <c r="AS37"/>
  <c r="AO37"/>
  <c r="AK37"/>
  <c r="AG37"/>
  <c r="AC37"/>
  <c r="Y37"/>
  <c r="U37"/>
  <c r="Q37"/>
  <c r="M37"/>
  <c r="AQ37"/>
  <c r="AI37"/>
  <c r="AA37"/>
  <c r="S37"/>
  <c r="K37"/>
  <c r="AU37"/>
  <c r="AE37"/>
  <c r="O37"/>
  <c r="AM37"/>
  <c r="W37"/>
  <c r="AT54"/>
  <c r="AP54"/>
  <c r="AL54"/>
  <c r="AH54"/>
  <c r="AD54"/>
  <c r="Z54"/>
  <c r="V54"/>
  <c r="R54"/>
  <c r="N54"/>
  <c r="J54"/>
  <c r="AV54"/>
  <c r="AN54"/>
  <c r="AF54"/>
  <c r="X54"/>
  <c r="P54"/>
  <c r="AR54"/>
  <c r="AB54"/>
  <c r="L54"/>
  <c r="AJ54"/>
  <c r="T54"/>
  <c r="AU51"/>
  <c r="AQ51"/>
  <c r="AM51"/>
  <c r="AI51"/>
  <c r="AE51"/>
  <c r="AA51"/>
  <c r="W51"/>
  <c r="S51"/>
  <c r="O51"/>
  <c r="K51"/>
  <c r="AW51"/>
  <c r="AO51"/>
  <c r="AG51"/>
  <c r="Y51"/>
  <c r="Q51"/>
  <c r="AK51"/>
  <c r="U51"/>
  <c r="AS51"/>
  <c r="AC51"/>
  <c r="M51"/>
  <c r="AT50"/>
  <c r="AP50"/>
  <c r="AL50"/>
  <c r="AH50"/>
  <c r="AD50"/>
  <c r="Z50"/>
  <c r="V50"/>
  <c r="R50"/>
  <c r="N50"/>
  <c r="J50"/>
  <c r="AV50"/>
  <c r="AN50"/>
  <c r="AF50"/>
  <c r="X50"/>
  <c r="P50"/>
  <c r="AR50"/>
  <c r="AB50"/>
  <c r="L50"/>
  <c r="AJ50"/>
  <c r="T50"/>
  <c r="AW31" i="49"/>
  <c r="AS31"/>
  <c r="AO31"/>
  <c r="AK31"/>
  <c r="AG31"/>
  <c r="AC31"/>
  <c r="Y31"/>
  <c r="U31"/>
  <c r="Q31"/>
  <c r="M31"/>
  <c r="AU31"/>
  <c r="AQ31"/>
  <c r="AM31"/>
  <c r="AI31"/>
  <c r="AE31"/>
  <c r="AA31"/>
  <c r="W31"/>
  <c r="S31"/>
  <c r="O31"/>
  <c r="K31"/>
  <c r="AV30"/>
  <c r="AR30"/>
  <c r="AN30"/>
  <c r="AJ30"/>
  <c r="AF30"/>
  <c r="AB30"/>
  <c r="X30"/>
  <c r="T30"/>
  <c r="P30"/>
  <c r="L30"/>
  <c r="AT30"/>
  <c r="AP30"/>
  <c r="AL30"/>
  <c r="AH30"/>
  <c r="AD30"/>
  <c r="Z30"/>
  <c r="V30"/>
  <c r="R30"/>
  <c r="N30"/>
  <c r="J30"/>
  <c r="AW27"/>
  <c r="AS27"/>
  <c r="AO27"/>
  <c r="AK27"/>
  <c r="AG27"/>
  <c r="AC27"/>
  <c r="Y27"/>
  <c r="U27"/>
  <c r="Q27"/>
  <c r="M27"/>
  <c r="AU27"/>
  <c r="AQ27"/>
  <c r="AM27"/>
  <c r="AI27"/>
  <c r="AE27"/>
  <c r="AA27"/>
  <c r="W27"/>
  <c r="S27"/>
  <c r="O27"/>
  <c r="K27"/>
  <c r="AV26"/>
  <c r="AR26"/>
  <c r="AN26"/>
  <c r="AJ26"/>
  <c r="AF26"/>
  <c r="AB26"/>
  <c r="X26"/>
  <c r="T26"/>
  <c r="P26"/>
  <c r="L26"/>
  <c r="AT26"/>
  <c r="AP26"/>
  <c r="AL26"/>
  <c r="AH26"/>
  <c r="AD26"/>
  <c r="Z26"/>
  <c r="V26"/>
  <c r="R26"/>
  <c r="N26"/>
  <c r="J26"/>
  <c r="AW23"/>
  <c r="AS23"/>
  <c r="AO23"/>
  <c r="AK23"/>
  <c r="AG23"/>
  <c r="AC23"/>
  <c r="Y23"/>
  <c r="U23"/>
  <c r="Q23"/>
  <c r="M23"/>
  <c r="AU23"/>
  <c r="AQ23"/>
  <c r="AM23"/>
  <c r="AI23"/>
  <c r="AE23"/>
  <c r="AA23"/>
  <c r="W23"/>
  <c r="S23"/>
  <c r="O23"/>
  <c r="K23"/>
  <c r="AV22"/>
  <c r="AR22"/>
  <c r="AN22"/>
  <c r="AJ22"/>
  <c r="AF22"/>
  <c r="AB22"/>
  <c r="X22"/>
  <c r="T22"/>
  <c r="P22"/>
  <c r="L22"/>
  <c r="AT22"/>
  <c r="AP22"/>
  <c r="AL22"/>
  <c r="AH22"/>
  <c r="AD22"/>
  <c r="Z22"/>
  <c r="V22"/>
  <c r="R22"/>
  <c r="N22"/>
  <c r="J22"/>
  <c r="AW19"/>
  <c r="AS19"/>
  <c r="AO19"/>
  <c r="AK19"/>
  <c r="AG19"/>
  <c r="AC19"/>
  <c r="Y19"/>
  <c r="U19"/>
  <c r="Q19"/>
  <c r="M19"/>
  <c r="AU19"/>
  <c r="AQ19"/>
  <c r="AM19"/>
  <c r="AI19"/>
  <c r="AE19"/>
  <c r="AA19"/>
  <c r="W19"/>
  <c r="S19"/>
  <c r="O19"/>
  <c r="K19"/>
  <c r="AV18"/>
  <c r="AR18"/>
  <c r="AN18"/>
  <c r="AJ18"/>
  <c r="AF18"/>
  <c r="AB18"/>
  <c r="X18"/>
  <c r="T18"/>
  <c r="P18"/>
  <c r="L18"/>
  <c r="AT18"/>
  <c r="AP18"/>
  <c r="AL18"/>
  <c r="AH18"/>
  <c r="AD18"/>
  <c r="Z18"/>
  <c r="V18"/>
  <c r="R18"/>
  <c r="N18"/>
  <c r="J18"/>
  <c r="AW15"/>
  <c r="AS15"/>
  <c r="AO15"/>
  <c r="AK15"/>
  <c r="AG15"/>
  <c r="AC15"/>
  <c r="Y15"/>
  <c r="U15"/>
  <c r="Q15"/>
  <c r="M15"/>
  <c r="AU15"/>
  <c r="AQ15"/>
  <c r="AM15"/>
  <c r="AI15"/>
  <c r="AE15"/>
  <c r="AA15"/>
  <c r="W15"/>
  <c r="S15"/>
  <c r="O15"/>
  <c r="K15"/>
  <c r="AV14"/>
  <c r="AR14"/>
  <c r="AN14"/>
  <c r="AJ14"/>
  <c r="AF14"/>
  <c r="AB14"/>
  <c r="X14"/>
  <c r="T14"/>
  <c r="P14"/>
  <c r="L14"/>
  <c r="AT14"/>
  <c r="AP14"/>
  <c r="AL14"/>
  <c r="AH14"/>
  <c r="AD14"/>
  <c r="Z14"/>
  <c r="V14"/>
  <c r="R14"/>
  <c r="N14"/>
  <c r="J14"/>
  <c r="AW26" i="50"/>
  <c r="AS26"/>
  <c r="AO26"/>
  <c r="AK26"/>
  <c r="AG26"/>
  <c r="AC26"/>
  <c r="Y26"/>
  <c r="U26"/>
  <c r="Q26"/>
  <c r="M26"/>
  <c r="AU26"/>
  <c r="AQ26"/>
  <c r="AM26"/>
  <c r="AI26"/>
  <c r="AE26"/>
  <c r="AA26"/>
  <c r="W26"/>
  <c r="S26"/>
  <c r="O26"/>
  <c r="K26"/>
  <c r="AV25"/>
  <c r="AR25"/>
  <c r="AN25"/>
  <c r="AJ25"/>
  <c r="AF25"/>
  <c r="AB25"/>
  <c r="X25"/>
  <c r="T25"/>
  <c r="P25"/>
  <c r="L25"/>
  <c r="AT25"/>
  <c r="AP25"/>
  <c r="AL25"/>
  <c r="AH25"/>
  <c r="AD25"/>
  <c r="Z25"/>
  <c r="V25"/>
  <c r="R25"/>
  <c r="N25"/>
  <c r="J25"/>
  <c r="AW22"/>
  <c r="AS22"/>
  <c r="AO22"/>
  <c r="AK22"/>
  <c r="AG22"/>
  <c r="AC22"/>
  <c r="Y22"/>
  <c r="U22"/>
  <c r="Q22"/>
  <c r="M22"/>
  <c r="AU22"/>
  <c r="AQ22"/>
  <c r="AM22"/>
  <c r="AI22"/>
  <c r="AE22"/>
  <c r="AA22"/>
  <c r="W22"/>
  <c r="S22"/>
  <c r="O22"/>
  <c r="K22"/>
  <c r="AV21"/>
  <c r="AR21"/>
  <c r="AN21"/>
  <c r="AJ21"/>
  <c r="AF21"/>
  <c r="AB21"/>
  <c r="X21"/>
  <c r="T21"/>
  <c r="P21"/>
  <c r="L21"/>
  <c r="AT21"/>
  <c r="AP21"/>
  <c r="AL21"/>
  <c r="AH21"/>
  <c r="AD21"/>
  <c r="Z21"/>
  <c r="V21"/>
  <c r="R21"/>
  <c r="N21"/>
  <c r="J21"/>
  <c r="AW18"/>
  <c r="AS18"/>
  <c r="AO18"/>
  <c r="AK18"/>
  <c r="AG18"/>
  <c r="AC18"/>
  <c r="Y18"/>
  <c r="U18"/>
  <c r="Q18"/>
  <c r="M18"/>
  <c r="AU18"/>
  <c r="AQ18"/>
  <c r="AM18"/>
  <c r="AI18"/>
  <c r="AE18"/>
  <c r="AA18"/>
  <c r="W18"/>
  <c r="S18"/>
  <c r="O18"/>
  <c r="K18"/>
  <c r="AV17"/>
  <c r="AR17"/>
  <c r="AN17"/>
  <c r="AJ17"/>
  <c r="AF17"/>
  <c r="AB17"/>
  <c r="X17"/>
  <c r="T17"/>
  <c r="P17"/>
  <c r="L17"/>
  <c r="AT17"/>
  <c r="AP17"/>
  <c r="AL17"/>
  <c r="AH17"/>
  <c r="AD17"/>
  <c r="Z17"/>
  <c r="V17"/>
  <c r="R17"/>
  <c r="N17"/>
  <c r="J17"/>
  <c r="AW14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W22" i="51"/>
  <c r="AS22"/>
  <c r="AO22"/>
  <c r="AK22"/>
  <c r="AG22"/>
  <c r="AC22"/>
  <c r="Y22"/>
  <c r="U22"/>
  <c r="Q22"/>
  <c r="M22"/>
  <c r="AU22"/>
  <c r="AQ22"/>
  <c r="AM22"/>
  <c r="AI22"/>
  <c r="AE22"/>
  <c r="AA22"/>
  <c r="W22"/>
  <c r="S22"/>
  <c r="O22"/>
  <c r="K22"/>
  <c r="AV21"/>
  <c r="AR21"/>
  <c r="AN21"/>
  <c r="AJ21"/>
  <c r="AF21"/>
  <c r="AB21"/>
  <c r="X21"/>
  <c r="T21"/>
  <c r="P21"/>
  <c r="L21"/>
  <c r="AT21"/>
  <c r="AP21"/>
  <c r="AL21"/>
  <c r="AH21"/>
  <c r="AD21"/>
  <c r="Z21"/>
  <c r="V21"/>
  <c r="R21"/>
  <c r="N21"/>
  <c r="J21"/>
  <c r="AW18"/>
  <c r="AS18"/>
  <c r="AO18"/>
  <c r="AK18"/>
  <c r="AG18"/>
  <c r="AC18"/>
  <c r="Y18"/>
  <c r="U18"/>
  <c r="Q18"/>
  <c r="M18"/>
  <c r="AU18"/>
  <c r="AQ18"/>
  <c r="AM18"/>
  <c r="AI18"/>
  <c r="AE18"/>
  <c r="AA18"/>
  <c r="W18"/>
  <c r="S18"/>
  <c r="O18"/>
  <c r="K18"/>
  <c r="AV17"/>
  <c r="AR17"/>
  <c r="AN17"/>
  <c r="AJ17"/>
  <c r="AF17"/>
  <c r="AB17"/>
  <c r="X17"/>
  <c r="T17"/>
  <c r="P17"/>
  <c r="L17"/>
  <c r="AT17"/>
  <c r="AP17"/>
  <c r="AL17"/>
  <c r="AH17"/>
  <c r="AD17"/>
  <c r="Z17"/>
  <c r="V17"/>
  <c r="R17"/>
  <c r="N17"/>
  <c r="J17"/>
  <c r="AW14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V17" i="48"/>
  <c r="AR17"/>
  <c r="AN17"/>
  <c r="AJ17"/>
  <c r="AF17"/>
  <c r="AB17"/>
  <c r="X17"/>
  <c r="T17"/>
  <c r="P17"/>
  <c r="L17"/>
  <c r="AT17"/>
  <c r="AP17"/>
  <c r="AL17"/>
  <c r="AH17"/>
  <c r="AD17"/>
  <c r="Z17"/>
  <c r="V17"/>
  <c r="R17"/>
  <c r="N17"/>
  <c r="J17"/>
  <c r="AW14"/>
  <c r="AS14"/>
  <c r="AO14"/>
  <c r="AK14"/>
  <c r="AG14"/>
  <c r="AC14"/>
  <c r="Y14"/>
  <c r="U14"/>
  <c r="Q14"/>
  <c r="M14"/>
  <c r="AU14"/>
  <c r="AQ14"/>
  <c r="AM14"/>
  <c r="AI14"/>
  <c r="AE14"/>
  <c r="AA14"/>
  <c r="W14"/>
  <c r="S14"/>
  <c r="O14"/>
  <c r="K14"/>
  <c r="AV13"/>
  <c r="AR13"/>
  <c r="AN13"/>
  <c r="AJ13"/>
  <c r="AF13"/>
  <c r="AB13"/>
  <c r="X13"/>
  <c r="T13"/>
  <c r="P13"/>
  <c r="L13"/>
  <c r="AT13"/>
  <c r="AP13"/>
  <c r="AL13"/>
  <c r="AH13"/>
  <c r="AD13"/>
  <c r="Z13"/>
  <c r="V13"/>
  <c r="R13"/>
  <c r="N13"/>
  <c r="J13"/>
  <c r="AU48"/>
  <c r="AQ48"/>
  <c r="AM48"/>
  <c r="AI48"/>
  <c r="AE48"/>
  <c r="AA48"/>
  <c r="W48"/>
  <c r="S48"/>
  <c r="O48"/>
  <c r="K48"/>
  <c r="AW48"/>
  <c r="AO48"/>
  <c r="AG48"/>
  <c r="Y48"/>
  <c r="Q48"/>
  <c r="AK48"/>
  <c r="U48"/>
  <c r="AS48"/>
  <c r="AC48"/>
  <c r="M48"/>
  <c r="AT47"/>
  <c r="AP47"/>
  <c r="AL47"/>
  <c r="AH47"/>
  <c r="AD47"/>
  <c r="Z47"/>
  <c r="V47"/>
  <c r="R47"/>
  <c r="N47"/>
  <c r="J47"/>
  <c r="AV47"/>
  <c r="AN47"/>
  <c r="AF47"/>
  <c r="X47"/>
  <c r="P47"/>
  <c r="AR47"/>
  <c r="AB47"/>
  <c r="L47"/>
  <c r="AJ47"/>
  <c r="T47"/>
  <c r="AU44"/>
  <c r="AQ44"/>
  <c r="AM44"/>
  <c r="AI44"/>
  <c r="AE44"/>
  <c r="AA44"/>
  <c r="W44"/>
  <c r="S44"/>
  <c r="O44"/>
  <c r="K44"/>
  <c r="AW44"/>
  <c r="AO44"/>
  <c r="AG44"/>
  <c r="Y44"/>
  <c r="Q44"/>
  <c r="AK44"/>
  <c r="U44"/>
  <c r="AS44"/>
  <c r="AC44"/>
  <c r="M44"/>
  <c r="AT43"/>
  <c r="AP43"/>
  <c r="AL43"/>
  <c r="AH43"/>
  <c r="AD43"/>
  <c r="Z43"/>
  <c r="V43"/>
  <c r="R43"/>
  <c r="N43"/>
  <c r="J43"/>
  <c r="AV43"/>
  <c r="AN43"/>
  <c r="AF43"/>
  <c r="X43"/>
  <c r="P43"/>
  <c r="AR43"/>
  <c r="AB43"/>
  <c r="L43"/>
  <c r="AJ43"/>
  <c r="T43"/>
  <c r="AU40"/>
  <c r="AQ40"/>
  <c r="AM40"/>
  <c r="AI40"/>
  <c r="AE40"/>
  <c r="AA40"/>
  <c r="W40"/>
  <c r="S40"/>
  <c r="O40"/>
  <c r="K40"/>
  <c r="AW40"/>
  <c r="AO40"/>
  <c r="AG40"/>
  <c r="Y40"/>
  <c r="Q40"/>
  <c r="AK40"/>
  <c r="U40"/>
  <c r="AS40"/>
  <c r="AC40"/>
  <c r="M40"/>
  <c r="AT39"/>
  <c r="AP39"/>
  <c r="AL39"/>
  <c r="AH39"/>
  <c r="AD39"/>
  <c r="Z39"/>
  <c r="V39"/>
  <c r="R39"/>
  <c r="N39"/>
  <c r="J39"/>
  <c r="AV39"/>
  <c r="AN39"/>
  <c r="AF39"/>
  <c r="X39"/>
  <c r="P39"/>
  <c r="AR39"/>
  <c r="AB39"/>
  <c r="L39"/>
  <c r="AJ39"/>
  <c r="T39"/>
  <c r="AW54"/>
  <c r="AS54"/>
  <c r="AO54"/>
  <c r="AK54"/>
  <c r="AG54"/>
  <c r="AC54"/>
  <c r="Y54"/>
  <c r="U54"/>
  <c r="Q54"/>
  <c r="M54"/>
  <c r="AU54"/>
  <c r="AM54"/>
  <c r="AE54"/>
  <c r="W54"/>
  <c r="O54"/>
  <c r="AQ54"/>
  <c r="AI54"/>
  <c r="AA54"/>
  <c r="S54"/>
  <c r="K54"/>
  <c r="AV53"/>
  <c r="AR53"/>
  <c r="AN53"/>
  <c r="AJ53"/>
  <c r="AF53"/>
  <c r="AB53"/>
  <c r="X53"/>
  <c r="T53"/>
  <c r="P53"/>
  <c r="L53"/>
  <c r="AT53"/>
  <c r="AL53"/>
  <c r="AD53"/>
  <c r="V53"/>
  <c r="N53"/>
  <c r="AP53"/>
  <c r="AH53"/>
  <c r="Z53"/>
  <c r="R53"/>
  <c r="J53"/>
  <c r="AW50"/>
  <c r="AS50"/>
  <c r="AO50"/>
  <c r="AK50"/>
  <c r="AG50"/>
  <c r="AC50"/>
  <c r="Y50"/>
  <c r="U50"/>
  <c r="Q50"/>
  <c r="M50"/>
  <c r="AU50"/>
  <c r="AM50"/>
  <c r="AE50"/>
  <c r="W50"/>
  <c r="O50"/>
  <c r="AQ50"/>
  <c r="AI50"/>
  <c r="AA50"/>
  <c r="S50"/>
  <c r="K50"/>
  <c r="AV33" i="49"/>
  <c r="AR33"/>
  <c r="AN33"/>
  <c r="AJ33"/>
  <c r="AF33"/>
  <c r="AB33"/>
  <c r="X33"/>
  <c r="T33"/>
  <c r="P33"/>
  <c r="L33"/>
  <c r="AP33"/>
  <c r="AH33"/>
  <c r="Z33"/>
  <c r="R33"/>
  <c r="J33"/>
  <c r="AT33"/>
  <c r="AD33"/>
  <c r="N33"/>
  <c r="V33"/>
  <c r="AL33"/>
  <c r="AW30"/>
  <c r="AS30"/>
  <c r="AO30"/>
  <c r="AK30"/>
  <c r="AG30"/>
  <c r="AC30"/>
  <c r="Y30"/>
  <c r="U30"/>
  <c r="Q30"/>
  <c r="M30"/>
  <c r="AQ30"/>
  <c r="AI30"/>
  <c r="AA30"/>
  <c r="S30"/>
  <c r="K30"/>
  <c r="AM30"/>
  <c r="W30"/>
  <c r="AE30"/>
  <c r="AU30"/>
  <c r="O30"/>
  <c r="AV29"/>
  <c r="AR29"/>
  <c r="AN29"/>
  <c r="AJ29"/>
  <c r="AF29"/>
  <c r="AB29"/>
  <c r="X29"/>
  <c r="T29"/>
  <c r="P29"/>
  <c r="L29"/>
  <c r="AP29"/>
  <c r="AH29"/>
  <c r="Z29"/>
  <c r="R29"/>
  <c r="J29"/>
  <c r="AT29"/>
  <c r="AD29"/>
  <c r="N29"/>
  <c r="AL29"/>
  <c r="V29"/>
  <c r="AW26"/>
  <c r="AS26"/>
  <c r="AO26"/>
  <c r="AK26"/>
  <c r="AG26"/>
  <c r="AC26"/>
  <c r="AQ26"/>
  <c r="AI26"/>
  <c r="AA26"/>
  <c r="W26"/>
  <c r="S26"/>
  <c r="O26"/>
  <c r="K26"/>
  <c r="AM26"/>
  <c r="Y26"/>
  <c r="Q26"/>
  <c r="AU26"/>
  <c r="U26"/>
  <c r="AE26"/>
  <c r="M26"/>
  <c r="AT25"/>
  <c r="AP25"/>
  <c r="AL25"/>
  <c r="AH25"/>
  <c r="AD25"/>
  <c r="Z25"/>
  <c r="V25"/>
  <c r="R25"/>
  <c r="N25"/>
  <c r="J25"/>
  <c r="AV25"/>
  <c r="AN25"/>
  <c r="AF25"/>
  <c r="X25"/>
  <c r="P25"/>
  <c r="AR25"/>
  <c r="AB25"/>
  <c r="L25"/>
  <c r="AJ25"/>
  <c r="T25"/>
  <c r="AU22"/>
  <c r="AQ22"/>
  <c r="AM22"/>
  <c r="AI22"/>
  <c r="AE22"/>
  <c r="AA22"/>
  <c r="W22"/>
  <c r="S22"/>
  <c r="O22"/>
  <c r="K22"/>
  <c r="AW22"/>
  <c r="AO22"/>
  <c r="AG22"/>
  <c r="Y22"/>
  <c r="Q22"/>
  <c r="AK22"/>
  <c r="U22"/>
  <c r="AS22"/>
  <c r="AC22"/>
  <c r="M22"/>
  <c r="AT21"/>
  <c r="AP21"/>
  <c r="AL21"/>
  <c r="AH21"/>
  <c r="AD21"/>
  <c r="Z21"/>
  <c r="V21"/>
  <c r="R21"/>
  <c r="N21"/>
  <c r="J21"/>
  <c r="AV21"/>
  <c r="AN21"/>
  <c r="AF21"/>
  <c r="X21"/>
  <c r="P21"/>
  <c r="AR21"/>
  <c r="AB21"/>
  <c r="L21"/>
  <c r="AJ21"/>
  <c r="T21"/>
  <c r="AU18"/>
  <c r="AQ18"/>
  <c r="AM18"/>
  <c r="AI18"/>
  <c r="AE18"/>
  <c r="AA18"/>
  <c r="W18"/>
  <c r="S18"/>
  <c r="O18"/>
  <c r="K18"/>
  <c r="AW18"/>
  <c r="AO18"/>
  <c r="AG18"/>
  <c r="Y18"/>
  <c r="Q18"/>
  <c r="AK18"/>
  <c r="U18"/>
  <c r="AS18"/>
  <c r="AC18"/>
  <c r="M18"/>
  <c r="AT17"/>
  <c r="AP17"/>
  <c r="AL17"/>
  <c r="AH17"/>
  <c r="AD17"/>
  <c r="Z17"/>
  <c r="V17"/>
  <c r="R17"/>
  <c r="N17"/>
  <c r="J17"/>
  <c r="AV17"/>
  <c r="AN17"/>
  <c r="AF17"/>
  <c r="X17"/>
  <c r="P17"/>
  <c r="AR17"/>
  <c r="AB17"/>
  <c r="L17"/>
  <c r="AJ17"/>
  <c r="T17"/>
  <c r="AU14"/>
  <c r="AQ14"/>
  <c r="AM14"/>
  <c r="AI14"/>
  <c r="AE14"/>
  <c r="AA14"/>
  <c r="W14"/>
  <c r="S14"/>
  <c r="O14"/>
  <c r="K14"/>
  <c r="AW14"/>
  <c r="AO14"/>
  <c r="AG14"/>
  <c r="Y14"/>
  <c r="Q14"/>
  <c r="AK14"/>
  <c r="U14"/>
  <c r="AS14"/>
  <c r="AC14"/>
  <c r="M14"/>
  <c r="AT13"/>
  <c r="AP13"/>
  <c r="AL13"/>
  <c r="AH13"/>
  <c r="AD13"/>
  <c r="Z13"/>
  <c r="V13"/>
  <c r="R13"/>
  <c r="N13"/>
  <c r="J13"/>
  <c r="AV13"/>
  <c r="AN13"/>
  <c r="AF13"/>
  <c r="X13"/>
  <c r="P13"/>
  <c r="AR13"/>
  <c r="AB13"/>
  <c r="L13"/>
  <c r="AJ13"/>
  <c r="T13"/>
  <c r="AW25" i="50"/>
  <c r="AS25"/>
  <c r="AO25"/>
  <c r="AK25"/>
  <c r="AG25"/>
  <c r="AC25"/>
  <c r="Y25"/>
  <c r="U25"/>
  <c r="Q25"/>
  <c r="M25"/>
  <c r="AU25"/>
  <c r="AQ25"/>
  <c r="AM25"/>
  <c r="AI25"/>
  <c r="AE25"/>
  <c r="AA25"/>
  <c r="W25"/>
  <c r="S25"/>
  <c r="O25"/>
  <c r="K25"/>
  <c r="AV24"/>
  <c r="AR24"/>
  <c r="AN24"/>
  <c r="AJ24"/>
  <c r="AF24"/>
  <c r="AB24"/>
  <c r="X24"/>
  <c r="T24"/>
  <c r="P24"/>
  <c r="L24"/>
  <c r="AT24"/>
  <c r="AP24"/>
  <c r="AL24"/>
  <c r="AH24"/>
  <c r="AD24"/>
  <c r="Z24"/>
  <c r="V24"/>
  <c r="R24"/>
  <c r="N24"/>
  <c r="J24"/>
  <c r="AW21"/>
  <c r="AS21"/>
  <c r="AO21"/>
  <c r="AK21"/>
  <c r="AG21"/>
  <c r="AC21"/>
  <c r="Y21"/>
  <c r="U21"/>
  <c r="Q21"/>
  <c r="M21"/>
  <c r="AU21"/>
  <c r="AQ21"/>
  <c r="AM21"/>
  <c r="AI21"/>
  <c r="AE21"/>
  <c r="AA21"/>
  <c r="W21"/>
  <c r="S21"/>
  <c r="O21"/>
  <c r="K21"/>
  <c r="AV20"/>
  <c r="AR20"/>
  <c r="AN20"/>
  <c r="AJ20"/>
  <c r="AF20"/>
  <c r="AB20"/>
  <c r="X20"/>
  <c r="T20"/>
  <c r="P20"/>
  <c r="L20"/>
  <c r="AT20"/>
  <c r="AP20"/>
  <c r="AL20"/>
  <c r="AH20"/>
  <c r="AD20"/>
  <c r="Z20"/>
  <c r="V20"/>
  <c r="R20"/>
  <c r="N20"/>
  <c r="J20"/>
  <c r="AW17"/>
  <c r="AS17"/>
  <c r="AO17"/>
  <c r="AK17"/>
  <c r="AG17"/>
  <c r="AC17"/>
  <c r="Y17"/>
  <c r="U17"/>
  <c r="Q17"/>
  <c r="M17"/>
  <c r="AU17"/>
  <c r="AQ17"/>
  <c r="AM17"/>
  <c r="AI17"/>
  <c r="AE17"/>
  <c r="AA17"/>
  <c r="W17"/>
  <c r="S17"/>
  <c r="O17"/>
  <c r="K17"/>
  <c r="AV16"/>
  <c r="AR16"/>
  <c r="AN16"/>
  <c r="AJ16"/>
  <c r="AF16"/>
  <c r="AB16"/>
  <c r="X16"/>
  <c r="T16"/>
  <c r="P16"/>
  <c r="L16"/>
  <c r="AT16"/>
  <c r="AP16"/>
  <c r="AL16"/>
  <c r="AH16"/>
  <c r="AD16"/>
  <c r="Z16"/>
  <c r="V16"/>
  <c r="R16"/>
  <c r="N16"/>
  <c r="J16"/>
  <c r="AW13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W21" i="51"/>
  <c r="AS21"/>
  <c r="AO21"/>
  <c r="AK21"/>
  <c r="AG21"/>
  <c r="AC21"/>
  <c r="Y21"/>
  <c r="U21"/>
  <c r="Q21"/>
  <c r="M21"/>
  <c r="AU21"/>
  <c r="AQ21"/>
  <c r="AM21"/>
  <c r="AI21"/>
  <c r="AE21"/>
  <c r="AA21"/>
  <c r="W21"/>
  <c r="S21"/>
  <c r="O21"/>
  <c r="K21"/>
  <c r="AV20"/>
  <c r="AR20"/>
  <c r="AN20"/>
  <c r="AJ20"/>
  <c r="AF20"/>
  <c r="AB20"/>
  <c r="X20"/>
  <c r="T20"/>
  <c r="P20"/>
  <c r="L20"/>
  <c r="AT20"/>
  <c r="AP20"/>
  <c r="AL20"/>
  <c r="AH20"/>
  <c r="AD20"/>
  <c r="Z20"/>
  <c r="V20"/>
  <c r="R20"/>
  <c r="N20"/>
  <c r="J20"/>
  <c r="AW17"/>
  <c r="AS17"/>
  <c r="AO17"/>
  <c r="AK17"/>
  <c r="AG17"/>
  <c r="AC17"/>
  <c r="Y17"/>
  <c r="U17"/>
  <c r="Q17"/>
  <c r="M17"/>
  <c r="AU17"/>
  <c r="AQ17"/>
  <c r="AM17"/>
  <c r="AI17"/>
  <c r="AE17"/>
  <c r="AA17"/>
  <c r="W17"/>
  <c r="S17"/>
  <c r="O17"/>
  <c r="K17"/>
  <c r="AV16"/>
  <c r="AR16"/>
  <c r="AN16"/>
  <c r="AJ16"/>
  <c r="AF16"/>
  <c r="AB16"/>
  <c r="X16"/>
  <c r="T16"/>
  <c r="P16"/>
  <c r="L16"/>
  <c r="AT16"/>
  <c r="AP16"/>
  <c r="AL16"/>
  <c r="AH16"/>
  <c r="AD16"/>
  <c r="Z16"/>
  <c r="V16"/>
  <c r="R16"/>
  <c r="N16"/>
  <c r="J16"/>
  <c r="AW13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W30" i="48"/>
  <c r="AS30"/>
  <c r="AO30"/>
  <c r="AK30"/>
  <c r="AG30"/>
  <c r="AC30"/>
  <c r="Y30"/>
  <c r="U30"/>
  <c r="Q30"/>
  <c r="M30"/>
  <c r="AU30"/>
  <c r="AQ30"/>
  <c r="AM30"/>
  <c r="AI30"/>
  <c r="AE30"/>
  <c r="AA30"/>
  <c r="W30"/>
  <c r="S30"/>
  <c r="O30"/>
  <c r="K30"/>
  <c r="AV29"/>
  <c r="AR29"/>
  <c r="AN29"/>
  <c r="AJ29"/>
  <c r="AF29"/>
  <c r="AB29"/>
  <c r="X29"/>
  <c r="T29"/>
  <c r="P29"/>
  <c r="L29"/>
  <c r="AT29"/>
  <c r="AP29"/>
  <c r="AL29"/>
  <c r="AH29"/>
  <c r="AD29"/>
  <c r="Z29"/>
  <c r="V29"/>
  <c r="R29"/>
  <c r="N29"/>
  <c r="J29"/>
  <c r="AW22"/>
  <c r="AS22"/>
  <c r="AO22"/>
  <c r="AK22"/>
  <c r="AG22"/>
  <c r="AC22"/>
  <c r="Y22"/>
  <c r="U22"/>
  <c r="Q22"/>
  <c r="M22"/>
  <c r="AU22"/>
  <c r="AQ22"/>
  <c r="AM22"/>
  <c r="AI22"/>
  <c r="AE22"/>
  <c r="AA22"/>
  <c r="W22"/>
  <c r="S22"/>
  <c r="O22"/>
  <c r="K22"/>
  <c r="AU36"/>
  <c r="AQ36"/>
  <c r="AM36"/>
  <c r="AI36"/>
  <c r="AE36"/>
  <c r="AA36"/>
  <c r="W36"/>
  <c r="S36"/>
  <c r="O36"/>
  <c r="K36"/>
  <c r="AW36"/>
  <c r="AO36"/>
  <c r="AG36"/>
  <c r="Y36"/>
  <c r="Q36"/>
  <c r="AK36"/>
  <c r="U36"/>
  <c r="AS36"/>
  <c r="AC36"/>
  <c r="M36"/>
  <c r="AT35"/>
  <c r="AP35"/>
  <c r="AL35"/>
  <c r="AH35"/>
  <c r="AD35"/>
  <c r="Z35"/>
  <c r="V35"/>
  <c r="R35"/>
  <c r="N35"/>
  <c r="J35"/>
  <c r="AV35"/>
  <c r="AN35"/>
  <c r="AF35"/>
  <c r="X35"/>
  <c r="P35"/>
  <c r="AR35"/>
  <c r="AB35"/>
  <c r="L35"/>
  <c r="AJ35"/>
  <c r="T35"/>
  <c r="AU32"/>
  <c r="AQ32"/>
  <c r="AM32"/>
  <c r="AI32"/>
  <c r="AE32"/>
  <c r="AA32"/>
  <c r="W32"/>
  <c r="S32"/>
  <c r="O32"/>
  <c r="K32"/>
  <c r="AW32"/>
  <c r="AO32"/>
  <c r="AG32"/>
  <c r="Y32"/>
  <c r="Q32"/>
  <c r="AK32"/>
  <c r="U32"/>
  <c r="AS32"/>
  <c r="AC32"/>
  <c r="M32"/>
  <c r="AT31"/>
  <c r="AP31"/>
  <c r="AL31"/>
  <c r="AH31"/>
  <c r="AD31"/>
  <c r="Z31"/>
  <c r="V31"/>
  <c r="R31"/>
  <c r="N31"/>
  <c r="J31"/>
  <c r="AV31"/>
  <c r="AN31"/>
  <c r="AF31"/>
  <c r="X31"/>
  <c r="P31"/>
  <c r="AR31"/>
  <c r="AB31"/>
  <c r="L31"/>
  <c r="AJ31"/>
  <c r="T31"/>
  <c r="AU28"/>
  <c r="AQ28"/>
  <c r="AM28"/>
  <c r="AI28"/>
  <c r="AE28"/>
  <c r="AA28"/>
  <c r="W28"/>
  <c r="S28"/>
  <c r="O28"/>
  <c r="K28"/>
  <c r="AW28"/>
  <c r="AO28"/>
  <c r="AG28"/>
  <c r="Y28"/>
  <c r="Q28"/>
  <c r="AK28"/>
  <c r="U28"/>
  <c r="AS28"/>
  <c r="AC28"/>
  <c r="M28"/>
  <c r="AT27"/>
  <c r="AP27"/>
  <c r="AL27"/>
  <c r="AH27"/>
  <c r="AD27"/>
  <c r="Z27"/>
  <c r="V27"/>
  <c r="R27"/>
  <c r="N27"/>
  <c r="J27"/>
  <c r="AV27"/>
  <c r="AN27"/>
  <c r="AF27"/>
  <c r="X27"/>
  <c r="P27"/>
  <c r="AR27"/>
  <c r="AB27"/>
  <c r="L27"/>
  <c r="AJ27"/>
  <c r="T27"/>
  <c r="AU24"/>
  <c r="AQ24"/>
  <c r="AM24"/>
  <c r="AI24"/>
  <c r="AE24"/>
  <c r="AA24"/>
  <c r="W24"/>
  <c r="S24"/>
  <c r="O24"/>
  <c r="K24"/>
  <c r="AW24"/>
  <c r="AO24"/>
  <c r="AG24"/>
  <c r="Y24"/>
  <c r="Q24"/>
  <c r="AK24"/>
  <c r="U24"/>
  <c r="AS24"/>
  <c r="AC24"/>
  <c r="M24"/>
  <c r="AT23"/>
  <c r="AP23"/>
  <c r="AL23"/>
  <c r="AH23"/>
  <c r="AD23"/>
  <c r="Z23"/>
  <c r="V23"/>
  <c r="R23"/>
  <c r="N23"/>
  <c r="J23"/>
  <c r="AV23"/>
  <c r="AN23"/>
  <c r="AF23"/>
  <c r="X23"/>
  <c r="P23"/>
  <c r="AR23"/>
  <c r="AB23"/>
  <c r="L23"/>
  <c r="AJ23"/>
  <c r="T23"/>
  <c r="AU20"/>
  <c r="AQ20"/>
  <c r="AM20"/>
  <c r="AI20"/>
  <c r="AE20"/>
  <c r="AA20"/>
  <c r="W20"/>
  <c r="S20"/>
  <c r="O20"/>
  <c r="K20"/>
  <c r="AW20"/>
  <c r="AO20"/>
  <c r="AG20"/>
  <c r="Y20"/>
  <c r="Q20"/>
  <c r="AK20"/>
  <c r="U20"/>
  <c r="AS20"/>
  <c r="AC20"/>
  <c r="M20"/>
  <c r="AT19"/>
  <c r="AP19"/>
  <c r="AL19"/>
  <c r="AH19"/>
  <c r="AD19"/>
  <c r="Z19"/>
  <c r="V19"/>
  <c r="R19"/>
  <c r="N19"/>
  <c r="J19"/>
  <c r="AV19"/>
  <c r="AN19"/>
  <c r="AF19"/>
  <c r="X19"/>
  <c r="P19"/>
  <c r="AR19"/>
  <c r="AB19"/>
  <c r="L19"/>
  <c r="AJ19"/>
  <c r="T19"/>
  <c r="AW17"/>
  <c r="AS17"/>
  <c r="AO17"/>
  <c r="AK17"/>
  <c r="AG17"/>
  <c r="AC17"/>
  <c r="Y17"/>
  <c r="U17"/>
  <c r="Q17"/>
  <c r="M17"/>
  <c r="AQ17"/>
  <c r="AI17"/>
  <c r="AA17"/>
  <c r="S17"/>
  <c r="K17"/>
  <c r="AU17"/>
  <c r="AE17"/>
  <c r="O17"/>
  <c r="W17"/>
  <c r="AM17"/>
  <c r="AV16"/>
  <c r="AR16"/>
  <c r="AN16"/>
  <c r="AJ16"/>
  <c r="AF16"/>
  <c r="AB16"/>
  <c r="X16"/>
  <c r="T16"/>
  <c r="P16"/>
  <c r="L16"/>
  <c r="AP16"/>
  <c r="AH16"/>
  <c r="Z16"/>
  <c r="R16"/>
  <c r="J16"/>
  <c r="AL16"/>
  <c r="V16"/>
  <c r="AD16"/>
  <c r="AT16"/>
  <c r="N16"/>
  <c r="AU35"/>
  <c r="AQ35"/>
  <c r="AM35"/>
  <c r="AI35"/>
  <c r="AE35"/>
  <c r="AA35"/>
  <c r="W35"/>
  <c r="S35"/>
  <c r="O35"/>
  <c r="K35"/>
  <c r="AW35"/>
  <c r="AO35"/>
  <c r="AG35"/>
  <c r="Y35"/>
  <c r="Q35"/>
  <c r="AK35"/>
  <c r="U35"/>
  <c r="AS35"/>
  <c r="AC35"/>
  <c r="M35"/>
  <c r="AV34"/>
  <c r="AR34"/>
  <c r="AN34"/>
  <c r="AJ34"/>
  <c r="AF34"/>
  <c r="AB34"/>
  <c r="X34"/>
  <c r="T34"/>
  <c r="P34"/>
  <c r="L34"/>
  <c r="AT34"/>
  <c r="AL34"/>
  <c r="AD34"/>
  <c r="V34"/>
  <c r="N34"/>
  <c r="AP34"/>
  <c r="AH34"/>
  <c r="Z34"/>
  <c r="R34"/>
  <c r="J34"/>
  <c r="AW31"/>
  <c r="AS31"/>
  <c r="AO31"/>
  <c r="AK31"/>
  <c r="AG31"/>
  <c r="AC31"/>
  <c r="Y31"/>
  <c r="U31"/>
  <c r="Q31"/>
  <c r="M31"/>
  <c r="AU31"/>
  <c r="AM31"/>
  <c r="AE31"/>
  <c r="W31"/>
  <c r="O31"/>
  <c r="AQ31"/>
  <c r="AI31"/>
  <c r="AA31"/>
  <c r="S31"/>
  <c r="K31"/>
  <c r="AV30"/>
  <c r="AR30"/>
  <c r="AN30"/>
  <c r="AJ30"/>
  <c r="AF30"/>
  <c r="AB30"/>
  <c r="X30"/>
  <c r="T30"/>
  <c r="P30"/>
  <c r="L30"/>
  <c r="AT30"/>
  <c r="AL30"/>
  <c r="AD30"/>
  <c r="V30"/>
  <c r="N30"/>
  <c r="AP30"/>
  <c r="AH30"/>
  <c r="Z30"/>
  <c r="R30"/>
  <c r="J30"/>
  <c r="AW27"/>
  <c r="AS27"/>
  <c r="AO27"/>
  <c r="AK27"/>
  <c r="AG27"/>
  <c r="AC27"/>
  <c r="Y27"/>
  <c r="U27"/>
  <c r="Q27"/>
  <c r="M27"/>
  <c r="AU27"/>
  <c r="AM27"/>
  <c r="AE27"/>
  <c r="W27"/>
  <c r="O27"/>
  <c r="AQ27"/>
  <c r="AI27"/>
  <c r="AA27"/>
  <c r="S27"/>
  <c r="K27"/>
  <c r="AV26"/>
  <c r="AR26"/>
  <c r="AN26"/>
  <c r="AJ26"/>
  <c r="AF26"/>
  <c r="AB26"/>
  <c r="X26"/>
  <c r="T26"/>
  <c r="P26"/>
  <c r="L26"/>
  <c r="AT26"/>
  <c r="AL26"/>
  <c r="AD26"/>
  <c r="V26"/>
  <c r="N26"/>
  <c r="AP26"/>
  <c r="AH26"/>
  <c r="Z26"/>
  <c r="R26"/>
  <c r="J26"/>
  <c r="AW23"/>
  <c r="AS23"/>
  <c r="AO23"/>
  <c r="AK23"/>
  <c r="AG23"/>
  <c r="AC23"/>
  <c r="Y23"/>
  <c r="U23"/>
  <c r="Q23"/>
  <c r="M23"/>
  <c r="AU23"/>
  <c r="AM23"/>
  <c r="AE23"/>
  <c r="W23"/>
  <c r="O23"/>
  <c r="AQ23"/>
  <c r="AI23"/>
  <c r="AA23"/>
  <c r="S23"/>
  <c r="K23"/>
  <c r="AV22"/>
  <c r="AR22"/>
  <c r="AN22"/>
  <c r="AJ22"/>
  <c r="AF22"/>
  <c r="AB22"/>
  <c r="X22"/>
  <c r="T22"/>
  <c r="P22"/>
  <c r="L22"/>
  <c r="AT22"/>
  <c r="AL22"/>
  <c r="AD22"/>
  <c r="V22"/>
  <c r="N22"/>
  <c r="AP22"/>
  <c r="AH22"/>
  <c r="Z22"/>
  <c r="R22"/>
  <c r="J22"/>
  <c r="AW19"/>
  <c r="AS19"/>
  <c r="AO19"/>
  <c r="AK19"/>
  <c r="AG19"/>
  <c r="AC19"/>
  <c r="Y19"/>
  <c r="U19"/>
  <c r="Q19"/>
  <c r="M19"/>
  <c r="AU19"/>
  <c r="AM19"/>
  <c r="AE19"/>
  <c r="W19"/>
  <c r="O19"/>
  <c r="AQ19"/>
  <c r="AI19"/>
  <c r="AA19"/>
  <c r="S19"/>
  <c r="K19"/>
  <c r="AV18"/>
  <c r="AR18"/>
  <c r="AN18"/>
  <c r="AJ18"/>
  <c r="AF18"/>
  <c r="AB18"/>
  <c r="X18"/>
  <c r="T18"/>
  <c r="P18"/>
  <c r="L18"/>
  <c r="AT18"/>
  <c r="AL18"/>
  <c r="AD18"/>
  <c r="V18"/>
  <c r="N18"/>
  <c r="AP18"/>
  <c r="AH18"/>
  <c r="Z18"/>
  <c r="R18"/>
  <c r="J18"/>
  <c r="AW15"/>
  <c r="AS15"/>
  <c r="AO15"/>
  <c r="AK15"/>
  <c r="AG15"/>
  <c r="AC15"/>
  <c r="Y15"/>
  <c r="U15"/>
  <c r="Q15"/>
  <c r="M15"/>
  <c r="AU15"/>
  <c r="AM15"/>
  <c r="AE15"/>
  <c r="W15"/>
  <c r="O15"/>
  <c r="AQ15"/>
  <c r="AI15"/>
  <c r="AA15"/>
  <c r="S15"/>
  <c r="K15"/>
  <c r="AV14"/>
  <c r="AR14"/>
  <c r="AN14"/>
  <c r="AJ14"/>
  <c r="AF14"/>
  <c r="AB14"/>
  <c r="X14"/>
  <c r="T14"/>
  <c r="P14"/>
  <c r="L14"/>
  <c r="AT14"/>
  <c r="AL14"/>
  <c r="AD14"/>
  <c r="V14"/>
  <c r="N14"/>
  <c r="AP14"/>
  <c r="AH14"/>
  <c r="Z14"/>
  <c r="R14"/>
  <c r="J14"/>
  <c r="AU47"/>
  <c r="AQ47"/>
  <c r="AM47"/>
  <c r="AI47"/>
  <c r="AE47"/>
  <c r="AA47"/>
  <c r="W47"/>
  <c r="S47"/>
  <c r="O47"/>
  <c r="K47"/>
  <c r="AW47"/>
  <c r="AO47"/>
  <c r="AG47"/>
  <c r="Y47"/>
  <c r="Q47"/>
  <c r="AK47"/>
  <c r="U47"/>
  <c r="AS47"/>
  <c r="AC47"/>
  <c r="M47"/>
  <c r="AT46"/>
  <c r="AP46"/>
  <c r="AL46"/>
  <c r="AH46"/>
  <c r="AD46"/>
  <c r="Z46"/>
  <c r="V46"/>
  <c r="R46"/>
  <c r="N46"/>
  <c r="J46"/>
  <c r="AV46"/>
  <c r="AN46"/>
  <c r="AF46"/>
  <c r="X46"/>
  <c r="P46"/>
  <c r="AR46"/>
  <c r="AB46"/>
  <c r="L46"/>
  <c r="AJ46"/>
  <c r="T46"/>
  <c r="AU43"/>
  <c r="AQ43"/>
  <c r="AM43"/>
  <c r="AI43"/>
  <c r="AE43"/>
  <c r="AA43"/>
  <c r="W43"/>
  <c r="S43"/>
  <c r="O43"/>
  <c r="K43"/>
  <c r="AW43"/>
  <c r="AO43"/>
  <c r="AG43"/>
  <c r="Y43"/>
  <c r="Q43"/>
  <c r="AK43"/>
  <c r="U43"/>
  <c r="AS43"/>
  <c r="AC43"/>
  <c r="M43"/>
  <c r="AT42"/>
  <c r="AP42"/>
  <c r="AL42"/>
  <c r="AH42"/>
  <c r="AD42"/>
  <c r="Z42"/>
  <c r="V42"/>
  <c r="R42"/>
  <c r="N42"/>
  <c r="J42"/>
  <c r="AV42"/>
  <c r="AN42"/>
  <c r="AF42"/>
  <c r="X42"/>
  <c r="P42"/>
  <c r="AR42"/>
  <c r="AB42"/>
  <c r="L42"/>
  <c r="AJ42"/>
  <c r="T42"/>
  <c r="AU39"/>
  <c r="AQ39"/>
  <c r="AM39"/>
  <c r="AI39"/>
  <c r="AE39"/>
  <c r="AA39"/>
  <c r="W39"/>
  <c r="S39"/>
  <c r="O39"/>
  <c r="K39"/>
  <c r="AW39"/>
  <c r="AO39"/>
  <c r="AG39"/>
  <c r="Y39"/>
  <c r="Q39"/>
  <c r="AK39"/>
  <c r="U39"/>
  <c r="AS39"/>
  <c r="AC39"/>
  <c r="M39"/>
  <c r="AT38"/>
  <c r="AP38"/>
  <c r="AL38"/>
  <c r="AH38"/>
  <c r="AD38"/>
  <c r="Z38"/>
  <c r="V38"/>
  <c r="R38"/>
  <c r="N38"/>
  <c r="J38"/>
  <c r="AV38"/>
  <c r="AN38"/>
  <c r="AF38"/>
  <c r="X38"/>
  <c r="P38"/>
  <c r="AR38"/>
  <c r="AB38"/>
  <c r="L38"/>
  <c r="AJ38"/>
  <c r="T38"/>
  <c r="AW53"/>
  <c r="AS53"/>
  <c r="AO53"/>
  <c r="AK53"/>
  <c r="AG53"/>
  <c r="AC53"/>
  <c r="Y53"/>
  <c r="U53"/>
  <c r="Q53"/>
  <c r="M53"/>
  <c r="AQ53"/>
  <c r="AI53"/>
  <c r="AA53"/>
  <c r="S53"/>
  <c r="K53"/>
  <c r="AM53"/>
  <c r="W53"/>
  <c r="AU53"/>
  <c r="AE53"/>
  <c r="O53"/>
  <c r="AV52"/>
  <c r="AR52"/>
  <c r="AN52"/>
  <c r="AJ52"/>
  <c r="AF52"/>
  <c r="AB52"/>
  <c r="X52"/>
  <c r="T52"/>
  <c r="P52"/>
  <c r="L52"/>
  <c r="AP52"/>
  <c r="AH52"/>
  <c r="Z52"/>
  <c r="R52"/>
  <c r="J52"/>
  <c r="AT52"/>
  <c r="AD52"/>
  <c r="N52"/>
  <c r="AL52"/>
  <c r="V52"/>
  <c r="AW33" i="49"/>
  <c r="AS33"/>
  <c r="AO33"/>
  <c r="AK33"/>
  <c r="AG33"/>
  <c r="AC33"/>
  <c r="Y33"/>
  <c r="U33"/>
  <c r="Q33"/>
  <c r="M33"/>
  <c r="AU33"/>
  <c r="AQ33"/>
  <c r="AM33"/>
  <c r="AI33"/>
  <c r="AE33"/>
  <c r="AA33"/>
  <c r="W33"/>
  <c r="S33"/>
  <c r="O33"/>
  <c r="K33"/>
  <c r="AV32"/>
  <c r="AR32"/>
  <c r="AN32"/>
  <c r="AJ32"/>
  <c r="AF32"/>
  <c r="AB32"/>
  <c r="X32"/>
  <c r="T32"/>
  <c r="P32"/>
  <c r="L32"/>
  <c r="AT32"/>
  <c r="AP32"/>
  <c r="AL32"/>
  <c r="AH32"/>
  <c r="AD32"/>
  <c r="Z32"/>
  <c r="V32"/>
  <c r="R32"/>
  <c r="N32"/>
  <c r="J32"/>
  <c r="AW29"/>
  <c r="AS29"/>
  <c r="AO29"/>
  <c r="AK29"/>
  <c r="AG29"/>
  <c r="AC29"/>
  <c r="Y29"/>
  <c r="U29"/>
  <c r="Q29"/>
  <c r="M29"/>
  <c r="AU29"/>
  <c r="AQ29"/>
  <c r="AM29"/>
  <c r="AI29"/>
  <c r="AE29"/>
  <c r="AA29"/>
  <c r="W29"/>
  <c r="S29"/>
  <c r="O29"/>
  <c r="K29"/>
  <c r="AV28"/>
  <c r="AR28"/>
  <c r="AN28"/>
  <c r="AJ28"/>
  <c r="AF28"/>
  <c r="AB28"/>
  <c r="X28"/>
  <c r="T28"/>
  <c r="P28"/>
  <c r="L28"/>
  <c r="AT28"/>
  <c r="AP28"/>
  <c r="AL28"/>
  <c r="AH28"/>
  <c r="AD28"/>
  <c r="Z28"/>
  <c r="V28"/>
  <c r="R28"/>
  <c r="N28"/>
  <c r="J28"/>
  <c r="AW25"/>
  <c r="AS25"/>
  <c r="AO25"/>
  <c r="AK25"/>
  <c r="AG25"/>
  <c r="AC25"/>
  <c r="Y25"/>
  <c r="U25"/>
  <c r="Q25"/>
  <c r="M25"/>
  <c r="AU25"/>
  <c r="AQ25"/>
  <c r="AM25"/>
  <c r="AI25"/>
  <c r="AE25"/>
  <c r="AA25"/>
  <c r="W25"/>
  <c r="S25"/>
  <c r="O25"/>
  <c r="K25"/>
  <c r="AV24"/>
  <c r="AR24"/>
  <c r="AN24"/>
  <c r="AJ24"/>
  <c r="AF24"/>
  <c r="AB24"/>
  <c r="X24"/>
  <c r="T24"/>
  <c r="P24"/>
  <c r="L24"/>
  <c r="AT24"/>
  <c r="AP24"/>
  <c r="AL24"/>
  <c r="AH24"/>
  <c r="AD24"/>
  <c r="Z24"/>
  <c r="V24"/>
  <c r="R24"/>
  <c r="N24"/>
  <c r="J24"/>
  <c r="AW21"/>
  <c r="AS21"/>
  <c r="AO21"/>
  <c r="AK21"/>
  <c r="AG21"/>
  <c r="AC21"/>
  <c r="Y21"/>
  <c r="U21"/>
  <c r="Q21"/>
  <c r="M21"/>
  <c r="AU21"/>
  <c r="AQ21"/>
  <c r="AM21"/>
  <c r="AI21"/>
  <c r="AE21"/>
  <c r="AA21"/>
  <c r="W21"/>
  <c r="S21"/>
  <c r="O21"/>
  <c r="K21"/>
  <c r="AV20"/>
  <c r="AR20"/>
  <c r="AN20"/>
  <c r="AJ20"/>
  <c r="AF20"/>
  <c r="AB20"/>
  <c r="X20"/>
  <c r="T20"/>
  <c r="P20"/>
  <c r="L20"/>
  <c r="AT20"/>
  <c r="AP20"/>
  <c r="AL20"/>
  <c r="AH20"/>
  <c r="AD20"/>
  <c r="Z20"/>
  <c r="V20"/>
  <c r="R20"/>
  <c r="N20"/>
  <c r="J20"/>
  <c r="AW17"/>
  <c r="AS17"/>
  <c r="AO17"/>
  <c r="AK17"/>
  <c r="AG17"/>
  <c r="AC17"/>
  <c r="Y17"/>
  <c r="U17"/>
  <c r="Q17"/>
  <c r="M17"/>
  <c r="AU17"/>
  <c r="AQ17"/>
  <c r="AM17"/>
  <c r="AI17"/>
  <c r="AE17"/>
  <c r="AA17"/>
  <c r="W17"/>
  <c r="S17"/>
  <c r="O17"/>
  <c r="K17"/>
  <c r="AV16"/>
  <c r="AR16"/>
  <c r="AN16"/>
  <c r="AJ16"/>
  <c r="AF16"/>
  <c r="AB16"/>
  <c r="X16"/>
  <c r="T16"/>
  <c r="P16"/>
  <c r="L16"/>
  <c r="AT16"/>
  <c r="AP16"/>
  <c r="AL16"/>
  <c r="AH16"/>
  <c r="AD16"/>
  <c r="Z16"/>
  <c r="V16"/>
  <c r="R16"/>
  <c r="N16"/>
  <c r="J16"/>
  <c r="AW13"/>
  <c r="AS13"/>
  <c r="AO13"/>
  <c r="AK13"/>
  <c r="AG13"/>
  <c r="AC13"/>
  <c r="Y13"/>
  <c r="U13"/>
  <c r="Q13"/>
  <c r="M13"/>
  <c r="AU13"/>
  <c r="AQ13"/>
  <c r="AM13"/>
  <c r="AI13"/>
  <c r="AE13"/>
  <c r="AA13"/>
  <c r="W13"/>
  <c r="S13"/>
  <c r="O13"/>
  <c r="K13"/>
  <c r="AV12"/>
  <c r="AR12"/>
  <c r="AN12"/>
  <c r="AJ12"/>
  <c r="AF12"/>
  <c r="AB12"/>
  <c r="X12"/>
  <c r="T12"/>
  <c r="P12"/>
  <c r="L12"/>
  <c r="AT12"/>
  <c r="AP12"/>
  <c r="AL12"/>
  <c r="AH12"/>
  <c r="AD12"/>
  <c r="Z12"/>
  <c r="V12"/>
  <c r="R12"/>
  <c r="N12"/>
  <c r="J12"/>
  <c r="AW24" i="50"/>
  <c r="AS24"/>
  <c r="AO24"/>
  <c r="AK24"/>
  <c r="AG24"/>
  <c r="AC24"/>
  <c r="Y24"/>
  <c r="U24"/>
  <c r="Q24"/>
  <c r="M24"/>
  <c r="AU24"/>
  <c r="AQ24"/>
  <c r="AM24"/>
  <c r="AI24"/>
  <c r="AE24"/>
  <c r="AA24"/>
  <c r="W24"/>
  <c r="S24"/>
  <c r="O24"/>
  <c r="K24"/>
  <c r="AV23"/>
  <c r="AR23"/>
  <c r="AN23"/>
  <c r="AJ23"/>
  <c r="AF23"/>
  <c r="AB23"/>
  <c r="X23"/>
  <c r="T23"/>
  <c r="P23"/>
  <c r="AT23"/>
  <c r="AP23"/>
  <c r="AL23"/>
  <c r="AH23"/>
  <c r="AD23"/>
  <c r="Z23"/>
  <c r="V23"/>
  <c r="R23"/>
  <c r="L23"/>
  <c r="N23"/>
  <c r="J23"/>
  <c r="AW20"/>
  <c r="AS20"/>
  <c r="AO20"/>
  <c r="AK20"/>
  <c r="AG20"/>
  <c r="AC20"/>
  <c r="Y20"/>
  <c r="U20"/>
  <c r="Q20"/>
  <c r="M20"/>
  <c r="AU20"/>
  <c r="AQ20"/>
  <c r="AM20"/>
  <c r="AI20"/>
  <c r="AE20"/>
  <c r="AA20"/>
  <c r="W20"/>
  <c r="S20"/>
  <c r="O20"/>
  <c r="K20"/>
  <c r="AV19"/>
  <c r="AR19"/>
  <c r="AN19"/>
  <c r="AJ19"/>
  <c r="AF19"/>
  <c r="AB19"/>
  <c r="X19"/>
  <c r="T19"/>
  <c r="P19"/>
  <c r="L19"/>
  <c r="AT19"/>
  <c r="AP19"/>
  <c r="AL19"/>
  <c r="AH19"/>
  <c r="AD19"/>
  <c r="Z19"/>
  <c r="V19"/>
  <c r="R19"/>
  <c r="N19"/>
  <c r="J19"/>
  <c r="AW16"/>
  <c r="AS16"/>
  <c r="AO16"/>
  <c r="AK16"/>
  <c r="AG16"/>
  <c r="AC16"/>
  <c r="Y16"/>
  <c r="U16"/>
  <c r="Q16"/>
  <c r="M16"/>
  <c r="AU16"/>
  <c r="AQ16"/>
  <c r="AM16"/>
  <c r="AI16"/>
  <c r="AE16"/>
  <c r="AA16"/>
  <c r="W16"/>
  <c r="S16"/>
  <c r="O16"/>
  <c r="K16"/>
  <c r="AV15"/>
  <c r="AR15"/>
  <c r="AN15"/>
  <c r="AJ15"/>
  <c r="AF15"/>
  <c r="AB15"/>
  <c r="X15"/>
  <c r="T15"/>
  <c r="P15"/>
  <c r="L15"/>
  <c r="AT15"/>
  <c r="AP15"/>
  <c r="AL15"/>
  <c r="AH15"/>
  <c r="AD15"/>
  <c r="Z15"/>
  <c r="V15"/>
  <c r="R15"/>
  <c r="N15"/>
  <c r="J15"/>
  <c r="AW12"/>
  <c r="AS12"/>
  <c r="AO12"/>
  <c r="AK12"/>
  <c r="AG12"/>
  <c r="AC12"/>
  <c r="Y12"/>
  <c r="U12"/>
  <c r="Q12"/>
  <c r="M12"/>
  <c r="AU12"/>
  <c r="AQ12"/>
  <c r="AM12"/>
  <c r="AI12"/>
  <c r="AE12"/>
  <c r="AA12"/>
  <c r="W12"/>
  <c r="S12"/>
  <c r="O12"/>
  <c r="K12"/>
  <c r="AV23" i="51"/>
  <c r="AR23"/>
  <c r="AN23"/>
  <c r="AJ23"/>
  <c r="AF23"/>
  <c r="AB23"/>
  <c r="X23"/>
  <c r="T23"/>
  <c r="P23"/>
  <c r="L23"/>
  <c r="AT23"/>
  <c r="AP23"/>
  <c r="AL23"/>
  <c r="AH23"/>
  <c r="AD23"/>
  <c r="Z23"/>
  <c r="V23"/>
  <c r="R23"/>
  <c r="N23"/>
  <c r="J23"/>
  <c r="AW20"/>
  <c r="AS20"/>
  <c r="AO20"/>
  <c r="AK20"/>
  <c r="AG20"/>
  <c r="AC20"/>
  <c r="Y20"/>
  <c r="U20"/>
  <c r="Q20"/>
  <c r="M20"/>
  <c r="AU20"/>
  <c r="AQ20"/>
  <c r="AM20"/>
  <c r="AI20"/>
  <c r="AE20"/>
  <c r="AA20"/>
  <c r="W20"/>
  <c r="S20"/>
  <c r="O20"/>
  <c r="K20"/>
  <c r="AV19"/>
  <c r="AR19"/>
  <c r="AN19"/>
  <c r="AJ19"/>
  <c r="AF19"/>
  <c r="AB19"/>
  <c r="X19"/>
  <c r="T19"/>
  <c r="P19"/>
  <c r="L19"/>
  <c r="AT19"/>
  <c r="AP19"/>
  <c r="AL19"/>
  <c r="AH19"/>
  <c r="AD19"/>
  <c r="Z19"/>
  <c r="V19"/>
  <c r="R19"/>
  <c r="N19"/>
  <c r="J19"/>
  <c r="AW16"/>
  <c r="AS16"/>
  <c r="AO16"/>
  <c r="AK16"/>
  <c r="AG16"/>
  <c r="AC16"/>
  <c r="Y16"/>
  <c r="U16"/>
  <c r="Q16"/>
  <c r="M16"/>
  <c r="AU16"/>
  <c r="AQ16"/>
  <c r="AM16"/>
  <c r="AI16"/>
  <c r="AE16"/>
  <c r="AA16"/>
  <c r="W16"/>
  <c r="S16"/>
  <c r="O16"/>
  <c r="K16"/>
  <c r="AV15"/>
  <c r="AR15"/>
  <c r="AN15"/>
  <c r="AJ15"/>
  <c r="AF15"/>
  <c r="AB15"/>
  <c r="X15"/>
  <c r="T15"/>
  <c r="P15"/>
  <c r="L15"/>
  <c r="AT15"/>
  <c r="AP15"/>
  <c r="AL15"/>
  <c r="AH15"/>
  <c r="AD15"/>
  <c r="Z15"/>
  <c r="V15"/>
  <c r="R15"/>
  <c r="N15"/>
  <c r="J15"/>
  <c r="AW12"/>
  <c r="AS12"/>
  <c r="AO12"/>
  <c r="AK12"/>
  <c r="AG12"/>
  <c r="AC12"/>
  <c r="Y12"/>
  <c r="U12"/>
  <c r="Q12"/>
  <c r="M12"/>
  <c r="AU12"/>
  <c r="AQ12"/>
  <c r="AM12"/>
  <c r="AI12"/>
  <c r="AE12"/>
  <c r="AA12"/>
  <c r="W12"/>
  <c r="S12"/>
  <c r="O12"/>
  <c r="K12"/>
  <c r="AU16" i="48"/>
  <c r="AQ16"/>
  <c r="AM16"/>
  <c r="AI16"/>
  <c r="AE16"/>
  <c r="AA16"/>
  <c r="W16"/>
  <c r="S16"/>
  <c r="O16"/>
  <c r="K16"/>
  <c r="AW16"/>
  <c r="AO16"/>
  <c r="AG16"/>
  <c r="Y16"/>
  <c r="Q16"/>
  <c r="AK16"/>
  <c r="U16"/>
  <c r="AS16"/>
  <c r="AC16"/>
  <c r="M16"/>
  <c r="AT15"/>
  <c r="AP15"/>
  <c r="AL15"/>
  <c r="AH15"/>
  <c r="AD15"/>
  <c r="Z15"/>
  <c r="V15"/>
  <c r="R15"/>
  <c r="N15"/>
  <c r="J15"/>
  <c r="AV15"/>
  <c r="AN15"/>
  <c r="AF15"/>
  <c r="X15"/>
  <c r="P15"/>
  <c r="AR15"/>
  <c r="AB15"/>
  <c r="L15"/>
  <c r="AJ15"/>
  <c r="T15"/>
  <c r="AU12"/>
  <c r="AQ12"/>
  <c r="AM12"/>
  <c r="AI12"/>
  <c r="AE12"/>
  <c r="AA12"/>
  <c r="W12"/>
  <c r="S12"/>
  <c r="O12"/>
  <c r="K12"/>
  <c r="AW12"/>
  <c r="AO12"/>
  <c r="AG12"/>
  <c r="Y12"/>
  <c r="Q12"/>
  <c r="AK12"/>
  <c r="U12"/>
  <c r="AS12"/>
  <c r="AC12"/>
  <c r="M12"/>
  <c r="AV49"/>
  <c r="AR49"/>
  <c r="AN49"/>
  <c r="AJ49"/>
  <c r="AF49"/>
  <c r="AB49"/>
  <c r="AT49"/>
  <c r="AL49"/>
  <c r="AD49"/>
  <c r="X49"/>
  <c r="T49"/>
  <c r="P49"/>
  <c r="L49"/>
  <c r="AP49"/>
  <c r="AH49"/>
  <c r="Z49"/>
  <c r="V49"/>
  <c r="R49"/>
  <c r="N49"/>
  <c r="J49"/>
  <c r="AW46"/>
  <c r="AS46"/>
  <c r="AO46"/>
  <c r="AK46"/>
  <c r="AG46"/>
  <c r="AC46"/>
  <c r="Y46"/>
  <c r="U46"/>
  <c r="Q46"/>
  <c r="M46"/>
  <c r="AU46"/>
  <c r="AQ46"/>
  <c r="AM46"/>
  <c r="AI46"/>
  <c r="AE46"/>
  <c r="AA46"/>
  <c r="W46"/>
  <c r="S46"/>
  <c r="O46"/>
  <c r="K46"/>
  <c r="AV45"/>
  <c r="AR45"/>
  <c r="AN45"/>
  <c r="AJ45"/>
  <c r="AF45"/>
  <c r="AB45"/>
  <c r="X45"/>
  <c r="T45"/>
  <c r="P45"/>
  <c r="L45"/>
  <c r="AT45"/>
  <c r="AP45"/>
  <c r="AL45"/>
  <c r="AH45"/>
  <c r="AD45"/>
  <c r="Z45"/>
  <c r="V45"/>
  <c r="R45"/>
  <c r="N45"/>
  <c r="J45"/>
  <c r="AW42"/>
  <c r="AS42"/>
  <c r="AO42"/>
  <c r="AK42"/>
  <c r="AG42"/>
  <c r="AC42"/>
  <c r="Y42"/>
  <c r="U42"/>
  <c r="Q42"/>
  <c r="M42"/>
  <c r="AU42"/>
  <c r="AQ42"/>
  <c r="AM42"/>
  <c r="AI42"/>
  <c r="AE42"/>
  <c r="AA42"/>
  <c r="W42"/>
  <c r="S42"/>
  <c r="O42"/>
  <c r="K42"/>
  <c r="AV41"/>
  <c r="AR41"/>
  <c r="AN41"/>
  <c r="AJ41"/>
  <c r="AF41"/>
  <c r="AB41"/>
  <c r="X41"/>
  <c r="T41"/>
  <c r="P41"/>
  <c r="L41"/>
  <c r="AT41"/>
  <c r="AP41"/>
  <c r="AL41"/>
  <c r="AH41"/>
  <c r="AD41"/>
  <c r="Z41"/>
  <c r="V41"/>
  <c r="R41"/>
  <c r="N41"/>
  <c r="J41"/>
  <c r="AW38"/>
  <c r="AS38"/>
  <c r="AO38"/>
  <c r="AK38"/>
  <c r="AG38"/>
  <c r="AC38"/>
  <c r="Y38"/>
  <c r="U38"/>
  <c r="Q38"/>
  <c r="M38"/>
  <c r="AU38"/>
  <c r="AQ38"/>
  <c r="AM38"/>
  <c r="AI38"/>
  <c r="AE38"/>
  <c r="AA38"/>
  <c r="W38"/>
  <c r="S38"/>
  <c r="O38"/>
  <c r="K38"/>
  <c r="AV37"/>
  <c r="AR37"/>
  <c r="AN37"/>
  <c r="AJ37"/>
  <c r="AF37"/>
  <c r="AB37"/>
  <c r="X37"/>
  <c r="T37"/>
  <c r="P37"/>
  <c r="L37"/>
  <c r="AT37"/>
  <c r="AP37"/>
  <c r="AL37"/>
  <c r="AH37"/>
  <c r="AD37"/>
  <c r="Z37"/>
  <c r="V37"/>
  <c r="R37"/>
  <c r="N37"/>
  <c r="J37"/>
  <c r="AU52"/>
  <c r="AQ52"/>
  <c r="AM52"/>
  <c r="AI52"/>
  <c r="AE52"/>
  <c r="AA52"/>
  <c r="W52"/>
  <c r="S52"/>
  <c r="O52"/>
  <c r="K52"/>
  <c r="AW52"/>
  <c r="AO52"/>
  <c r="AG52"/>
  <c r="Y52"/>
  <c r="Q52"/>
  <c r="AK52"/>
  <c r="U52"/>
  <c r="AS52"/>
  <c r="AC52"/>
  <c r="M52"/>
  <c r="AT51"/>
  <c r="AP51"/>
  <c r="AL51"/>
  <c r="AH51"/>
  <c r="AD51"/>
  <c r="Z51"/>
  <c r="V51"/>
  <c r="R51"/>
  <c r="N51"/>
  <c r="J51"/>
  <c r="AV51"/>
  <c r="AN51"/>
  <c r="AF51"/>
  <c r="X51"/>
  <c r="P51"/>
  <c r="AR51"/>
  <c r="AB51"/>
  <c r="L51"/>
  <c r="AJ51"/>
  <c r="T51"/>
  <c r="AW32" i="49"/>
  <c r="AS32"/>
  <c r="AO32"/>
  <c r="AK32"/>
  <c r="AG32"/>
  <c r="AC32"/>
  <c r="Y32"/>
  <c r="U32"/>
  <c r="Q32"/>
  <c r="M32"/>
  <c r="AU32"/>
  <c r="AM32"/>
  <c r="AE32"/>
  <c r="W32"/>
  <c r="O32"/>
  <c r="AQ32"/>
  <c r="AI32"/>
  <c r="AA32"/>
  <c r="S32"/>
  <c r="K32"/>
  <c r="AV31"/>
  <c r="AR31"/>
  <c r="AN31"/>
  <c r="AJ31"/>
  <c r="AF31"/>
  <c r="AB31"/>
  <c r="X31"/>
  <c r="T31"/>
  <c r="P31"/>
  <c r="L31"/>
  <c r="AT31"/>
  <c r="AL31"/>
  <c r="AD31"/>
  <c r="V31"/>
  <c r="N31"/>
  <c r="AP31"/>
  <c r="AH31"/>
  <c r="Z31"/>
  <c r="R31"/>
  <c r="J31"/>
  <c r="AW28"/>
  <c r="AS28"/>
  <c r="AO28"/>
  <c r="AK28"/>
  <c r="AG28"/>
  <c r="AC28"/>
  <c r="Y28"/>
  <c r="U28"/>
  <c r="Q28"/>
  <c r="M28"/>
  <c r="AU28"/>
  <c r="AM28"/>
  <c r="AE28"/>
  <c r="W28"/>
  <c r="O28"/>
  <c r="AQ28"/>
  <c r="AI28"/>
  <c r="AA28"/>
  <c r="S28"/>
  <c r="K28"/>
  <c r="AV27"/>
  <c r="AR27"/>
  <c r="AN27"/>
  <c r="AJ27"/>
  <c r="AF27"/>
  <c r="AB27"/>
  <c r="X27"/>
  <c r="T27"/>
  <c r="P27"/>
  <c r="L27"/>
  <c r="AT27"/>
  <c r="AL27"/>
  <c r="AD27"/>
  <c r="V27"/>
  <c r="N27"/>
  <c r="AP27"/>
  <c r="AH27"/>
  <c r="Z27"/>
  <c r="R27"/>
  <c r="J27"/>
  <c r="AW24"/>
  <c r="AS24"/>
  <c r="AO24"/>
  <c r="AK24"/>
  <c r="AG24"/>
  <c r="AC24"/>
  <c r="Y24"/>
  <c r="U24"/>
  <c r="Q24"/>
  <c r="M24"/>
  <c r="AU24"/>
  <c r="AM24"/>
  <c r="AE24"/>
  <c r="W24"/>
  <c r="O24"/>
  <c r="AQ24"/>
  <c r="AI24"/>
  <c r="AA24"/>
  <c r="S24"/>
  <c r="K24"/>
  <c r="AV23"/>
  <c r="AR23"/>
  <c r="AN23"/>
  <c r="AJ23"/>
  <c r="AF23"/>
  <c r="AB23"/>
  <c r="X23"/>
  <c r="T23"/>
  <c r="P23"/>
  <c r="L23"/>
  <c r="AT23"/>
  <c r="AL23"/>
  <c r="AD23"/>
  <c r="V23"/>
  <c r="N23"/>
  <c r="AP23"/>
  <c r="AH23"/>
  <c r="Z23"/>
  <c r="R23"/>
  <c r="J23"/>
  <c r="AW20"/>
  <c r="AS20"/>
  <c r="AO20"/>
  <c r="AK20"/>
  <c r="AG20"/>
  <c r="AC20"/>
  <c r="Y20"/>
  <c r="U20"/>
  <c r="Q20"/>
  <c r="M20"/>
  <c r="AU20"/>
  <c r="AM20"/>
  <c r="AE20"/>
  <c r="W20"/>
  <c r="O20"/>
  <c r="AQ20"/>
  <c r="AI20"/>
  <c r="AA20"/>
  <c r="S20"/>
  <c r="K20"/>
  <c r="AV19"/>
  <c r="AR19"/>
  <c r="AN19"/>
  <c r="AJ19"/>
  <c r="AF19"/>
  <c r="AB19"/>
  <c r="X19"/>
  <c r="T19"/>
  <c r="P19"/>
  <c r="L19"/>
  <c r="AT19"/>
  <c r="AL19"/>
  <c r="AD19"/>
  <c r="V19"/>
  <c r="N19"/>
  <c r="AP19"/>
  <c r="AH19"/>
  <c r="Z19"/>
  <c r="R19"/>
  <c r="J19"/>
  <c r="AW16"/>
  <c r="AS16"/>
  <c r="AO16"/>
  <c r="AK16"/>
  <c r="AG16"/>
  <c r="AC16"/>
  <c r="Y16"/>
  <c r="U16"/>
  <c r="Q16"/>
  <c r="M16"/>
  <c r="AU16"/>
  <c r="AM16"/>
  <c r="AE16"/>
  <c r="W16"/>
  <c r="O16"/>
  <c r="AQ16"/>
  <c r="AI16"/>
  <c r="AA16"/>
  <c r="S16"/>
  <c r="K16"/>
  <c r="AV15"/>
  <c r="AR15"/>
  <c r="AN15"/>
  <c r="AJ15"/>
  <c r="AF15"/>
  <c r="AB15"/>
  <c r="X15"/>
  <c r="T15"/>
  <c r="P15"/>
  <c r="L15"/>
  <c r="AT15"/>
  <c r="AL15"/>
  <c r="AD15"/>
  <c r="V15"/>
  <c r="N15"/>
  <c r="AP15"/>
  <c r="AH15"/>
  <c r="Z15"/>
  <c r="R15"/>
  <c r="J15"/>
  <c r="AW12"/>
  <c r="AS12"/>
  <c r="AO12"/>
  <c r="AK12"/>
  <c r="AG12"/>
  <c r="AC12"/>
  <c r="Y12"/>
  <c r="U12"/>
  <c r="Q12"/>
  <c r="M12"/>
  <c r="AU12"/>
  <c r="AM12"/>
  <c r="AE12"/>
  <c r="W12"/>
  <c r="O12"/>
  <c r="AQ12"/>
  <c r="AI12"/>
  <c r="AA12"/>
  <c r="S12"/>
  <c r="K12"/>
  <c r="AV26" i="50"/>
  <c r="AR26"/>
  <c r="AN26"/>
  <c r="AJ26"/>
  <c r="AF26"/>
  <c r="AB26"/>
  <c r="X26"/>
  <c r="T26"/>
  <c r="P26"/>
  <c r="L26"/>
  <c r="AT26"/>
  <c r="AP26"/>
  <c r="AL26"/>
  <c r="AH26"/>
  <c r="AD26"/>
  <c r="Z26"/>
  <c r="V26"/>
  <c r="R26"/>
  <c r="N26"/>
  <c r="J26"/>
  <c r="AW23"/>
  <c r="AS23"/>
  <c r="AO23"/>
  <c r="AK23"/>
  <c r="AG23"/>
  <c r="AC23"/>
  <c r="Y23"/>
  <c r="U23"/>
  <c r="Q23"/>
  <c r="M23"/>
  <c r="AU23"/>
  <c r="AQ23"/>
  <c r="AM23"/>
  <c r="AI23"/>
  <c r="AE23"/>
  <c r="AA23"/>
  <c r="W23"/>
  <c r="S23"/>
  <c r="O23"/>
  <c r="K23"/>
  <c r="AV22"/>
  <c r="AR22"/>
  <c r="AN22"/>
  <c r="AJ22"/>
  <c r="AF22"/>
  <c r="AB22"/>
  <c r="X22"/>
  <c r="T22"/>
  <c r="P22"/>
  <c r="L22"/>
  <c r="AT22"/>
  <c r="AP22"/>
  <c r="AL22"/>
  <c r="AH22"/>
  <c r="AD22"/>
  <c r="Z22"/>
  <c r="V22"/>
  <c r="R22"/>
  <c r="N22"/>
  <c r="J22"/>
  <c r="AW19"/>
  <c r="AS19"/>
  <c r="AO19"/>
  <c r="AK19"/>
  <c r="AG19"/>
  <c r="AC19"/>
  <c r="Y19"/>
  <c r="U19"/>
  <c r="Q19"/>
  <c r="M19"/>
  <c r="AU19"/>
  <c r="AQ19"/>
  <c r="AM19"/>
  <c r="AI19"/>
  <c r="AE19"/>
  <c r="AA19"/>
  <c r="W19"/>
  <c r="S19"/>
  <c r="O19"/>
  <c r="K19"/>
  <c r="AV18"/>
  <c r="AR18"/>
  <c r="AN18"/>
  <c r="AJ18"/>
  <c r="AF18"/>
  <c r="AB18"/>
  <c r="X18"/>
  <c r="T18"/>
  <c r="P18"/>
  <c r="L18"/>
  <c r="AT18"/>
  <c r="AP18"/>
  <c r="AL18"/>
  <c r="AH18"/>
  <c r="AD18"/>
  <c r="Z18"/>
  <c r="V18"/>
  <c r="R18"/>
  <c r="N18"/>
  <c r="J18"/>
  <c r="AW15"/>
  <c r="AS15"/>
  <c r="AO15"/>
  <c r="AK15"/>
  <c r="AG15"/>
  <c r="AC15"/>
  <c r="Y15"/>
  <c r="U15"/>
  <c r="Q15"/>
  <c r="M15"/>
  <c r="AU15"/>
  <c r="AQ15"/>
  <c r="AM15"/>
  <c r="AI15"/>
  <c r="AE15"/>
  <c r="AA15"/>
  <c r="W15"/>
  <c r="S15"/>
  <c r="O15"/>
  <c r="K15"/>
  <c r="AV14"/>
  <c r="AR14"/>
  <c r="AN14"/>
  <c r="AJ14"/>
  <c r="AF14"/>
  <c r="AB14"/>
  <c r="X14"/>
  <c r="T14"/>
  <c r="P14"/>
  <c r="L14"/>
  <c r="AT14"/>
  <c r="AP14"/>
  <c r="AL14"/>
  <c r="AH14"/>
  <c r="AD14"/>
  <c r="Z14"/>
  <c r="V14"/>
  <c r="R14"/>
  <c r="N14"/>
  <c r="J14"/>
  <c r="AW23" i="51"/>
  <c r="AS23"/>
  <c r="AO23"/>
  <c r="AK23"/>
  <c r="AG23"/>
  <c r="AC23"/>
  <c r="Y23"/>
  <c r="U23"/>
  <c r="Q23"/>
  <c r="M23"/>
  <c r="AU23"/>
  <c r="AQ23"/>
  <c r="AM23"/>
  <c r="AI23"/>
  <c r="AE23"/>
  <c r="AA23"/>
  <c r="W23"/>
  <c r="S23"/>
  <c r="O23"/>
  <c r="K23"/>
  <c r="AV22"/>
  <c r="AR22"/>
  <c r="AN22"/>
  <c r="AJ22"/>
  <c r="AF22"/>
  <c r="AB22"/>
  <c r="X22"/>
  <c r="T22"/>
  <c r="P22"/>
  <c r="L22"/>
  <c r="AT22"/>
  <c r="AP22"/>
  <c r="AL22"/>
  <c r="AH22"/>
  <c r="AD22"/>
  <c r="Z22"/>
  <c r="V22"/>
  <c r="R22"/>
  <c r="N22"/>
  <c r="J22"/>
  <c r="AW19"/>
  <c r="AS19"/>
  <c r="AO19"/>
  <c r="AK19"/>
  <c r="AG19"/>
  <c r="AC19"/>
  <c r="Y19"/>
  <c r="U19"/>
  <c r="Q19"/>
  <c r="M19"/>
  <c r="AU19"/>
  <c r="AQ19"/>
  <c r="AM19"/>
  <c r="AI19"/>
  <c r="AE19"/>
  <c r="AA19"/>
  <c r="W19"/>
  <c r="S19"/>
  <c r="O19"/>
  <c r="K19"/>
  <c r="AV18"/>
  <c r="AR18"/>
  <c r="AN18"/>
  <c r="AJ18"/>
  <c r="AF18"/>
  <c r="AB18"/>
  <c r="X18"/>
  <c r="T18"/>
  <c r="P18"/>
  <c r="L18"/>
  <c r="AT18"/>
  <c r="AP18"/>
  <c r="AL18"/>
  <c r="AH18"/>
  <c r="AD18"/>
  <c r="Z18"/>
  <c r="V18"/>
  <c r="R18"/>
  <c r="N18"/>
  <c r="J18"/>
  <c r="AW15"/>
  <c r="AS15"/>
  <c r="AO15"/>
  <c r="AK15"/>
  <c r="AG15"/>
  <c r="AC15"/>
  <c r="Y15"/>
  <c r="U15"/>
  <c r="Q15"/>
  <c r="M15"/>
  <c r="AU15"/>
  <c r="AQ15"/>
  <c r="AM15"/>
  <c r="AI15"/>
  <c r="AE15"/>
  <c r="AA15"/>
  <c r="W15"/>
  <c r="S15"/>
  <c r="O15"/>
  <c r="K15"/>
  <c r="AV14"/>
  <c r="AR14"/>
  <c r="AN14"/>
  <c r="AJ14"/>
  <c r="AF14"/>
  <c r="AB14"/>
  <c r="X14"/>
  <c r="T14"/>
  <c r="P14"/>
  <c r="L14"/>
  <c r="AT14"/>
  <c r="AP14"/>
  <c r="AL14"/>
  <c r="AH14"/>
  <c r="AD14"/>
  <c r="Z14"/>
  <c r="V14"/>
  <c r="R14"/>
  <c r="N14"/>
  <c r="J14"/>
  <c r="I20" i="14"/>
  <c r="J20"/>
  <c r="I24"/>
  <c r="J24"/>
  <c r="J21" l="1"/>
  <c r="I21"/>
  <c r="I10" i="34" l="1"/>
  <c r="G15" i="47" l="1"/>
  <c r="E5" i="12" a="1"/>
  <c r="E5" s="1"/>
  <c r="F25" i="15" a="1"/>
  <c r="F25" s="1"/>
  <c r="F26" s="1"/>
  <c r="E34" a="1"/>
  <c r="E34" s="1"/>
  <c r="E10" a="1"/>
  <c r="E10" s="1"/>
  <c r="E11" s="1"/>
  <c r="F27" a="1"/>
  <c r="F27" s="1"/>
  <c r="F28" s="1"/>
  <c r="E14" a="1"/>
  <c r="E14" s="1"/>
  <c r="E15" s="1"/>
  <c r="E21" a="1"/>
  <c r="E21" s="1"/>
  <c r="E29" a="1"/>
  <c r="E29" s="1"/>
  <c r="E30" s="1"/>
  <c r="F21" a="1"/>
  <c r="F21" s="1"/>
  <c r="H21" s="1"/>
  <c r="F12" a="1"/>
  <c r="F12" s="1"/>
  <c r="F13" s="1"/>
  <c r="E40" a="1"/>
  <c r="E40" s="1"/>
  <c r="E25" a="1"/>
  <c r="E25" s="1"/>
  <c r="E35" a="1"/>
  <c r="E35" s="1"/>
  <c r="F22" a="1"/>
  <c r="F22" s="1"/>
  <c r="F14" a="1"/>
  <c r="F14" s="1"/>
  <c r="F15" s="1"/>
  <c r="F29" a="1"/>
  <c r="F29" s="1"/>
  <c r="G29" s="1"/>
  <c r="E39" a="1"/>
  <c r="E39" s="1"/>
  <c r="F5" i="12" a="1"/>
  <c r="F5" s="1"/>
  <c r="E27" i="15" a="1"/>
  <c r="E27" s="1"/>
  <c r="G27" s="1"/>
  <c r="G28" s="1"/>
  <c r="E37" a="1"/>
  <c r="E37" s="1"/>
  <c r="E38" a="1"/>
  <c r="E38" s="1"/>
  <c r="F36" a="1"/>
  <c r="F36" s="1"/>
  <c r="F35" a="1"/>
  <c r="F35" s="1"/>
  <c r="F37" a="1"/>
  <c r="F37" s="1"/>
  <c r="E4" i="12" a="1"/>
  <c r="E4" s="1"/>
  <c r="E18" i="15" a="1"/>
  <c r="E18" s="1"/>
  <c r="F4" i="12" a="1"/>
  <c r="F4" s="1"/>
  <c r="F18" i="15" a="1"/>
  <c r="F18" s="1"/>
  <c r="E12" a="1"/>
  <c r="E12" s="1"/>
  <c r="G12" s="1"/>
  <c r="F31" a="1"/>
  <c r="F31" s="1"/>
  <c r="E22" a="1"/>
  <c r="E22" s="1"/>
  <c r="F16" a="1"/>
  <c r="F16" s="1"/>
  <c r="F17" s="1"/>
  <c r="F10" a="1"/>
  <c r="F10" s="1"/>
  <c r="F11" s="1"/>
  <c r="E20" a="1"/>
  <c r="E20" s="1"/>
  <c r="E9" i="12" s="1"/>
  <c r="F20" i="15" a="1"/>
  <c r="F20" s="1"/>
  <c r="F9" i="12" s="1"/>
  <c r="E31" i="15" a="1"/>
  <c r="E31" s="1"/>
  <c r="E16" a="1"/>
  <c r="E16" s="1"/>
  <c r="H16" s="1"/>
  <c r="F39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G21"/>
  <c r="F23"/>
  <c r="F24" s="1"/>
  <c r="H14" l="1"/>
  <c r="H15" s="1"/>
  <c r="G10"/>
  <c r="G11" s="1"/>
  <c r="I35"/>
  <c r="I21"/>
  <c r="F33"/>
  <c r="G22"/>
  <c r="G23" s="1"/>
  <c r="G24" s="1"/>
  <c r="I37"/>
  <c r="H27"/>
  <c r="H28" s="1"/>
  <c r="H29"/>
  <c r="H5" i="12"/>
  <c r="G5"/>
  <c r="G31" i="15"/>
  <c r="E17"/>
  <c r="G17" s="1"/>
  <c r="F38" a="1"/>
  <c r="F38" s="1"/>
  <c r="I38" s="1"/>
  <c r="E7" i="12"/>
  <c r="E11" s="1"/>
  <c r="F7"/>
  <c r="F11" s="1"/>
  <c r="G25" i="15"/>
  <c r="G26" s="1"/>
  <c r="H25"/>
  <c r="H26" s="1"/>
  <c r="F30"/>
  <c r="G30" s="1"/>
  <c r="H22"/>
  <c r="H23" s="1"/>
  <c r="H24" s="1"/>
  <c r="H10"/>
  <c r="H11" s="1"/>
  <c r="G14"/>
  <c r="G15" s="1"/>
  <c r="E26"/>
  <c r="E28"/>
  <c r="I22"/>
  <c r="H4" i="12"/>
  <c r="H20" i="15"/>
  <c r="H12"/>
  <c r="G4" i="12"/>
  <c r="E23" i="15"/>
  <c r="E24" s="1"/>
  <c r="I24" s="1"/>
  <c r="E33"/>
  <c r="G16"/>
  <c r="G20"/>
  <c r="G34" i="47"/>
  <c r="H15"/>
  <c r="I15"/>
  <c r="H18" i="15"/>
  <c r="F19"/>
  <c r="H31"/>
  <c r="G18"/>
  <c r="E19"/>
  <c r="H32"/>
  <c r="G32"/>
  <c r="G33" s="1"/>
  <c r="H13"/>
  <c r="G13"/>
  <c r="H17" l="1"/>
  <c r="H7" i="12"/>
  <c r="H30" i="15"/>
  <c r="F41"/>
  <c r="G7" i="12"/>
  <c r="E41" i="15"/>
  <c r="I23"/>
  <c r="H33"/>
  <c r="G19"/>
  <c r="I16" i="47"/>
  <c r="I35"/>
  <c r="H35"/>
  <c r="H16"/>
  <c r="H19" i="15"/>
  <c r="G41"/>
  <c r="E43" l="1"/>
  <c r="H41"/>
  <c r="H43" s="1"/>
  <c r="H17" i="47"/>
  <c r="I17"/>
  <c r="I18" l="1"/>
  <c r="H18"/>
  <c r="B11" i="51" l="1"/>
  <c r="D13" i="39"/>
  <c r="G11" i="48"/>
  <c r="D11" i="51"/>
  <c r="E11" i="50"/>
  <c r="C11" i="51"/>
  <c r="D11" i="50"/>
  <c r="G11"/>
  <c r="H11" i="48"/>
  <c r="H19" i="47"/>
  <c r="I19"/>
  <c r="C14" i="39"/>
  <c r="A17" i="51" l="1" a="1"/>
  <c r="A17" s="1"/>
  <c r="I17" s="1"/>
  <c r="A16" a="1"/>
  <c r="A16" s="1"/>
  <c r="I16" s="1"/>
  <c r="A19" a="1"/>
  <c r="A19" s="1"/>
  <c r="I19" s="1"/>
  <c r="A21" a="1"/>
  <c r="A21" s="1"/>
  <c r="I21" s="1"/>
  <c r="A13" a="1"/>
  <c r="A13" s="1"/>
  <c r="I13" s="1"/>
  <c r="A20" a="1"/>
  <c r="A20" s="1"/>
  <c r="I20" s="1"/>
  <c r="A12" a="1"/>
  <c r="A12" s="1"/>
  <c r="I12" s="1"/>
  <c r="A23" a="1"/>
  <c r="A23" s="1"/>
  <c r="I23" s="1"/>
  <c r="A15" a="1"/>
  <c r="A15" s="1"/>
  <c r="I15" s="1"/>
  <c r="A22" a="1"/>
  <c r="A22" s="1"/>
  <c r="I22" s="1"/>
  <c r="A14" a="1"/>
  <c r="A14" s="1"/>
  <c r="I14" s="1"/>
  <c r="A18" a="1"/>
  <c r="A18" s="1"/>
  <c r="I18" s="1"/>
  <c r="F11" i="48"/>
  <c r="L11" s="1"/>
  <c r="L63" s="1"/>
  <c r="G11" i="51"/>
  <c r="AT11" s="1"/>
  <c r="AT31" s="1"/>
  <c r="C11" i="49"/>
  <c r="A37" s="1" a="1"/>
  <c r="A37" s="1"/>
  <c r="I37" s="1"/>
  <c r="D11" i="48"/>
  <c r="C11" i="50"/>
  <c r="A31" s="1" a="1"/>
  <c r="A31" s="1"/>
  <c r="I31" s="1"/>
  <c r="G11" i="49"/>
  <c r="AV11" s="1"/>
  <c r="B11" i="50"/>
  <c r="F11" i="49"/>
  <c r="R11" s="1"/>
  <c r="H11"/>
  <c r="AS11" s="1"/>
  <c r="H11" i="51"/>
  <c r="AW11" s="1"/>
  <c r="D11" i="49"/>
  <c r="C11" i="48"/>
  <c r="A11" s="1" a="1"/>
  <c r="A11" s="1"/>
  <c r="I11" s="1"/>
  <c r="F11" i="50"/>
  <c r="AN11" s="1"/>
  <c r="AN34" s="1"/>
  <c r="F28" s="1"/>
  <c r="F11" i="51"/>
  <c r="AN11" s="1"/>
  <c r="AN31" s="1"/>
  <c r="F25" s="1"/>
  <c r="B11" i="48"/>
  <c r="E11" i="49"/>
  <c r="E11" i="51"/>
  <c r="E11" i="48"/>
  <c r="H11" i="50"/>
  <c r="AW11" s="1"/>
  <c r="B11" i="49"/>
  <c r="AW11"/>
  <c r="AO11"/>
  <c r="AG11"/>
  <c r="AG41" s="1"/>
  <c r="Y11"/>
  <c r="Y41" s="1"/>
  <c r="Q11"/>
  <c r="Q41" s="1"/>
  <c r="AU11"/>
  <c r="AU41" s="1"/>
  <c r="AM11"/>
  <c r="AE11"/>
  <c r="AE41" s="1"/>
  <c r="W11"/>
  <c r="W41" s="1"/>
  <c r="O11"/>
  <c r="O41" s="1"/>
  <c r="U11" i="51"/>
  <c r="U31" s="1"/>
  <c r="AA11"/>
  <c r="AA31" s="1"/>
  <c r="A60" i="48" a="1"/>
  <c r="A60" s="1"/>
  <c r="I60" s="1"/>
  <c r="AS11" i="50"/>
  <c r="AK11"/>
  <c r="AK34" s="1"/>
  <c r="F30" s="1"/>
  <c r="AC11"/>
  <c r="AC34" s="1"/>
  <c r="U11"/>
  <c r="U34" s="1"/>
  <c r="M11"/>
  <c r="M34" s="1"/>
  <c r="AQ11"/>
  <c r="AQ34" s="1"/>
  <c r="F31" s="1"/>
  <c r="AI11"/>
  <c r="AI34" s="1"/>
  <c r="AA11"/>
  <c r="AA34" s="1"/>
  <c r="S11"/>
  <c r="S34" s="1"/>
  <c r="K11"/>
  <c r="K34" s="1"/>
  <c r="AW11" i="48"/>
  <c r="AS11"/>
  <c r="AO11"/>
  <c r="AK11"/>
  <c r="AK63" s="1"/>
  <c r="AG11"/>
  <c r="AG63" s="1"/>
  <c r="AC11"/>
  <c r="AC63" s="1"/>
  <c r="Y11"/>
  <c r="Y63" s="1"/>
  <c r="U11"/>
  <c r="U63" s="1"/>
  <c r="Q11"/>
  <c r="Q63" s="1"/>
  <c r="M11"/>
  <c r="M63" s="1"/>
  <c r="AU11"/>
  <c r="AU63" s="1"/>
  <c r="AQ11"/>
  <c r="AQ63" s="1"/>
  <c r="AM11"/>
  <c r="AI11"/>
  <c r="AI63" s="1"/>
  <c r="AE11"/>
  <c r="AE63" s="1"/>
  <c r="AA11"/>
  <c r="AA63" s="1"/>
  <c r="W11"/>
  <c r="W63" s="1"/>
  <c r="S11"/>
  <c r="S63" s="1"/>
  <c r="O11"/>
  <c r="O63" s="1"/>
  <c r="K11"/>
  <c r="K63" s="1"/>
  <c r="AT11" i="50"/>
  <c r="AT34" s="1"/>
  <c r="AP11"/>
  <c r="AL11"/>
  <c r="AL34" s="1"/>
  <c r="F27" s="1"/>
  <c r="AH11"/>
  <c r="AD11"/>
  <c r="AD34" s="1"/>
  <c r="Z11"/>
  <c r="Z34" s="1"/>
  <c r="V11"/>
  <c r="V34" s="1"/>
  <c r="R11"/>
  <c r="N11"/>
  <c r="N34" s="1"/>
  <c r="J11"/>
  <c r="J34" s="1"/>
  <c r="AV11"/>
  <c r="AR11"/>
  <c r="AR34" s="1"/>
  <c r="F32" s="1"/>
  <c r="AJ11"/>
  <c r="AF11"/>
  <c r="AF34" s="1"/>
  <c r="AB11"/>
  <c r="AB34" s="1"/>
  <c r="X11"/>
  <c r="X34" s="1"/>
  <c r="T11"/>
  <c r="T34" s="1"/>
  <c r="P11"/>
  <c r="P34" s="1"/>
  <c r="L11"/>
  <c r="L34" s="1"/>
  <c r="AP11" i="51"/>
  <c r="AH11"/>
  <c r="R11"/>
  <c r="J11"/>
  <c r="J31" s="1"/>
  <c r="AR11"/>
  <c r="AR31" s="1"/>
  <c r="F29" s="1"/>
  <c r="AF11"/>
  <c r="AF31" s="1"/>
  <c r="X11"/>
  <c r="X31" s="1"/>
  <c r="P11"/>
  <c r="P31" s="1"/>
  <c r="A39" i="49" a="1"/>
  <c r="A39" s="1"/>
  <c r="I39" s="1"/>
  <c r="A35" a="1"/>
  <c r="A35" s="1"/>
  <c r="I35" s="1"/>
  <c r="A38" a="1"/>
  <c r="A38" s="1"/>
  <c r="I38" s="1"/>
  <c r="A34" a="1"/>
  <c r="A34" s="1"/>
  <c r="I34" s="1"/>
  <c r="A29" i="51" a="1"/>
  <c r="A29" s="1"/>
  <c r="I29" s="1"/>
  <c r="A27" a="1"/>
  <c r="A27" s="1"/>
  <c r="I27" s="1"/>
  <c r="A25" a="1"/>
  <c r="A25" s="1"/>
  <c r="I25" s="1"/>
  <c r="A24" a="1"/>
  <c r="A24" s="1"/>
  <c r="I24" s="1"/>
  <c r="A28" a="1"/>
  <c r="A28" s="1"/>
  <c r="I28" s="1"/>
  <c r="A26" a="1"/>
  <c r="A26" s="1"/>
  <c r="I26" s="1"/>
  <c r="A11" a="1"/>
  <c r="A11" s="1"/>
  <c r="I11" s="1"/>
  <c r="A27" i="50" a="1"/>
  <c r="A27" s="1"/>
  <c r="I27" s="1"/>
  <c r="A29" a="1"/>
  <c r="A29" s="1"/>
  <c r="I29" s="1"/>
  <c r="A32" a="1"/>
  <c r="A32" s="1"/>
  <c r="I32" s="1"/>
  <c r="A28" a="1"/>
  <c r="A28" s="1"/>
  <c r="I28" s="1"/>
  <c r="AR11" i="49"/>
  <c r="AR41" s="1"/>
  <c r="F39" s="1"/>
  <c r="AJ11"/>
  <c r="AB11"/>
  <c r="AB41" s="1"/>
  <c r="T11"/>
  <c r="T41" s="1"/>
  <c r="L11"/>
  <c r="L41" s="1"/>
  <c r="AP11"/>
  <c r="AH11"/>
  <c r="Z11"/>
  <c r="Z41" s="1"/>
  <c r="N11"/>
  <c r="N41" s="1"/>
  <c r="AV11" i="48"/>
  <c r="AR11"/>
  <c r="AR63" s="1"/>
  <c r="AN11"/>
  <c r="AN63" s="1"/>
  <c r="AJ11"/>
  <c r="AF11"/>
  <c r="AF63" s="1"/>
  <c r="AB11"/>
  <c r="AB63" s="1"/>
  <c r="X11"/>
  <c r="X63" s="1"/>
  <c r="T11"/>
  <c r="T63" s="1"/>
  <c r="P11"/>
  <c r="P63" s="1"/>
  <c r="AT11"/>
  <c r="AT63" s="1"/>
  <c r="AP11"/>
  <c r="AL11"/>
  <c r="AL63" s="1"/>
  <c r="AH11"/>
  <c r="AD11"/>
  <c r="AD63" s="1"/>
  <c r="Z11"/>
  <c r="Z63" s="1"/>
  <c r="V11"/>
  <c r="V63" s="1"/>
  <c r="R11"/>
  <c r="N11"/>
  <c r="N63" s="1"/>
  <c r="J11"/>
  <c r="J63" s="1"/>
  <c r="C12" i="39"/>
  <c r="C15"/>
  <c r="H5"/>
  <c r="M16" s="1"/>
  <c r="C10"/>
  <c r="I12" i="42"/>
  <c r="I20" i="47"/>
  <c r="H20"/>
  <c r="I11" i="43"/>
  <c r="G13" i="42"/>
  <c r="H13"/>
  <c r="B12" i="43"/>
  <c r="G12"/>
  <c r="F12"/>
  <c r="F13"/>
  <c r="H34"/>
  <c r="H36"/>
  <c r="H38"/>
  <c r="H40"/>
  <c r="H42"/>
  <c r="H44"/>
  <c r="H46"/>
  <c r="H48"/>
  <c r="G34"/>
  <c r="G36"/>
  <c r="G38"/>
  <c r="G40"/>
  <c r="G42"/>
  <c r="G44"/>
  <c r="G46"/>
  <c r="G48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53" s="1"/>
  <c r="F34"/>
  <c r="F36"/>
  <c r="F38"/>
  <c r="F41"/>
  <c r="F44"/>
  <c r="F48"/>
  <c r="E35"/>
  <c r="E39"/>
  <c r="E43"/>
  <c r="E47"/>
  <c r="F16"/>
  <c r="F20"/>
  <c r="F24"/>
  <c r="F28"/>
  <c r="F32"/>
  <c r="A16"/>
  <c r="A20"/>
  <c r="A24"/>
  <c r="A28"/>
  <c r="A32"/>
  <c r="D33"/>
  <c r="D35"/>
  <c r="D37"/>
  <c r="D39"/>
  <c r="D41"/>
  <c r="D43"/>
  <c r="D45"/>
  <c r="D47"/>
  <c r="C33"/>
  <c r="C35"/>
  <c r="C37"/>
  <c r="C39"/>
  <c r="C41"/>
  <c r="C43"/>
  <c r="C45"/>
  <c r="C47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33"/>
  <c r="B35"/>
  <c r="B37"/>
  <c r="B39"/>
  <c r="B41"/>
  <c r="B43"/>
  <c r="B45"/>
  <c r="B47"/>
  <c r="A33"/>
  <c r="A35"/>
  <c r="A37"/>
  <c r="A39"/>
  <c r="A41"/>
  <c r="A43"/>
  <c r="A45"/>
  <c r="A47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E34"/>
  <c r="E38"/>
  <c r="E42"/>
  <c r="E45"/>
  <c r="F17"/>
  <c r="F21"/>
  <c r="F25"/>
  <c r="F29"/>
  <c r="A13"/>
  <c r="A17"/>
  <c r="A21"/>
  <c r="A25"/>
  <c r="A29"/>
  <c r="H12"/>
  <c r="H33"/>
  <c r="H35"/>
  <c r="H37"/>
  <c r="H39"/>
  <c r="H41"/>
  <c r="H43"/>
  <c r="H45"/>
  <c r="H47"/>
  <c r="G33"/>
  <c r="G35"/>
  <c r="G37"/>
  <c r="G39"/>
  <c r="G41"/>
  <c r="G43"/>
  <c r="G45"/>
  <c r="G47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33"/>
  <c r="F35"/>
  <c r="F37"/>
  <c r="F39"/>
  <c r="F42"/>
  <c r="F46"/>
  <c r="E33"/>
  <c r="E37"/>
  <c r="E41"/>
  <c r="E46"/>
  <c r="E48"/>
  <c r="F14"/>
  <c r="F18"/>
  <c r="F22"/>
  <c r="F26"/>
  <c r="F30"/>
  <c r="A14"/>
  <c r="A18"/>
  <c r="A22"/>
  <c r="A26"/>
  <c r="A30"/>
  <c r="C12"/>
  <c r="D34"/>
  <c r="D36"/>
  <c r="D38"/>
  <c r="D40"/>
  <c r="D42"/>
  <c r="D44"/>
  <c r="D46"/>
  <c r="D48"/>
  <c r="C34"/>
  <c r="C36"/>
  <c r="C38"/>
  <c r="C40"/>
  <c r="C42"/>
  <c r="C44"/>
  <c r="C46"/>
  <c r="C48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34"/>
  <c r="B36"/>
  <c r="B38"/>
  <c r="B40"/>
  <c r="B42"/>
  <c r="B44"/>
  <c r="B46"/>
  <c r="B48"/>
  <c r="A34"/>
  <c r="A36"/>
  <c r="A38"/>
  <c r="A40"/>
  <c r="A42"/>
  <c r="A44"/>
  <c r="A46"/>
  <c r="A48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E36"/>
  <c r="E40"/>
  <c r="E44"/>
  <c r="F15"/>
  <c r="F19"/>
  <c r="F23"/>
  <c r="F27"/>
  <c r="F31"/>
  <c r="A15"/>
  <c r="A19"/>
  <c r="A23"/>
  <c r="A27"/>
  <c r="A31"/>
  <c r="G17" i="42"/>
  <c r="A15"/>
  <c r="A19"/>
  <c r="B15"/>
  <c r="D18"/>
  <c r="D14"/>
  <c r="F14"/>
  <c r="C15"/>
  <c r="C17"/>
  <c r="C19"/>
  <c r="E14"/>
  <c r="E16"/>
  <c r="E18"/>
  <c r="F20"/>
  <c r="C20"/>
  <c r="B16"/>
  <c r="F13"/>
  <c r="H18"/>
  <c r="H16"/>
  <c r="H14"/>
  <c r="F19"/>
  <c r="F15"/>
  <c r="G16"/>
  <c r="H20"/>
  <c r="A14"/>
  <c r="A18"/>
  <c r="B17"/>
  <c r="D19"/>
  <c r="D15"/>
  <c r="F16"/>
  <c r="G15"/>
  <c r="G19"/>
  <c r="A17"/>
  <c r="A13"/>
  <c r="A26" s="1"/>
  <c r="B19"/>
  <c r="B14"/>
  <c r="E20"/>
  <c r="D16"/>
  <c r="F18"/>
  <c r="C14"/>
  <c r="C16"/>
  <c r="C18"/>
  <c r="D20"/>
  <c r="E13"/>
  <c r="E15"/>
  <c r="E17"/>
  <c r="E19"/>
  <c r="C13"/>
  <c r="B18"/>
  <c r="H19"/>
  <c r="D13"/>
  <c r="A20"/>
  <c r="H17"/>
  <c r="H15"/>
  <c r="F17"/>
  <c r="G14"/>
  <c r="G18"/>
  <c r="A16"/>
  <c r="B20"/>
  <c r="B13"/>
  <c r="D17"/>
  <c r="G20"/>
  <c r="Z11" i="51" l="1"/>
  <c r="Z31" s="1"/>
  <c r="K11"/>
  <c r="K31" s="1"/>
  <c r="AQ11"/>
  <c r="AQ31" s="1"/>
  <c r="F28" s="1"/>
  <c r="AK11"/>
  <c r="AK31" s="1"/>
  <c r="F27" s="1"/>
  <c r="A30" i="50" a="1"/>
  <c r="A30" s="1"/>
  <c r="I30" s="1"/>
  <c r="A11" a="1"/>
  <c r="A11" s="1"/>
  <c r="I11" s="1"/>
  <c r="A36" i="49" a="1"/>
  <c r="A36" s="1"/>
  <c r="I36" s="1"/>
  <c r="A11" a="1"/>
  <c r="A11" s="1"/>
  <c r="I11" s="1"/>
  <c r="O11" i="50"/>
  <c r="O34" s="1"/>
  <c r="W11"/>
  <c r="W34" s="1"/>
  <c r="AE11"/>
  <c r="AE34" s="1"/>
  <c r="AM11"/>
  <c r="AU11"/>
  <c r="AU34" s="1"/>
  <c r="Q11"/>
  <c r="Q34" s="1"/>
  <c r="Y11"/>
  <c r="Y34" s="1"/>
  <c r="AG11"/>
  <c r="AG34" s="1"/>
  <c r="AO11"/>
  <c r="K11" i="49"/>
  <c r="K41" s="1"/>
  <c r="S11"/>
  <c r="S41" s="1"/>
  <c r="AA11"/>
  <c r="AA41" s="1"/>
  <c r="AI11"/>
  <c r="AI41" s="1"/>
  <c r="AQ11"/>
  <c r="AQ41" s="1"/>
  <c r="F38" s="1"/>
  <c r="M11"/>
  <c r="M41" s="1"/>
  <c r="U11"/>
  <c r="U41" s="1"/>
  <c r="AC11"/>
  <c r="AC41" s="1"/>
  <c r="AK11"/>
  <c r="AK41" s="1"/>
  <c r="F37" s="1"/>
  <c r="A22" i="50" a="1"/>
  <c r="A22" s="1"/>
  <c r="I22" s="1"/>
  <c r="A14" a="1"/>
  <c r="A14" s="1"/>
  <c r="I14" s="1"/>
  <c r="A20" a="1"/>
  <c r="A20" s="1"/>
  <c r="I20" s="1"/>
  <c r="A12" a="1"/>
  <c r="A12" s="1"/>
  <c r="I12" s="1"/>
  <c r="A25" a="1"/>
  <c r="A25" s="1"/>
  <c r="I25" s="1"/>
  <c r="A17" a="1"/>
  <c r="A17" s="1"/>
  <c r="I17" s="1"/>
  <c r="A23" a="1"/>
  <c r="A23" s="1"/>
  <c r="I23" s="1"/>
  <c r="A15" a="1"/>
  <c r="A15" s="1"/>
  <c r="I15" s="1"/>
  <c r="A26" a="1"/>
  <c r="A26" s="1"/>
  <c r="I26" s="1"/>
  <c r="A18" a="1"/>
  <c r="A18" s="1"/>
  <c r="I18" s="1"/>
  <c r="A24" a="1"/>
  <c r="A24" s="1"/>
  <c r="I24" s="1"/>
  <c r="A16" a="1"/>
  <c r="A16" s="1"/>
  <c r="I16" s="1"/>
  <c r="A21" a="1"/>
  <c r="A21" s="1"/>
  <c r="I21" s="1"/>
  <c r="A13" a="1"/>
  <c r="A13" s="1"/>
  <c r="I13" s="1"/>
  <c r="A19" a="1"/>
  <c r="A19" s="1"/>
  <c r="I19" s="1"/>
  <c r="A13" i="49" a="1"/>
  <c r="A13" s="1"/>
  <c r="I13" s="1"/>
  <c r="A29" a="1"/>
  <c r="A29" s="1"/>
  <c r="I29" s="1"/>
  <c r="A21" a="1"/>
  <c r="A21" s="1"/>
  <c r="I21" s="1"/>
  <c r="A27" a="1"/>
  <c r="A27" s="1"/>
  <c r="I27" s="1"/>
  <c r="A19" a="1"/>
  <c r="A19" s="1"/>
  <c r="I19" s="1"/>
  <c r="A28" a="1"/>
  <c r="A28" s="1"/>
  <c r="I28" s="1"/>
  <c r="A20" a="1"/>
  <c r="A20" s="1"/>
  <c r="I20" s="1"/>
  <c r="A12" a="1"/>
  <c r="A12" s="1"/>
  <c r="I12" s="1"/>
  <c r="A30" a="1"/>
  <c r="A30" s="1"/>
  <c r="I30" s="1"/>
  <c r="A22" a="1"/>
  <c r="A22" s="1"/>
  <c r="I22" s="1"/>
  <c r="A14" a="1"/>
  <c r="A14" s="1"/>
  <c r="I14" s="1"/>
  <c r="A33" a="1"/>
  <c r="A33" s="1"/>
  <c r="I33" s="1"/>
  <c r="A25" a="1"/>
  <c r="A25" s="1"/>
  <c r="I25" s="1"/>
  <c r="A17" a="1"/>
  <c r="A17" s="1"/>
  <c r="I17" s="1"/>
  <c r="A31" a="1"/>
  <c r="A31" s="1"/>
  <c r="I31" s="1"/>
  <c r="A23" a="1"/>
  <c r="A23" s="1"/>
  <c r="I23" s="1"/>
  <c r="A15" a="1"/>
  <c r="A15" s="1"/>
  <c r="I15" s="1"/>
  <c r="A32" a="1"/>
  <c r="A32" s="1"/>
  <c r="I32" s="1"/>
  <c r="A24" a="1"/>
  <c r="A24" s="1"/>
  <c r="I24" s="1"/>
  <c r="A16" a="1"/>
  <c r="A16" s="1"/>
  <c r="I16" s="1"/>
  <c r="A26" a="1"/>
  <c r="A26" s="1"/>
  <c r="I26" s="1"/>
  <c r="A18" a="1"/>
  <c r="A18" s="1"/>
  <c r="I18" s="1"/>
  <c r="A52" i="48" a="1"/>
  <c r="A52" s="1"/>
  <c r="I52" s="1"/>
  <c r="A51" a="1"/>
  <c r="A51" s="1"/>
  <c r="I51" s="1"/>
  <c r="A54" a="1"/>
  <c r="A54" s="1"/>
  <c r="I54" s="1"/>
  <c r="A53" a="1"/>
  <c r="A53" s="1"/>
  <c r="I53" s="1"/>
  <c r="A50" a="1"/>
  <c r="A50" s="1"/>
  <c r="I50" s="1"/>
  <c r="A44" a="1"/>
  <c r="A44" s="1"/>
  <c r="I44" s="1"/>
  <c r="A47" a="1"/>
  <c r="A47" s="1"/>
  <c r="I47" s="1"/>
  <c r="A39" a="1"/>
  <c r="A39" s="1"/>
  <c r="I39" s="1"/>
  <c r="A46" a="1"/>
  <c r="A46" s="1"/>
  <c r="I46" s="1"/>
  <c r="A38" a="1"/>
  <c r="A38" s="1"/>
  <c r="I38" s="1"/>
  <c r="A49" a="1"/>
  <c r="A49" s="1"/>
  <c r="I49" s="1"/>
  <c r="A41" a="1"/>
  <c r="A41" s="1"/>
  <c r="I41" s="1"/>
  <c r="A48" a="1"/>
  <c r="A48" s="1"/>
  <c r="I48" s="1"/>
  <c r="A40" a="1"/>
  <c r="A40" s="1"/>
  <c r="I40" s="1"/>
  <c r="A43" a="1"/>
  <c r="A43" s="1"/>
  <c r="I43" s="1"/>
  <c r="A42" a="1"/>
  <c r="A42" s="1"/>
  <c r="I42" s="1"/>
  <c r="A45" a="1"/>
  <c r="A45" s="1"/>
  <c r="I45" s="1"/>
  <c r="A37" a="1"/>
  <c r="A37" s="1"/>
  <c r="I37" s="1"/>
  <c r="A55" a="1"/>
  <c r="A55" s="1"/>
  <c r="I55" s="1"/>
  <c r="A12" a="1"/>
  <c r="A12" s="1"/>
  <c r="I12" s="1"/>
  <c r="A36" a="1"/>
  <c r="A36" s="1"/>
  <c r="I36" s="1"/>
  <c r="A28" a="1"/>
  <c r="A28" s="1"/>
  <c r="I28" s="1"/>
  <c r="A20" a="1"/>
  <c r="A20" s="1"/>
  <c r="I20" s="1"/>
  <c r="A31" a="1"/>
  <c r="A31" s="1"/>
  <c r="I31" s="1"/>
  <c r="A23" a="1"/>
  <c r="A23" s="1"/>
  <c r="I23" s="1"/>
  <c r="A15" a="1"/>
  <c r="A15" s="1"/>
  <c r="I15" s="1"/>
  <c r="A30" a="1"/>
  <c r="A30" s="1"/>
  <c r="I30" s="1"/>
  <c r="A22" a="1"/>
  <c r="A22" s="1"/>
  <c r="I22" s="1"/>
  <c r="A14" a="1"/>
  <c r="A14" s="1"/>
  <c r="I14" s="1"/>
  <c r="A33" a="1"/>
  <c r="A33" s="1"/>
  <c r="I33" s="1"/>
  <c r="A25" a="1"/>
  <c r="A25" s="1"/>
  <c r="I25" s="1"/>
  <c r="A17" a="1"/>
  <c r="A17" s="1"/>
  <c r="I17" s="1"/>
  <c r="A32" a="1"/>
  <c r="A32" s="1"/>
  <c r="I32" s="1"/>
  <c r="A24" a="1"/>
  <c r="A24" s="1"/>
  <c r="I24" s="1"/>
  <c r="A16" a="1"/>
  <c r="A16" s="1"/>
  <c r="I16" s="1"/>
  <c r="A35" a="1"/>
  <c r="A35" s="1"/>
  <c r="I35" s="1"/>
  <c r="A27" a="1"/>
  <c r="A27" s="1"/>
  <c r="I27" s="1"/>
  <c r="A19" a="1"/>
  <c r="A19" s="1"/>
  <c r="I19" s="1"/>
  <c r="A34" a="1"/>
  <c r="A34" s="1"/>
  <c r="I34" s="1"/>
  <c r="A26" a="1"/>
  <c r="A26" s="1"/>
  <c r="I26" s="1"/>
  <c r="A18" a="1"/>
  <c r="A18" s="1"/>
  <c r="I18" s="1"/>
  <c r="A29" a="1"/>
  <c r="A29" s="1"/>
  <c r="I29" s="1"/>
  <c r="A21" a="1"/>
  <c r="A21" s="1"/>
  <c r="I21" s="1"/>
  <c r="A13" a="1"/>
  <c r="A13" s="1"/>
  <c r="I13" s="1"/>
  <c r="J11" i="49"/>
  <c r="J41" s="1"/>
  <c r="V11"/>
  <c r="V41" s="1"/>
  <c r="AD11"/>
  <c r="AD41" s="1"/>
  <c r="AL11"/>
  <c r="AL41" s="1"/>
  <c r="F34" s="1"/>
  <c r="R34" s="1"/>
  <c r="R41" s="1"/>
  <c r="AT11"/>
  <c r="AT41" s="1"/>
  <c r="P11"/>
  <c r="P41" s="1"/>
  <c r="X11"/>
  <c r="X41" s="1"/>
  <c r="AF11"/>
  <c r="AF41" s="1"/>
  <c r="AN11"/>
  <c r="AN41" s="1"/>
  <c r="F35" s="1"/>
  <c r="L11" i="51"/>
  <c r="L31" s="1"/>
  <c r="T11"/>
  <c r="T31" s="1"/>
  <c r="AB11"/>
  <c r="AB31" s="1"/>
  <c r="AJ11"/>
  <c r="AV11"/>
  <c r="N11"/>
  <c r="N31" s="1"/>
  <c r="V11"/>
  <c r="V31" s="1"/>
  <c r="AD11"/>
  <c r="AD31" s="1"/>
  <c r="AL11"/>
  <c r="AL31" s="1"/>
  <c r="F24" s="1"/>
  <c r="AM24" s="1"/>
  <c r="A61" i="48" a="1"/>
  <c r="A61" s="1"/>
  <c r="I61" s="1"/>
  <c r="A59" a="1"/>
  <c r="A59" s="1"/>
  <c r="I59" s="1"/>
  <c r="S11" i="51"/>
  <c r="S31" s="1"/>
  <c r="AI11"/>
  <c r="AI31" s="1"/>
  <c r="M11"/>
  <c r="M31" s="1"/>
  <c r="AC11"/>
  <c r="AC31" s="1"/>
  <c r="AS11"/>
  <c r="A58" i="48" a="1"/>
  <c r="A58" s="1"/>
  <c r="I58" s="1"/>
  <c r="A57" a="1"/>
  <c r="A57" s="1"/>
  <c r="I57" s="1"/>
  <c r="A56" a="1"/>
  <c r="A56" s="1"/>
  <c r="I56" s="1"/>
  <c r="O11" i="51"/>
  <c r="O31" s="1"/>
  <c r="W11"/>
  <c r="W31" s="1"/>
  <c r="AE11"/>
  <c r="AE31" s="1"/>
  <c r="AM11"/>
  <c r="AU11"/>
  <c r="AU31" s="1"/>
  <c r="Q11"/>
  <c r="Q31" s="1"/>
  <c r="Y11"/>
  <c r="Y31" s="1"/>
  <c r="AG11"/>
  <c r="AG31" s="1"/>
  <c r="AO11"/>
  <c r="J64" i="48"/>
  <c r="J10" i="49" s="1"/>
  <c r="J65" i="48"/>
  <c r="Z64"/>
  <c r="Z10" i="49" s="1"/>
  <c r="Z65" i="48"/>
  <c r="Z43" i="49" s="1"/>
  <c r="Z36" i="50" s="1"/>
  <c r="Z33" i="51" s="1"/>
  <c r="L64" i="48"/>
  <c r="L10" i="49" s="1"/>
  <c r="L65" i="48"/>
  <c r="L43" i="49" s="1"/>
  <c r="L36" i="50" s="1"/>
  <c r="T64" i="48"/>
  <c r="T10" i="49" s="1"/>
  <c r="T65" i="48"/>
  <c r="T43" i="49" s="1"/>
  <c r="T36" i="50" s="1"/>
  <c r="AB65" i="48"/>
  <c r="AB43" i="49" s="1"/>
  <c r="AB36" i="50" s="1"/>
  <c r="AB64" i="48"/>
  <c r="AB10" i="49" s="1"/>
  <c r="F61" i="48"/>
  <c r="AR65"/>
  <c r="AR43" i="49" s="1"/>
  <c r="AR36" i="50" s="1"/>
  <c r="AR33" i="51" s="1"/>
  <c r="AS39" i="49"/>
  <c r="AS41" s="1"/>
  <c r="AV39"/>
  <c r="AO25" i="51"/>
  <c r="AV25"/>
  <c r="AV28" i="50"/>
  <c r="AO28"/>
  <c r="AO34" s="1"/>
  <c r="R27"/>
  <c r="R34" s="1"/>
  <c r="AM27"/>
  <c r="AM34" s="1"/>
  <c r="O65" i="48"/>
  <c r="O43" i="49" s="1"/>
  <c r="O36" i="50" s="1"/>
  <c r="O64" i="48"/>
  <c r="O10" i="49" s="1"/>
  <c r="W65" i="48"/>
  <c r="W64"/>
  <c r="W10" i="49" s="1"/>
  <c r="AE65" i="48"/>
  <c r="AE43" i="49" s="1"/>
  <c r="AE36" i="50" s="1"/>
  <c r="AE64" i="48"/>
  <c r="AE10" i="49" s="1"/>
  <c r="AU65" i="48"/>
  <c r="AU43" i="49" s="1"/>
  <c r="AU36" i="50" s="1"/>
  <c r="AU64" i="48"/>
  <c r="AU10" i="49" s="1"/>
  <c r="Q65" i="48"/>
  <c r="Q43" i="49" s="1"/>
  <c r="Q36" i="50" s="1"/>
  <c r="Q64" i="48"/>
  <c r="Q10" i="49" s="1"/>
  <c r="Y65" i="48"/>
  <c r="Y43" i="49" s="1"/>
  <c r="Y36" i="50" s="1"/>
  <c r="Y64" i="48"/>
  <c r="Y10" i="49" s="1"/>
  <c r="AG65" i="48"/>
  <c r="AG43" i="49" s="1"/>
  <c r="AG36" i="50" s="1"/>
  <c r="AG64" i="48"/>
  <c r="AG10" i="49" s="1"/>
  <c r="W43"/>
  <c r="W36" i="50" s="1"/>
  <c r="N65" i="48"/>
  <c r="N43" i="49" s="1"/>
  <c r="N36" i="50" s="1"/>
  <c r="N64" i="48"/>
  <c r="N10" i="49" s="1"/>
  <c r="V65" i="48"/>
  <c r="V64"/>
  <c r="V10" i="49" s="1"/>
  <c r="AD64" i="48"/>
  <c r="AD10" i="49" s="1"/>
  <c r="AD65" i="48"/>
  <c r="AL65"/>
  <c r="F56"/>
  <c r="AT64"/>
  <c r="AT10" i="49" s="1"/>
  <c r="AT65" i="48"/>
  <c r="P64"/>
  <c r="P10" i="49" s="1"/>
  <c r="P65" i="48"/>
  <c r="X65"/>
  <c r="X64"/>
  <c r="X10" i="49" s="1"/>
  <c r="AF64" i="48"/>
  <c r="AF10" i="49" s="1"/>
  <c r="AF65" i="48"/>
  <c r="F57"/>
  <c r="AN65"/>
  <c r="AS29" i="51"/>
  <c r="AV29"/>
  <c r="AV32" i="50"/>
  <c r="AS32"/>
  <c r="AS34" s="1"/>
  <c r="K65" i="48"/>
  <c r="K43" i="49" s="1"/>
  <c r="K36" i="50" s="1"/>
  <c r="K33" i="51" s="1"/>
  <c r="K64" i="48"/>
  <c r="K10" i="49" s="1"/>
  <c r="S65" i="48"/>
  <c r="S43" i="49" s="1"/>
  <c r="S36" i="50" s="1"/>
  <c r="AA65" i="48"/>
  <c r="AA43" i="49" s="1"/>
  <c r="AA36" i="50" s="1"/>
  <c r="AA33" i="51" s="1"/>
  <c r="AA64" i="48"/>
  <c r="AA10" i="49" s="1"/>
  <c r="AI65" i="48"/>
  <c r="AI43" i="49" s="1"/>
  <c r="AI36" i="50" s="1"/>
  <c r="F60" i="48"/>
  <c r="AQ65"/>
  <c r="AQ43" i="49" s="1"/>
  <c r="AQ36" i="50" s="1"/>
  <c r="AQ33" i="51" s="1"/>
  <c r="M65" i="48"/>
  <c r="M43" i="49" s="1"/>
  <c r="M36" i="50" s="1"/>
  <c r="M64" i="48"/>
  <c r="M10" i="49" s="1"/>
  <c r="U65" i="48"/>
  <c r="U43" i="49" s="1"/>
  <c r="U36" i="50" s="1"/>
  <c r="U33" i="51" s="1"/>
  <c r="U64" i="48"/>
  <c r="U10" i="49" s="1"/>
  <c r="AC65" i="48"/>
  <c r="AC43" i="49" s="1"/>
  <c r="AC36" i="50" s="1"/>
  <c r="AC64" i="48"/>
  <c r="AC10" i="49" s="1"/>
  <c r="AK65" i="48"/>
  <c r="AK43" i="49" s="1"/>
  <c r="AK36" i="50" s="1"/>
  <c r="AK33" i="51" s="1"/>
  <c r="F59" i="48"/>
  <c r="AW31" i="50"/>
  <c r="AP31"/>
  <c r="AP34" s="1"/>
  <c r="AJ30"/>
  <c r="AJ34" s="1"/>
  <c r="AW30"/>
  <c r="AP28" i="51"/>
  <c r="AP31" s="1"/>
  <c r="AW28"/>
  <c r="AJ27"/>
  <c r="AW27"/>
  <c r="AP38" i="49"/>
  <c r="AP41" s="1"/>
  <c r="AW38"/>
  <c r="AJ37"/>
  <c r="AJ41" s="1"/>
  <c r="AW37"/>
  <c r="I21" i="47"/>
  <c r="H21"/>
  <c r="G22" i="42"/>
  <c r="H22"/>
  <c r="I13"/>
  <c r="I14" s="1"/>
  <c r="I15" s="1"/>
  <c r="I16" s="1"/>
  <c r="I17" s="1"/>
  <c r="I18" s="1"/>
  <c r="I19" s="1"/>
  <c r="I20" s="1"/>
  <c r="E34"/>
  <c r="G50" i="43"/>
  <c r="H50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AC42" i="49" l="1"/>
  <c r="AC10" i="50" s="1"/>
  <c r="AO31" i="51"/>
  <c r="L33"/>
  <c r="X43" i="49"/>
  <c r="X36" i="50" s="1"/>
  <c r="X33" i="51" s="1"/>
  <c r="AT42" i="49"/>
  <c r="AT10" i="50" s="1"/>
  <c r="AD42" i="49"/>
  <c r="AD10" i="50" s="1"/>
  <c r="N33" i="51"/>
  <c r="AM34" i="49"/>
  <c r="AM41" s="1"/>
  <c r="AF42"/>
  <c r="AF10" i="50" s="1"/>
  <c r="P42" i="49"/>
  <c r="P10" i="50" s="1"/>
  <c r="AL43" i="49"/>
  <c r="AL36" i="50" s="1"/>
  <c r="AL33" i="51" s="1"/>
  <c r="V43" i="49"/>
  <c r="V36" i="50" s="1"/>
  <c r="V33" i="51" s="1"/>
  <c r="R24"/>
  <c r="R31" s="1"/>
  <c r="AJ31"/>
  <c r="M33"/>
  <c r="K42" i="49"/>
  <c r="K10" i="50" s="1"/>
  <c r="AN43" i="49"/>
  <c r="AN36" i="50" s="1"/>
  <c r="AN33" i="51" s="1"/>
  <c r="S33"/>
  <c r="AS31"/>
  <c r="AT43" i="49"/>
  <c r="AT36" i="50" s="1"/>
  <c r="AT33" i="51" s="1"/>
  <c r="AD43" i="49"/>
  <c r="AD36" i="50" s="1"/>
  <c r="AD33" i="51" s="1"/>
  <c r="Y33"/>
  <c r="AU33"/>
  <c r="AE33"/>
  <c r="O33"/>
  <c r="T33"/>
  <c r="J43" i="49"/>
  <c r="J36" i="50" s="1"/>
  <c r="J33" i="51" s="1"/>
  <c r="AC33"/>
  <c r="AI33"/>
  <c r="AF43" i="49"/>
  <c r="AF36" i="50" s="1"/>
  <c r="AF33" i="51" s="1"/>
  <c r="P43" i="49"/>
  <c r="P36" i="50" s="1"/>
  <c r="P33" i="51" s="1"/>
  <c r="AB33"/>
  <c r="W33"/>
  <c r="AG33"/>
  <c r="Q33"/>
  <c r="AM31"/>
  <c r="U42" i="49"/>
  <c r="U10" i="50" s="1"/>
  <c r="M42" i="49"/>
  <c r="M10" i="50" s="1"/>
  <c r="AA42" i="49"/>
  <c r="AA10" i="50" s="1"/>
  <c r="AV34"/>
  <c r="F29" s="1"/>
  <c r="AV31" i="51"/>
  <c r="F26" s="1"/>
  <c r="X42" i="49"/>
  <c r="X10" i="50" s="1"/>
  <c r="V42" i="49"/>
  <c r="V10" i="50" s="1"/>
  <c r="N42" i="49"/>
  <c r="N10" i="50" s="1"/>
  <c r="AV57" i="48"/>
  <c r="AO57"/>
  <c r="AO63" s="1"/>
  <c r="AM56"/>
  <c r="AM63" s="1"/>
  <c r="R56"/>
  <c r="R63" s="1"/>
  <c r="AS61"/>
  <c r="AS63" s="1"/>
  <c r="AV61"/>
  <c r="AG42" i="49"/>
  <c r="AG10" i="50" s="1"/>
  <c r="AG35" s="1"/>
  <c r="AG10" i="51" s="1"/>
  <c r="Y42" i="49"/>
  <c r="Y10" i="50" s="1"/>
  <c r="Y35" s="1"/>
  <c r="Y10" i="51" s="1"/>
  <c r="Q42" i="49"/>
  <c r="Q10" i="50" s="1"/>
  <c r="AU42" i="49"/>
  <c r="AU10" i="50" s="1"/>
  <c r="AE42" i="49"/>
  <c r="AE10" i="50" s="1"/>
  <c r="W42" i="49"/>
  <c r="W10" i="50" s="1"/>
  <c r="O42" i="49"/>
  <c r="O10" i="50" s="1"/>
  <c r="T42" i="49"/>
  <c r="T10" i="50" s="1"/>
  <c r="T35" s="1"/>
  <c r="T10" i="51" s="1"/>
  <c r="L42" i="49"/>
  <c r="L10" i="50" s="1"/>
  <c r="Z42" i="49"/>
  <c r="Z10" i="50" s="1"/>
  <c r="Z35" s="1"/>
  <c r="Z10" i="51" s="1"/>
  <c r="J42" i="49"/>
  <c r="J10" i="50" s="1"/>
  <c r="AW59" i="48"/>
  <c r="AJ59"/>
  <c r="AJ63" s="1"/>
  <c r="AW60"/>
  <c r="AP60"/>
  <c r="AP63" s="1"/>
  <c r="AV35" i="49"/>
  <c r="AV41" s="1"/>
  <c r="F36" s="1"/>
  <c r="AO35"/>
  <c r="AO41" s="1"/>
  <c r="U35" i="50"/>
  <c r="U10" i="51" s="1"/>
  <c r="U32" s="1"/>
  <c r="X35" i="50"/>
  <c r="X10" i="51" s="1"/>
  <c r="X32" s="1"/>
  <c r="AB42" i="49"/>
  <c r="AB10" i="50" s="1"/>
  <c r="AB35" s="1"/>
  <c r="AB10" i="51" s="1"/>
  <c r="H22" i="47"/>
  <c r="I22"/>
  <c r="I23" i="42"/>
  <c r="I50" i="43"/>
  <c r="I51" s="1"/>
  <c r="M35" i="50" l="1"/>
  <c r="M10" i="51" s="1"/>
  <c r="L35" i="50"/>
  <c r="L10" i="51" s="1"/>
  <c r="AW26"/>
  <c r="AW31" s="1"/>
  <c r="AH26"/>
  <c r="AH31" s="1"/>
  <c r="AW36" i="49"/>
  <c r="AW41" s="1"/>
  <c r="AH36"/>
  <c r="AH41" s="1"/>
  <c r="AW29" i="50"/>
  <c r="AW34" s="1"/>
  <c r="AH29"/>
  <c r="AH34" s="1"/>
  <c r="AU35"/>
  <c r="AU10" i="51" s="1"/>
  <c r="AD35" i="50"/>
  <c r="AD10" i="51" s="1"/>
  <c r="AE35" i="50"/>
  <c r="AE10" i="51" s="1"/>
  <c r="Q35" i="50"/>
  <c r="Q10" i="51" s="1"/>
  <c r="J35" i="50"/>
  <c r="J10" i="51" s="1"/>
  <c r="O35" i="50"/>
  <c r="O10" i="51" s="1"/>
  <c r="W35" i="50"/>
  <c r="W10" i="51" s="1"/>
  <c r="AF35" i="50"/>
  <c r="AF10" i="51" s="1"/>
  <c r="AF32" s="1"/>
  <c r="R65" i="48"/>
  <c r="R43" i="49" s="1"/>
  <c r="R36" i="50" s="1"/>
  <c r="R33" i="51" s="1"/>
  <c r="R64" i="48"/>
  <c r="R10" i="49" s="1"/>
  <c r="S64" i="48"/>
  <c r="S10" i="49" s="1"/>
  <c r="AO65" i="48"/>
  <c r="AO43" i="49" s="1"/>
  <c r="AO36" i="50" s="1"/>
  <c r="AO33" i="51" s="1"/>
  <c r="AO64" i="48"/>
  <c r="AO10" i="49" s="1"/>
  <c r="AN64" i="48"/>
  <c r="AN10" i="49" s="1"/>
  <c r="AC35" i="50"/>
  <c r="AC10" i="51" s="1"/>
  <c r="AC32" s="1"/>
  <c r="T32"/>
  <c r="Y32"/>
  <c r="N35" i="50"/>
  <c r="N10" i="51" s="1"/>
  <c r="AT35" i="50"/>
  <c r="AT10" i="51" s="1"/>
  <c r="AA35" i="50"/>
  <c r="AA10" i="51" s="1"/>
  <c r="AA32" s="1"/>
  <c r="AP65" i="48"/>
  <c r="AP43" i="49" s="1"/>
  <c r="AP36" i="50" s="1"/>
  <c r="AP33" i="51" s="1"/>
  <c r="AP64" i="48"/>
  <c r="AP10" i="49" s="1"/>
  <c r="AQ64" i="48"/>
  <c r="AQ10" i="49" s="1"/>
  <c r="AJ65" i="48"/>
  <c r="AJ43" i="49" s="1"/>
  <c r="AJ36" i="50" s="1"/>
  <c r="AJ33" i="51" s="1"/>
  <c r="AJ64" i="48"/>
  <c r="AJ10" i="49" s="1"/>
  <c r="AK64" i="48"/>
  <c r="AK10" i="49" s="1"/>
  <c r="AS65" i="48"/>
  <c r="AS43" i="49" s="1"/>
  <c r="AS36" i="50" s="1"/>
  <c r="AS33" i="51" s="1"/>
  <c r="AS64" i="48"/>
  <c r="AS10" i="49" s="1"/>
  <c r="AR64" i="48"/>
  <c r="AR10" i="49" s="1"/>
  <c r="AM64" i="48"/>
  <c r="AM10" i="49" s="1"/>
  <c r="AM65" i="48"/>
  <c r="AM43" i="49" s="1"/>
  <c r="AM36" i="50" s="1"/>
  <c r="AM33" i="51" s="1"/>
  <c r="AL64" i="48"/>
  <c r="AL10" i="49" s="1"/>
  <c r="AL42" s="1"/>
  <c r="AL10" i="50" s="1"/>
  <c r="V35"/>
  <c r="V10" i="51" s="1"/>
  <c r="P35" i="50"/>
  <c r="P10" i="51" s="1"/>
  <c r="K35" i="50"/>
  <c r="K10" i="51" s="1"/>
  <c r="AV63" i="48"/>
  <c r="F58" s="1"/>
  <c r="I23" i="47"/>
  <c r="H23"/>
  <c r="M32" i="51" l="1"/>
  <c r="L32"/>
  <c r="L38" s="1"/>
  <c r="AH58" i="48"/>
  <c r="AH63" s="1"/>
  <c r="AW58"/>
  <c r="AW63" s="1"/>
  <c r="AT32" i="51"/>
  <c r="P32"/>
  <c r="K32"/>
  <c r="AE32"/>
  <c r="AD32"/>
  <c r="V32"/>
  <c r="O32"/>
  <c r="N32"/>
  <c r="AN42" i="49"/>
  <c r="AN10" i="50" s="1"/>
  <c r="R42" i="49"/>
  <c r="R10" i="50" s="1"/>
  <c r="AG32" i="51"/>
  <c r="AS42" i="49"/>
  <c r="AS10" i="50" s="1"/>
  <c r="AK42" i="49"/>
  <c r="AK10" i="50" s="1"/>
  <c r="AP42" i="49"/>
  <c r="AP10" i="50" s="1"/>
  <c r="S42" i="49"/>
  <c r="S10" i="50" s="1"/>
  <c r="AW65" i="48"/>
  <c r="AW43" i="49" s="1"/>
  <c r="AW36" i="50" s="1"/>
  <c r="AW33" i="51" s="1"/>
  <c r="AW64" i="48"/>
  <c r="AW10" i="49" s="1"/>
  <c r="AM42"/>
  <c r="AM10" i="50" s="1"/>
  <c r="AM35" s="1"/>
  <c r="AM10" i="51" s="1"/>
  <c r="AU32"/>
  <c r="AB32"/>
  <c r="AO42" i="49"/>
  <c r="AO10" i="50" s="1"/>
  <c r="AV65" i="48"/>
  <c r="AV43" i="49" s="1"/>
  <c r="AV36" i="50" s="1"/>
  <c r="AV33" i="51" s="1"/>
  <c r="AV64" i="48"/>
  <c r="AV10" i="49" s="1"/>
  <c r="AV42" s="1"/>
  <c r="AV10" i="50" s="1"/>
  <c r="Q32" i="51"/>
  <c r="J32"/>
  <c r="AR42" i="49"/>
  <c r="AR10" i="50" s="1"/>
  <c r="AR35" s="1"/>
  <c r="AR10" i="51" s="1"/>
  <c r="AJ42" i="49"/>
  <c r="AJ10" i="50" s="1"/>
  <c r="AJ35" s="1"/>
  <c r="AJ10" i="51" s="1"/>
  <c r="AQ42" i="49"/>
  <c r="AQ10" i="50" s="1"/>
  <c r="AQ35" s="1"/>
  <c r="AQ10" i="51" s="1"/>
  <c r="W32"/>
  <c r="Z32"/>
  <c r="H24" i="47"/>
  <c r="I24"/>
  <c r="AH64" i="48" l="1"/>
  <c r="AH10" i="49" s="1"/>
  <c r="AI64" i="48"/>
  <c r="AI10" i="49" s="1"/>
  <c r="AH65" i="48"/>
  <c r="AH43" i="49" s="1"/>
  <c r="AH36" i="50" s="1"/>
  <c r="AH33" i="51" s="1"/>
  <c r="AO35" i="50"/>
  <c r="AO10" i="51" s="1"/>
  <c r="AN35" i="50"/>
  <c r="AN10" i="51" s="1"/>
  <c r="S35" i="50"/>
  <c r="S10" i="51" s="1"/>
  <c r="R35" i="50"/>
  <c r="R10" i="51" s="1"/>
  <c r="AP35" i="50"/>
  <c r="AP10" i="51" s="1"/>
  <c r="AP32" s="1"/>
  <c r="AS35" i="50"/>
  <c r="AS10" i="51" s="1"/>
  <c r="AS32" s="1"/>
  <c r="AL35" i="50"/>
  <c r="AL10" i="51" s="1"/>
  <c r="AL32" s="1"/>
  <c r="AK35" i="50"/>
  <c r="AK10" i="51" s="1"/>
  <c r="AK32" s="1"/>
  <c r="AW42" i="49"/>
  <c r="AW10" i="50" s="1"/>
  <c r="AW35" s="1"/>
  <c r="AW10" i="51" s="1"/>
  <c r="I25" i="47"/>
  <c r="H25"/>
  <c r="AH42" i="49" l="1"/>
  <c r="AH10" i="50" s="1"/>
  <c r="AI42" i="49"/>
  <c r="AI10" i="50" s="1"/>
  <c r="AN32" i="51"/>
  <c r="AR32"/>
  <c r="AM32"/>
  <c r="AO32"/>
  <c r="R32"/>
  <c r="S32"/>
  <c r="AV35" i="50"/>
  <c r="AV10" i="51" s="1"/>
  <c r="AV32" s="1"/>
  <c r="AQ32"/>
  <c r="AJ32"/>
  <c r="H26" i="47"/>
  <c r="I26"/>
  <c r="AI35" i="50" l="1"/>
  <c r="AI10" i="51" s="1"/>
  <c r="AH35" i="50"/>
  <c r="AH10" i="51" s="1"/>
  <c r="AW32"/>
  <c r="I27" i="47"/>
  <c r="H27"/>
  <c r="AH32" i="51" l="1"/>
  <c r="H28" i="47"/>
  <c r="AI32" i="51"/>
  <c r="H29" i="47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<sst xmlns="http://schemas.openxmlformats.org/spreadsheetml/2006/main" count="1204" uniqueCount="281">
  <si>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</si>
  <si>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</si>
  <si>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</si>
  <si>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</si>
  <si>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</si>
  <si>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</si>
  <si>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</si>
  <si>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</si>
  <si>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</si>
  <si>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</si>
  <si>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</si>
  <si>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</si>
  <si>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</si>
  <si>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</si>
  <si>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</si>
  <si>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</si>
  <si>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</si>
  <si>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</si>
  <si>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</si>
  <si>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</si>
  <si>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</si>
  <si>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</si>
  <si>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</si>
  <si>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</si>
  <si>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</si>
  <si>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</si>
  <si>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</si>
  <si>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</si>
  <si>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</si>
  <si>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</si>
  <si>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</si>
  <si>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</si>
  <si>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</si>
  <si>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</si>
  <si>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</si>
  <si>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</si>
  <si>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</si>
  <si>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</si>
  <si>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</si>
  <si>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</si>
  <si>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</si>
  <si>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</si>
  <si>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</si>
  <si>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</si>
  <si>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</si>
  <si>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</si>
  <si>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</si>
  <si>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</si>
  <si>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</si>
  <si>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</si>
  <si>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</si>
  <si>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</si>
  <si>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</si>
  <si>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</si>
  <si>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C02</t>
  </si>
  <si>
    <t>C03</t>
  </si>
  <si>
    <t>TỔNG CỘNG</t>
  </si>
  <si>
    <t>341</t>
  </si>
  <si>
    <t>515</t>
  </si>
  <si>
    <t>SỐ DƯ CUỐI KỲ</t>
  </si>
  <si>
    <t>NỢ</t>
  </si>
  <si>
    <t>CÓ</t>
  </si>
  <si>
    <t>C06</t>
  </si>
  <si>
    <t>Khách Hàng</t>
  </si>
  <si>
    <t>Đối tượng:</t>
  </si>
  <si>
    <t>Mẫu số S31-DN</t>
  </si>
  <si>
    <t>(Ban hành theo Thông tư số 200/2014/TT-BTC Ngày 22/12/2014 của Bộ Tài chính)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</si>
  <si>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</si>
  <si>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</si>
  <si>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</si>
  <si>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</si>
  <si>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</si>
  <si>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</si>
  <si>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</si>
  <si>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</si>
  <si>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</si>
  <si>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</si>
  <si>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</si>
  <si>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</si>
  <si>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</si>
  <si>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</si>
  <si>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</si>
  <si>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</si>
  <si>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</si>
  <si>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</si>
  <si>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</si>
  <si>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</si>
  <si>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</si>
  <si>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</si>
  <si>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</si>
  <si>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</si>
  <si>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</si>
  <si>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</si>
  <si>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</si>
  <si>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</si>
  <si>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</si>
  <si>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</si>
  <si>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</si>
  <si>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</si>
  <si>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</si>
  <si>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</si>
  <si>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</si>
  <si>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</si>
  <si>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</si>
  <si>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</si>
  <si>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</si>
  <si>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</si>
  <si>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</si>
  <si>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</si>
  <si>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</si>
  <si>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</si>
  <si>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</si>
  <si>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</si>
  <si>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</si>
  <si>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</si>
  <si>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</si>
  <si>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</si>
  <si>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</si>
  <si>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</si>
  <si>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</si>
  <si>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</si>
  <si>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</si>
  <si>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</si>
  <si>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</si>
  <si>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</si>
  <si>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</si>
  <si>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</si>
  <si>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</si>
  <si>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</si>
  <si>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</si>
  <si>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</si>
  <si>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</si>
  <si>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</si>
  <si>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</si>
  <si>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</si>
  <si>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</si>
  <si>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</si>
  <si>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</si>
  <si>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</si>
  <si>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</si>
  <si>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</si>
  <si>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</si>
  <si>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</si>
  <si>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</si>
  <si>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</si>
  <si>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</si>
  <si>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</si>
  <si>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</si>
  <si>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</si>
  <si>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</si>
  <si>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</si>
  <si>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</si>
  <si>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</si>
  <si>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</si>
  <si>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</si>
  <si>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</si>
  <si>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</si>
  <si>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</si>
  <si>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</si>
  <si>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</si>
  <si>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</si>
  <si>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</si>
  <si>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Nộp tiền mặt vào tài khoản ngân hàng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</si>
  <si>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</si>
  <si>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</si>
  <si>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</si>
  <si>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</si>
  <si>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</si>
  <si>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</si>
  <si>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</si>
  <si>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</si>
  <si>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</si>
  <si>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</si>
  <si>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</si>
  <si>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</si>
  <si>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</si>
  <si>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</si>
  <si>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</si>
  <si>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</si>
  <si>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</si>
  <si>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</si>
  <si>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</si>
  <si>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</si>
  <si>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</si>
  <si>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</si>
  <si>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</si>
  <si>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</si>
  <si>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</si>
  <si>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</si>
  <si>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</si>
  <si>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</si>
  <si>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</si>
  <si>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</si>
  <si>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</si>
  <si>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</si>
  <si>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</si>
  <si>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</si>
  <si>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</si>
  <si>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</si>
  <si>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</si>
  <si>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Số dư đầu kỳ</t>
  </si>
  <si>
    <t>Cộng số phát sinh</t>
  </si>
  <si>
    <t>Ngày 31 tháng  12  năm  2015</t>
  </si>
  <si>
    <t>Địa chỉ: 20 Lô E KCN Long Đức Tp.Trà Vinh Tỉnh Trà Vinh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</si>
  <si>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</si>
  <si>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</si>
  <si>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</si>
  <si>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</si>
  <si>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</si>
  <si>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</si>
  <si>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</si>
  <si>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</si>
  <si>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</si>
  <si>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</si>
  <si>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</si>
  <si>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</si>
  <si>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</si>
  <si>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</si>
  <si>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</si>
  <si>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</si>
  <si>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</si>
  <si>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</si>
  <si>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</si>
  <si>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</si>
  <si>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</si>
  <si>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</si>
  <si>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</si>
  <si>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</si>
  <si>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</si>
  <si>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</si>
  <si>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</si>
  <si>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</si>
  <si>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</si>
  <si>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</si>
  <si>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</si>
  <si>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</si>
  <si>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</si>
  <si>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</si>
  <si>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</si>
  <si>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</si>
  <si>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</si>
  <si>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</si>
  <si>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</si>
  <si>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</si>
  <si>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</si>
  <si>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</si>
  <si>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</si>
  <si>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</si>
  <si>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</si>
  <si>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</si>
  <si>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</si>
  <si>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NK</t>
  </si>
  <si>
    <t>241</t>
  </si>
  <si>
    <t>Quý</t>
  </si>
  <si>
    <t>Thanh toán tiền xây dựng - Khánh Trân</t>
  </si>
  <si>
    <t>Phí kiểm đếm</t>
  </si>
  <si>
    <t>VAT Phí kiểm đếm</t>
  </si>
  <si>
    <t>Phí điều chỉnh lệnh chi tiền</t>
  </si>
  <si>
    <t>VAT Phí điều chỉnh lệnh chi tiền</t>
  </si>
  <si>
    <t>Trả tiền mượn vốn - An Lạc</t>
  </si>
  <si>
    <t>An Lạc - Mượn vốn</t>
  </si>
  <si>
    <t>Thuế môn bài 2011</t>
  </si>
  <si>
    <t>An Lạc LA- Mượn vốn</t>
  </si>
  <si>
    <t xml:space="preserve">GTGT Phí chuyển tiền </t>
  </si>
  <si>
    <t>Trả tiền mượn vốn - An Lạc LA</t>
  </si>
  <si>
    <t>Phí NH</t>
  </si>
  <si>
    <t>Thanh toán Thuê quyền SDĐ - KCN Long Đức 15/9/10-15/9/11</t>
  </si>
  <si>
    <t>0139645</t>
  </si>
  <si>
    <t>Thuê quyền SDĐ - KCN Long Đức 26/8/10-15/9/11</t>
  </si>
  <si>
    <t>GTGT Phí kiểm đếm</t>
  </si>
  <si>
    <t>GTGT Phí duy trì DV SMS</t>
  </si>
  <si>
    <t>Phí duy trì DV SMS - 0913906967</t>
  </si>
  <si>
    <t>Phí duy trì DV SMS</t>
  </si>
  <si>
    <t>Thanh toán Thuê quyền SDĐ - KCN Long Đức 15/9/11-15/9/12</t>
  </si>
  <si>
    <t>0043444</t>
  </si>
  <si>
    <t>Thuê quyền SDĐ - KCN Long Đức 15/9/11-15/9/12</t>
  </si>
  <si>
    <t>Lệ phí cấp giấy cục thuế Trà Vinh</t>
  </si>
  <si>
    <t>Cty TNHH Hải Sản An Lạc</t>
  </si>
  <si>
    <t>Đặng Văn Trí</t>
  </si>
  <si>
    <t>Đặng Thành Thang</t>
  </si>
  <si>
    <t>Quý I</t>
  </si>
</sst>
</file>

<file path=xl/styles.xml><?xml version="1.0" encoding="utf-8"?>
<styleSheet xmlns="http://schemas.openxmlformats.org/spreadsheetml/2006/main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3" fillId="0" borderId="0"/>
    <xf numFmtId="0" fontId="3" fillId="0" borderId="0"/>
    <xf numFmtId="0" fontId="59" fillId="0" borderId="0" applyNumberFormat="0" applyFill="0" applyBorder="0" applyAlignment="0" applyProtection="0">
      <alignment vertical="top"/>
      <protection locked="0"/>
    </xf>
    <xf numFmtId="43" fontId="64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4" fillId="0" borderId="0" applyFont="0" applyFill="0" applyBorder="0" applyAlignment="0" applyProtection="0"/>
    <xf numFmtId="0" fontId="64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5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4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0" fontId="50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8" fillId="0" borderId="0" xfId="77" applyNumberFormat="1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10" fontId="60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1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Font="1" applyFill="1" applyBorder="1" applyAlignment="1" applyProtection="1">
      <alignment horizontal="justify" vertical="center"/>
      <protection hidden="1"/>
    </xf>
    <xf numFmtId="0" fontId="61" fillId="0" borderId="0" xfId="77" applyFont="1" applyFill="1" applyBorder="1" applyAlignment="1" applyProtection="1">
      <alignment vertical="center"/>
      <protection hidden="1"/>
    </xf>
    <xf numFmtId="171" fontId="62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1" fillId="0" borderId="0" xfId="74" applyNumberFormat="1" applyFont="1" applyFill="1" applyBorder="1" applyAlignment="1" applyProtection="1">
      <alignment vertical="center"/>
      <protection hidden="1"/>
    </xf>
    <xf numFmtId="10" fontId="61" fillId="0" borderId="0" xfId="79" applyNumberFormat="1" applyFont="1" applyFill="1" applyBorder="1" applyAlignment="1" applyProtection="1">
      <alignment vertical="center"/>
      <protection hidden="1"/>
    </xf>
    <xf numFmtId="49" fontId="63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NumberFormat="1" applyFont="1" applyFill="1" applyBorder="1" applyAlignment="1" applyProtection="1">
      <alignment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NumberFormat="1" applyFont="1" applyFill="1" applyBorder="1" applyAlignment="1" applyProtection="1">
      <alignment horizontal="left" vertical="center"/>
      <protection hidden="1"/>
    </xf>
    <xf numFmtId="10" fontId="61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8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0" fontId="34" fillId="0" borderId="0" xfId="0" applyFont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172" fontId="62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5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8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6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6" fillId="29" borderId="0" xfId="87" applyFont="1" applyFill="1" applyAlignment="1">
      <alignment horizontal="center" vertical="center"/>
    </xf>
    <xf numFmtId="0" fontId="66" fillId="29" borderId="0" xfId="87" applyFont="1" applyFill="1" applyAlignment="1">
      <alignment horizontal="left" vertical="center" wrapText="1"/>
    </xf>
    <xf numFmtId="0" fontId="67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9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69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0" fillId="29" borderId="2" xfId="87" applyNumberFormat="1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1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9" fillId="29" borderId="2" xfId="87" applyNumberFormat="1" applyFont="1" applyFill="1" applyBorder="1" applyAlignment="1">
      <alignment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vertical="center" wrapText="1"/>
    </xf>
    <xf numFmtId="164" fontId="71" fillId="29" borderId="2" xfId="87" applyNumberFormat="1" applyFont="1" applyFill="1" applyBorder="1" applyAlignment="1">
      <alignment vertical="center" wrapText="1"/>
    </xf>
    <xf numFmtId="0" fontId="69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1" fillId="29" borderId="0" xfId="87" applyFont="1" applyFill="1" applyAlignment="1">
      <alignment horizontal="center" vertical="center" wrapText="1"/>
    </xf>
    <xf numFmtId="0" fontId="72" fillId="29" borderId="0" xfId="87" applyFont="1" applyFill="1" applyAlignment="1">
      <alignment horizontal="center" vertical="center" wrapText="1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9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/>
    </xf>
    <xf numFmtId="164" fontId="69" fillId="29" borderId="0" xfId="74" applyNumberFormat="1" applyFont="1" applyFill="1" applyAlignment="1">
      <alignment horizontal="center" vertical="center"/>
    </xf>
    <xf numFmtId="0" fontId="69" fillId="29" borderId="0" xfId="87" applyFont="1" applyFill="1" applyAlignment="1">
      <alignment vertical="center" wrapText="1"/>
    </xf>
    <xf numFmtId="0" fontId="73" fillId="0" borderId="0" xfId="87" applyFont="1" applyAlignment="1">
      <alignment vertical="center"/>
    </xf>
    <xf numFmtId="14" fontId="73" fillId="0" borderId="0" xfId="87" applyNumberFormat="1" applyFont="1" applyAlignment="1">
      <alignment vertical="center"/>
    </xf>
    <xf numFmtId="0" fontId="73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164" fontId="74" fillId="25" borderId="31" xfId="77" applyNumberFormat="1" applyFont="1" applyFill="1" applyBorder="1" applyAlignment="1">
      <alignment vertical="center"/>
    </xf>
    <xf numFmtId="164" fontId="74" fillId="0" borderId="39" xfId="77" applyNumberFormat="1" applyFont="1" applyBorder="1" applyAlignment="1" applyProtection="1">
      <alignment vertical="center"/>
      <protection hidden="1"/>
    </xf>
    <xf numFmtId="164" fontId="74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 applyAlignment="1">
      <alignment horizontal="center" vertical="center"/>
    </xf>
    <xf numFmtId="14" fontId="33" fillId="0" borderId="16" xfId="52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5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5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34" fillId="0" borderId="2" xfId="0" applyFont="1" applyBorder="1" applyAlignment="1">
      <alignment horizontal="center" wrapText="1"/>
    </xf>
    <xf numFmtId="16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34" fillId="0" borderId="17" xfId="0" applyNumberFormat="1" applyFont="1" applyBorder="1" applyAlignment="1">
      <alignment horizontal="center" vertical="center"/>
    </xf>
    <xf numFmtId="14" fontId="34" fillId="0" borderId="18" xfId="0" applyNumberFormat="1" applyFont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49" fontId="34" fillId="0" borderId="2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5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6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5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71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9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69" fillId="29" borderId="17" xfId="87" applyNumberFormat="1" applyFont="1" applyFill="1" applyBorder="1" applyAlignment="1">
      <alignment horizontal="center" vertical="center" wrapText="1"/>
    </xf>
    <xf numFmtId="14" fontId="69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69" fillId="29" borderId="36" xfId="87" applyFont="1" applyFill="1" applyBorder="1" applyAlignment="1">
      <alignment horizontal="center" vertical="center" wrapText="1"/>
    </xf>
    <xf numFmtId="0" fontId="69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0" fontId="67" fillId="29" borderId="0" xfId="87" applyFont="1" applyFill="1" applyAlignment="1">
      <alignment horizontal="center" vertical="center"/>
    </xf>
    <xf numFmtId="0" fontId="68" fillId="0" borderId="0" xfId="87" applyFont="1" applyAlignment="1">
      <alignment horizontal="center" vertical="center" wrapText="1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CONG%20NO/CONG%20NO%202015/TRA%20VINH/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DPS"/>
      <sheetName val="TH"/>
      <sheetName val="331"/>
      <sheetName val="331-CT"/>
      <sheetName val="TH - TT"/>
      <sheetName val="tra vinh"/>
      <sheetName val="TH - TT (2)"/>
    </sheetNames>
    <sheetDataSet>
      <sheetData sheetId="0"/>
      <sheetData sheetId="1">
        <row r="7">
          <cell r="L7">
            <v>331</v>
          </cell>
        </row>
      </sheetData>
      <sheetData sheetId="2">
        <row r="4">
          <cell r="B4" t="str">
            <v>BQL Khu Kinh Tế Trà Vinh</v>
          </cell>
        </row>
      </sheetData>
      <sheetData sheetId="3">
        <row r="7">
          <cell r="E7" t="str">
            <v>Cty CP Cơ Khí Kim Loại Xây Dựng Hoàng Kim</v>
          </cell>
        </row>
      </sheetData>
      <sheetData sheetId="4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5000000</v>
          </cell>
          <cell r="K45" t="str">
            <v>Thanh toán TM</v>
          </cell>
        </row>
        <row r="46">
          <cell r="I46">
            <v>41490000</v>
          </cell>
          <cell r="K46" t="str">
            <v>Thanh toán TM</v>
          </cell>
        </row>
        <row r="47">
          <cell r="I47">
            <v>5000000</v>
          </cell>
          <cell r="K47" t="str">
            <v>Thanh toán TM</v>
          </cell>
        </row>
        <row r="48">
          <cell r="I48">
            <v>51490000</v>
          </cell>
          <cell r="K48" t="str">
            <v>x</v>
          </cell>
        </row>
        <row r="49">
          <cell r="I49">
            <v>0</v>
          </cell>
        </row>
        <row r="50">
          <cell r="I50">
            <v>20000000</v>
          </cell>
          <cell r="K50" t="str">
            <v>Thanh toán NH</v>
          </cell>
        </row>
        <row r="51">
          <cell r="I51">
            <v>20000000</v>
          </cell>
          <cell r="K51" t="str">
            <v>Thanh toán NH</v>
          </cell>
        </row>
        <row r="52">
          <cell r="I52">
            <v>50000000</v>
          </cell>
          <cell r="K52" t="str">
            <v>Thanh toán NH</v>
          </cell>
        </row>
        <row r="53">
          <cell r="I53">
            <v>50000000</v>
          </cell>
          <cell r="K53" t="str">
            <v>Thanh toán NH</v>
          </cell>
        </row>
        <row r="54">
          <cell r="I54">
            <v>50000000</v>
          </cell>
          <cell r="K54" t="str">
            <v>Thanh toán NH</v>
          </cell>
        </row>
        <row r="55">
          <cell r="I55">
            <v>50000000</v>
          </cell>
          <cell r="K55" t="str">
            <v>Thanh toán NH</v>
          </cell>
        </row>
        <row r="56">
          <cell r="I56">
            <v>49000000</v>
          </cell>
          <cell r="K56" t="str">
            <v>Thanh toán NH</v>
          </cell>
        </row>
        <row r="57">
          <cell r="I57">
            <v>289000000</v>
          </cell>
          <cell r="K57" t="str">
            <v>x</v>
          </cell>
        </row>
        <row r="58">
          <cell r="I58">
            <v>0</v>
          </cell>
        </row>
        <row r="59">
          <cell r="I59">
            <v>45000000</v>
          </cell>
          <cell r="K59" t="str">
            <v>Thanh toán NH</v>
          </cell>
        </row>
        <row r="60">
          <cell r="I60">
            <v>105126466</v>
          </cell>
          <cell r="K60" t="str">
            <v>Thanh toán NH</v>
          </cell>
        </row>
        <row r="62">
          <cell r="I62">
            <v>150126466</v>
          </cell>
          <cell r="K62" t="str">
            <v>x</v>
          </cell>
        </row>
        <row r="63">
          <cell r="I63">
            <v>0</v>
          </cell>
        </row>
        <row r="64">
          <cell r="I64">
            <v>53060000</v>
          </cell>
          <cell r="K64" t="str">
            <v>Thanh toán NH</v>
          </cell>
        </row>
        <row r="65">
          <cell r="I65">
            <v>53060000</v>
          </cell>
          <cell r="K65" t="str">
            <v>x</v>
          </cell>
        </row>
        <row r="66">
          <cell r="I66">
            <v>0</v>
          </cell>
        </row>
        <row r="67">
          <cell r="I67">
            <v>30000000</v>
          </cell>
          <cell r="K67" t="str">
            <v>Thanh toán NH</v>
          </cell>
        </row>
        <row r="68">
          <cell r="I68">
            <v>30000000</v>
          </cell>
          <cell r="K68" t="str">
            <v>Thanh toán NH</v>
          </cell>
        </row>
        <row r="69">
          <cell r="I69">
            <v>60000000</v>
          </cell>
          <cell r="K69" t="str">
            <v>x</v>
          </cell>
        </row>
        <row r="70">
          <cell r="I70">
            <v>40000000</v>
          </cell>
        </row>
        <row r="71">
          <cell r="I71">
            <v>27500000</v>
          </cell>
          <cell r="K71" t="str">
            <v>Thanh toán NH</v>
          </cell>
        </row>
        <row r="72">
          <cell r="I72">
            <v>33000000</v>
          </cell>
          <cell r="K72" t="str">
            <v>Thanh toán NH</v>
          </cell>
        </row>
        <row r="73">
          <cell r="I73">
            <v>60500000</v>
          </cell>
          <cell r="K73" t="str">
            <v>x</v>
          </cell>
        </row>
        <row r="74">
          <cell r="I74">
            <v>0</v>
          </cell>
        </row>
        <row r="75">
          <cell r="I75">
            <v>128400000</v>
          </cell>
          <cell r="K75" t="str">
            <v>Thanh toán NH</v>
          </cell>
        </row>
        <row r="77">
          <cell r="I77">
            <v>128400000</v>
          </cell>
          <cell r="K77" t="str">
            <v>x</v>
          </cell>
        </row>
        <row r="78">
          <cell r="I78">
            <v>299600000</v>
          </cell>
        </row>
        <row r="79">
          <cell r="I79">
            <v>100000000</v>
          </cell>
          <cell r="K79" t="str">
            <v>Thanh toán NH</v>
          </cell>
        </row>
        <row r="80">
          <cell r="I80">
            <v>50000000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100000000</v>
          </cell>
          <cell r="K82" t="str">
            <v>Thanh toán TM</v>
          </cell>
        </row>
        <row r="83">
          <cell r="I83">
            <v>200000000</v>
          </cell>
          <cell r="K83" t="str">
            <v>Thanh toán NH</v>
          </cell>
        </row>
        <row r="84">
          <cell r="I84">
            <v>-91500000</v>
          </cell>
          <cell r="K84" t="str">
            <v>Thu TM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100000000</v>
          </cell>
          <cell r="K86" t="str">
            <v>Thanh toán TM</v>
          </cell>
        </row>
        <row r="87">
          <cell r="I87">
            <v>100000000</v>
          </cell>
          <cell r="K87" t="str">
            <v>Thanh toán NH</v>
          </cell>
        </row>
        <row r="88">
          <cell r="I88">
            <v>50000000</v>
          </cell>
          <cell r="K88" t="str">
            <v>Thanh toán NH</v>
          </cell>
        </row>
        <row r="89">
          <cell r="I89">
            <v>100000000</v>
          </cell>
          <cell r="K89" t="str">
            <v>Thanh toán NH</v>
          </cell>
        </row>
        <row r="90">
          <cell r="I90">
            <v>100000000</v>
          </cell>
          <cell r="K90" t="str">
            <v>Thanh toán TM</v>
          </cell>
        </row>
        <row r="91">
          <cell r="I91">
            <v>50000000</v>
          </cell>
          <cell r="K91" t="str">
            <v>Thanh toán NH</v>
          </cell>
        </row>
        <row r="92">
          <cell r="I92">
            <v>800000000</v>
          </cell>
          <cell r="K92" t="str">
            <v>Thanh toán NH</v>
          </cell>
        </row>
        <row r="93">
          <cell r="I93">
            <v>1500000000</v>
          </cell>
          <cell r="K93" t="str">
            <v>Thanh toán NH</v>
          </cell>
        </row>
        <row r="94">
          <cell r="I94">
            <v>1000000000</v>
          </cell>
          <cell r="K94" t="str">
            <v>Thanh toán NH</v>
          </cell>
        </row>
        <row r="95">
          <cell r="I95">
            <v>1000000000</v>
          </cell>
          <cell r="K95" t="str">
            <v>Thanh toán NH</v>
          </cell>
        </row>
        <row r="96">
          <cell r="I96">
            <v>700000000</v>
          </cell>
          <cell r="K96" t="str">
            <v>Thanh toán NH</v>
          </cell>
        </row>
        <row r="97">
          <cell r="I97">
            <v>500000000</v>
          </cell>
          <cell r="K97" t="str">
            <v>Thanh toán NH</v>
          </cell>
        </row>
        <row r="98">
          <cell r="I98">
            <v>500000000</v>
          </cell>
          <cell r="K98" t="str">
            <v>Thanh toán NH</v>
          </cell>
        </row>
        <row r="99">
          <cell r="I99">
            <v>500000000</v>
          </cell>
          <cell r="K99" t="str">
            <v>Thanh toán NH</v>
          </cell>
        </row>
        <row r="100">
          <cell r="I100">
            <v>1000000000</v>
          </cell>
          <cell r="K100" t="str">
            <v>Thanh toán NH</v>
          </cell>
        </row>
        <row r="101">
          <cell r="I101">
            <v>300000000</v>
          </cell>
          <cell r="K101" t="str">
            <v>Thanh toán NH</v>
          </cell>
        </row>
        <row r="104">
          <cell r="I104">
            <v>8858500000</v>
          </cell>
          <cell r="K104" t="str">
            <v>x</v>
          </cell>
        </row>
        <row r="105">
          <cell r="I105">
            <v>2464055140</v>
          </cell>
        </row>
        <row r="106">
          <cell r="I106">
            <v>50000000</v>
          </cell>
          <cell r="K106" t="str">
            <v>Thanh toán NH</v>
          </cell>
        </row>
        <row r="107">
          <cell r="I107">
            <v>50000000</v>
          </cell>
          <cell r="K107" t="str">
            <v>Thanh toán NH</v>
          </cell>
        </row>
        <row r="108">
          <cell r="I108">
            <v>50000000</v>
          </cell>
          <cell r="K108" t="str">
            <v>Thanh toán NH</v>
          </cell>
        </row>
        <row r="110">
          <cell r="I110">
            <v>150000000</v>
          </cell>
          <cell r="K110" t="str">
            <v>x</v>
          </cell>
        </row>
        <row r="111">
          <cell r="I111">
            <v>50000000</v>
          </cell>
        </row>
        <row r="112">
          <cell r="I112">
            <v>752610000</v>
          </cell>
          <cell r="K112" t="str">
            <v>Thanh toán NH</v>
          </cell>
        </row>
        <row r="113">
          <cell r="I113">
            <v>-200000000</v>
          </cell>
          <cell r="K113" t="str">
            <v>Thu TM</v>
          </cell>
        </row>
        <row r="114">
          <cell r="I114">
            <v>500000000</v>
          </cell>
          <cell r="K114" t="str">
            <v>Thanh toán NH</v>
          </cell>
        </row>
        <row r="115">
          <cell r="I115">
            <v>-100000000</v>
          </cell>
          <cell r="K115" t="str">
            <v>Thu TM</v>
          </cell>
        </row>
        <row r="116">
          <cell r="I116">
            <v>500000000</v>
          </cell>
          <cell r="K116" t="str">
            <v>Thanh toán NH</v>
          </cell>
        </row>
        <row r="117">
          <cell r="I117">
            <v>-100000000</v>
          </cell>
          <cell r="K117" t="str">
            <v>Thu TM</v>
          </cell>
        </row>
        <row r="118">
          <cell r="I118">
            <v>251000000</v>
          </cell>
          <cell r="K118" t="str">
            <v>Thanh toán NH</v>
          </cell>
        </row>
        <row r="119">
          <cell r="I119">
            <v>200000000</v>
          </cell>
          <cell r="K119" t="str">
            <v>Thanh toán NH</v>
          </cell>
        </row>
        <row r="120">
          <cell r="I120">
            <v>400000000</v>
          </cell>
          <cell r="K120" t="str">
            <v>Thanh toán NH</v>
          </cell>
        </row>
        <row r="121">
          <cell r="I121">
            <v>-200000000</v>
          </cell>
          <cell r="K121" t="str">
            <v>Thu TM</v>
          </cell>
        </row>
        <row r="124">
          <cell r="I124">
            <v>2003610000</v>
          </cell>
          <cell r="K124" t="str">
            <v>x</v>
          </cell>
        </row>
        <row r="125">
          <cell r="I125">
            <v>245090000</v>
          </cell>
          <cell r="K125">
            <v>321230000</v>
          </cell>
        </row>
        <row r="126">
          <cell r="I126">
            <v>600000000</v>
          </cell>
          <cell r="K126" t="str">
            <v>Thanh toán NH</v>
          </cell>
        </row>
        <row r="127">
          <cell r="I127">
            <v>600000000</v>
          </cell>
          <cell r="K127" t="str">
            <v>Thanh toán NH</v>
          </cell>
        </row>
        <row r="128">
          <cell r="I128">
            <v>500000000</v>
          </cell>
          <cell r="K128" t="str">
            <v>Thanh toán NH</v>
          </cell>
        </row>
        <row r="129">
          <cell r="I129">
            <v>500000000</v>
          </cell>
          <cell r="K129" t="str">
            <v>Thanh toán NH</v>
          </cell>
        </row>
        <row r="130">
          <cell r="I130">
            <v>-500000000</v>
          </cell>
          <cell r="K130" t="str">
            <v>Thu TM</v>
          </cell>
        </row>
        <row r="131">
          <cell r="I131">
            <v>500000000</v>
          </cell>
          <cell r="K131" t="str">
            <v>Thanh toán NH</v>
          </cell>
        </row>
        <row r="132">
          <cell r="I132">
            <v>500000000</v>
          </cell>
          <cell r="K132" t="str">
            <v>Thanh toán NH</v>
          </cell>
        </row>
        <row r="133">
          <cell r="I133">
            <v>-200000000</v>
          </cell>
          <cell r="K133" t="str">
            <v>Thu TM</v>
          </cell>
        </row>
        <row r="135">
          <cell r="I135">
            <v>2500000000</v>
          </cell>
          <cell r="K135" t="str">
            <v>x</v>
          </cell>
        </row>
        <row r="136">
          <cell r="I136">
            <v>410000000</v>
          </cell>
        </row>
        <row r="137">
          <cell r="I137">
            <v>360000000</v>
          </cell>
          <cell r="K137" t="str">
            <v>Thanh toán NH</v>
          </cell>
        </row>
        <row r="139">
          <cell r="I139">
            <v>360000000</v>
          </cell>
          <cell r="K139" t="str">
            <v>x</v>
          </cell>
        </row>
        <row r="140">
          <cell r="I140">
            <v>940000000</v>
          </cell>
        </row>
        <row r="141">
          <cell r="I141">
            <v>195195000</v>
          </cell>
          <cell r="K141" t="str">
            <v>Thanh toán NH</v>
          </cell>
        </row>
        <row r="142">
          <cell r="I142">
            <v>140000000</v>
          </cell>
          <cell r="K142" t="str">
            <v>Thanh toán NH</v>
          </cell>
        </row>
        <row r="144">
          <cell r="I144">
            <v>335195000</v>
          </cell>
          <cell r="K144" t="str">
            <v>x</v>
          </cell>
        </row>
        <row r="145">
          <cell r="I145">
            <v>150455000</v>
          </cell>
        </row>
        <row r="146">
          <cell r="I146">
            <v>100000000</v>
          </cell>
          <cell r="K146" t="str">
            <v>Thanh toán NH</v>
          </cell>
        </row>
        <row r="147">
          <cell r="I147">
            <v>100000000</v>
          </cell>
          <cell r="K147" t="str">
            <v>Thanh toán NH</v>
          </cell>
        </row>
        <row r="148">
          <cell r="I148">
            <v>55297700</v>
          </cell>
          <cell r="K148" t="str">
            <v>Thanh toán NH</v>
          </cell>
        </row>
        <row r="149">
          <cell r="I149">
            <v>255297700</v>
          </cell>
          <cell r="K149" t="str">
            <v>x</v>
          </cell>
        </row>
        <row r="150">
          <cell r="I150">
            <v>0</v>
          </cell>
        </row>
        <row r="151">
          <cell r="I151">
            <v>100000000</v>
          </cell>
          <cell r="K151" t="str">
            <v>Thanh toán NH</v>
          </cell>
        </row>
        <row r="152">
          <cell r="I152">
            <v>200000000</v>
          </cell>
          <cell r="K152" t="str">
            <v>Thanh toán NH</v>
          </cell>
        </row>
        <row r="153">
          <cell r="I153">
            <v>201012500</v>
          </cell>
          <cell r="K153" t="str">
            <v>Thanh toán NH</v>
          </cell>
        </row>
        <row r="155">
          <cell r="I155">
            <v>501012500</v>
          </cell>
          <cell r="K155" t="str">
            <v>x</v>
          </cell>
        </row>
        <row r="156">
          <cell r="I156">
            <v>114906620</v>
          </cell>
        </row>
        <row r="157">
          <cell r="I157">
            <v>100000000</v>
          </cell>
          <cell r="K157" t="str">
            <v>Thanh toán NH</v>
          </cell>
        </row>
        <row r="159">
          <cell r="I159">
            <v>100000000</v>
          </cell>
          <cell r="K159" t="str">
            <v>x</v>
          </cell>
        </row>
        <row r="160">
          <cell r="I160">
            <v>198500000</v>
          </cell>
        </row>
        <row r="161">
          <cell r="I161">
            <v>150000000</v>
          </cell>
          <cell r="K161" t="str">
            <v>Thanh toán NH</v>
          </cell>
        </row>
        <row r="162">
          <cell r="I162">
            <v>150000000</v>
          </cell>
          <cell r="K162" t="str">
            <v>Thanh toán NH</v>
          </cell>
        </row>
        <row r="163">
          <cell r="I163">
            <v>50000000</v>
          </cell>
          <cell r="K163" t="str">
            <v>Thanh toán NH</v>
          </cell>
        </row>
        <row r="164">
          <cell r="I164">
            <v>200000000</v>
          </cell>
          <cell r="K164" t="str">
            <v>Thanh toán NH</v>
          </cell>
        </row>
        <row r="165">
          <cell r="I165">
            <v>100000000</v>
          </cell>
          <cell r="K165" t="str">
            <v>Thanh toán NH</v>
          </cell>
        </row>
        <row r="166">
          <cell r="I166">
            <v>400000000</v>
          </cell>
          <cell r="K166" t="str">
            <v>Thanh toán NH</v>
          </cell>
        </row>
        <row r="167">
          <cell r="I167">
            <v>-200000000</v>
          </cell>
          <cell r="K167" t="str">
            <v>Thu TM</v>
          </cell>
        </row>
        <row r="169">
          <cell r="I169">
            <v>850000000</v>
          </cell>
          <cell r="K169" t="str">
            <v>x</v>
          </cell>
        </row>
        <row r="170">
          <cell r="I170">
            <v>117727768</v>
          </cell>
        </row>
        <row r="171">
          <cell r="I171">
            <v>200000000</v>
          </cell>
          <cell r="K171" t="str">
            <v>Thanh toán NH</v>
          </cell>
        </row>
        <row r="172">
          <cell r="I172">
            <v>250000000</v>
          </cell>
          <cell r="K172" t="str">
            <v>Thanh toán NH</v>
          </cell>
        </row>
        <row r="173">
          <cell r="I173">
            <v>300000000</v>
          </cell>
          <cell r="K173" t="str">
            <v>Thanh toán NH</v>
          </cell>
        </row>
        <row r="174">
          <cell r="I174">
            <v>-100000000</v>
          </cell>
          <cell r="K174" t="str">
            <v>Thu TM</v>
          </cell>
        </row>
        <row r="175">
          <cell r="I175">
            <v>150000000</v>
          </cell>
          <cell r="K175" t="str">
            <v>Thanh toán NH</v>
          </cell>
        </row>
        <row r="176">
          <cell r="I176">
            <v>150000000</v>
          </cell>
          <cell r="K176" t="str">
            <v>Thanh toán NH</v>
          </cell>
        </row>
        <row r="178">
          <cell r="I178">
            <v>950000000</v>
          </cell>
          <cell r="K178" t="str">
            <v>x</v>
          </cell>
        </row>
        <row r="179">
          <cell r="I179">
            <v>141279000</v>
          </cell>
        </row>
        <row r="180">
          <cell r="I180">
            <v>200000000</v>
          </cell>
          <cell r="K180" t="str">
            <v>Thanh toán NH</v>
          </cell>
        </row>
        <row r="181">
          <cell r="I181">
            <v>500000000</v>
          </cell>
          <cell r="K181" t="str">
            <v>Thanh toán NH</v>
          </cell>
        </row>
        <row r="182">
          <cell r="I182">
            <v>-300000000</v>
          </cell>
          <cell r="K182" t="str">
            <v>Thu TM</v>
          </cell>
        </row>
        <row r="183">
          <cell r="I183">
            <v>500000000</v>
          </cell>
          <cell r="K183" t="str">
            <v>Thanh toán NH</v>
          </cell>
        </row>
        <row r="184">
          <cell r="I184">
            <v>-300000000</v>
          </cell>
          <cell r="K184" t="str">
            <v>Thu TM</v>
          </cell>
        </row>
        <row r="185">
          <cell r="I185">
            <v>400000000</v>
          </cell>
          <cell r="K185" t="str">
            <v>Thanh toán NH</v>
          </cell>
        </row>
        <row r="188">
          <cell r="I188">
            <v>1000000000</v>
          </cell>
          <cell r="K188" t="str">
            <v>x</v>
          </cell>
        </row>
        <row r="189">
          <cell r="I189">
            <v>-131550000</v>
          </cell>
        </row>
        <row r="190">
          <cell r="I190">
            <v>171000000</v>
          </cell>
          <cell r="K190" t="str">
            <v>Thanh toán NH</v>
          </cell>
        </row>
        <row r="191">
          <cell r="I191">
            <v>228000000</v>
          </cell>
          <cell r="K191" t="str">
            <v>Thanh toán NH</v>
          </cell>
        </row>
        <row r="193">
          <cell r="I193">
            <v>399000000</v>
          </cell>
          <cell r="K193" t="str">
            <v>x</v>
          </cell>
        </row>
        <row r="194">
          <cell r="I194">
            <v>171000000</v>
          </cell>
        </row>
        <row r="195">
          <cell r="I195">
            <v>100000000</v>
          </cell>
          <cell r="K195" t="str">
            <v>Thanh toán NH</v>
          </cell>
        </row>
        <row r="196">
          <cell r="I196">
            <v>200000000</v>
          </cell>
          <cell r="K196" t="str">
            <v>Thanh toán NH</v>
          </cell>
        </row>
        <row r="197">
          <cell r="I197">
            <v>500000000</v>
          </cell>
          <cell r="K197" t="str">
            <v>Thanh toán NH</v>
          </cell>
        </row>
        <row r="198">
          <cell r="I198">
            <v>-300000000</v>
          </cell>
          <cell r="K198" t="str">
            <v>Thu TM</v>
          </cell>
        </row>
        <row r="199">
          <cell r="I199">
            <v>400000000</v>
          </cell>
          <cell r="K199" t="str">
            <v>Thanh toán NH</v>
          </cell>
        </row>
        <row r="200">
          <cell r="I200">
            <v>-200000000</v>
          </cell>
          <cell r="K200" t="str">
            <v>Thu TM</v>
          </cell>
        </row>
        <row r="201">
          <cell r="I201">
            <v>150000000</v>
          </cell>
          <cell r="K201" t="str">
            <v>Thanh toán NH</v>
          </cell>
        </row>
        <row r="202">
          <cell r="I202">
            <v>400000000</v>
          </cell>
          <cell r="K202" t="str">
            <v>Thanh toán NH</v>
          </cell>
        </row>
        <row r="207">
          <cell r="I207">
            <v>1250000000</v>
          </cell>
          <cell r="K207" t="str">
            <v>x</v>
          </cell>
        </row>
        <row r="208">
          <cell r="I208">
            <v>1005000000</v>
          </cell>
        </row>
        <row r="209">
          <cell r="I209">
            <v>90000000</v>
          </cell>
          <cell r="K209" t="str">
            <v>Thanh toán NH</v>
          </cell>
        </row>
        <row r="210">
          <cell r="I210">
            <v>50000000</v>
          </cell>
          <cell r="K210" t="str">
            <v>Thanh toán NH</v>
          </cell>
        </row>
        <row r="211">
          <cell r="I211">
            <v>50000000</v>
          </cell>
          <cell r="K211" t="str">
            <v>Thanh toán NH</v>
          </cell>
        </row>
        <row r="212">
          <cell r="I212">
            <v>50000000</v>
          </cell>
          <cell r="K212" t="str">
            <v>Thanh toán NH</v>
          </cell>
        </row>
        <row r="213">
          <cell r="I213">
            <v>30000000</v>
          </cell>
          <cell r="K213" t="str">
            <v>Thanh toán NH</v>
          </cell>
        </row>
        <row r="214">
          <cell r="I214">
            <v>10000000</v>
          </cell>
          <cell r="K214" t="str">
            <v>Thanh toán TM</v>
          </cell>
        </row>
        <row r="216">
          <cell r="I216">
            <v>280000000</v>
          </cell>
          <cell r="K216" t="str">
            <v>x</v>
          </cell>
        </row>
        <row r="217">
          <cell r="I217">
            <v>2530000</v>
          </cell>
        </row>
        <row r="218">
          <cell r="I218">
            <v>200000000</v>
          </cell>
          <cell r="K218" t="str">
            <v>Thanh toán NH</v>
          </cell>
        </row>
        <row r="220">
          <cell r="I220">
            <v>200000000</v>
          </cell>
          <cell r="K220" t="str">
            <v>x</v>
          </cell>
        </row>
        <row r="221">
          <cell r="I221">
            <v>399632000</v>
          </cell>
        </row>
        <row r="222">
          <cell r="I222">
            <v>47562486</v>
          </cell>
          <cell r="K222" t="str">
            <v>Thanh toán TM</v>
          </cell>
        </row>
        <row r="223">
          <cell r="I223">
            <v>1210608255</v>
          </cell>
          <cell r="K223" t="str">
            <v>Thanh toán TM</v>
          </cell>
        </row>
        <row r="224">
          <cell r="I224">
            <v>23000000</v>
          </cell>
          <cell r="K224" t="str">
            <v>Thanh toán TM</v>
          </cell>
        </row>
        <row r="225">
          <cell r="I225">
            <v>3740000</v>
          </cell>
          <cell r="K225" t="str">
            <v>Thanh toán TM</v>
          </cell>
        </row>
        <row r="226">
          <cell r="I226">
            <v>0</v>
          </cell>
        </row>
        <row r="227">
          <cell r="I227">
            <v>1284910741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G10" sqref="G10:H40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67</v>
      </c>
      <c r="B1" s="31"/>
    </row>
    <row r="2" spans="1:12">
      <c r="A2" s="31" t="s">
        <v>68</v>
      </c>
      <c r="B2" s="31"/>
    </row>
    <row r="3" spans="1:12">
      <c r="A3" s="31" t="s">
        <v>69</v>
      </c>
      <c r="B3" s="31"/>
    </row>
    <row r="5" spans="1:12" ht="15.75">
      <c r="A5" s="34" t="s">
        <v>70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71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72</v>
      </c>
      <c r="C8" s="38" t="s">
        <v>73</v>
      </c>
      <c r="D8" s="38"/>
      <c r="E8" s="39" t="s">
        <v>74</v>
      </c>
      <c r="F8" s="39"/>
      <c r="G8" s="39" t="s">
        <v>75</v>
      </c>
      <c r="H8" s="39"/>
    </row>
    <row r="9" spans="1:12">
      <c r="A9" s="40" t="s">
        <v>76</v>
      </c>
      <c r="B9" s="40"/>
      <c r="C9" s="38" t="s">
        <v>77</v>
      </c>
      <c r="D9" s="38" t="s">
        <v>78</v>
      </c>
      <c r="E9" s="39" t="s">
        <v>77</v>
      </c>
      <c r="F9" s="39" t="s">
        <v>78</v>
      </c>
      <c r="G9" s="39" t="s">
        <v>77</v>
      </c>
      <c r="H9" s="39" t="s">
        <v>78</v>
      </c>
    </row>
    <row r="10" spans="1:12" s="32" customFormat="1">
      <c r="A10" s="41" t="s">
        <v>79</v>
      </c>
      <c r="B10" s="42" t="s">
        <v>80</v>
      </c>
      <c r="C10" s="43">
        <v>3994790000</v>
      </c>
      <c r="D10" s="43">
        <v>0</v>
      </c>
      <c r="E10" s="43">
        <f t="array" ref="E10">SUM(IF(A10=KHN,TH))</f>
        <v>0</v>
      </c>
      <c r="F10" s="43">
        <f t="array" ref="F10">SUM(IF(A10=KHC,TH))</f>
        <v>864750000</v>
      </c>
      <c r="G10" s="44">
        <f>MAX(C10+E10-D10-F10,0)</f>
        <v>3130040000</v>
      </c>
      <c r="H10" s="44">
        <f>MAX(D10+F10-E10-C10,0)</f>
        <v>0</v>
      </c>
      <c r="K10" s="45"/>
      <c r="L10" s="45"/>
    </row>
    <row r="11" spans="1:12" s="32" customFormat="1">
      <c r="A11" s="46" t="s">
        <v>20</v>
      </c>
      <c r="B11" s="47" t="s">
        <v>81</v>
      </c>
      <c r="C11" s="48">
        <v>3994790000</v>
      </c>
      <c r="D11" s="48">
        <v>0</v>
      </c>
      <c r="E11" s="48">
        <f>E10</f>
        <v>0</v>
      </c>
      <c r="F11" s="48">
        <f>F10</f>
        <v>864750000</v>
      </c>
      <c r="G11" s="48">
        <f>G10</f>
        <v>3130040000</v>
      </c>
      <c r="H11" s="48">
        <f>H10</f>
        <v>0</v>
      </c>
    </row>
    <row r="12" spans="1:12" s="32" customFormat="1">
      <c r="A12" s="49" t="s">
        <v>32</v>
      </c>
      <c r="B12" s="42" t="s">
        <v>82</v>
      </c>
      <c r="C12" s="43">
        <v>0</v>
      </c>
      <c r="D12" s="43">
        <v>0</v>
      </c>
      <c r="E12" s="43">
        <f t="array" ref="E12">SUM(IF(A12=KHN,TH))</f>
        <v>864600000</v>
      </c>
      <c r="F12" s="43">
        <f t="array" ref="F12">SUM(IF(A12=KHC,TH))</f>
        <v>864600000</v>
      </c>
      <c r="G12" s="44">
        <f>MAX(C12+E12-D12-F12,0)</f>
        <v>0</v>
      </c>
      <c r="H12" s="44">
        <f>MAX(D12+F12-E12-C12,0)</f>
        <v>0</v>
      </c>
      <c r="K12" s="45"/>
      <c r="L12" s="45"/>
    </row>
    <row r="13" spans="1:12" s="32" customFormat="1">
      <c r="A13" s="46" t="s">
        <v>83</v>
      </c>
      <c r="B13" s="47" t="s">
        <v>84</v>
      </c>
      <c r="C13" s="48">
        <v>0</v>
      </c>
      <c r="D13" s="48">
        <v>0</v>
      </c>
      <c r="E13" s="48">
        <f>E12</f>
        <v>864600000</v>
      </c>
      <c r="F13" s="48">
        <f>F12</f>
        <v>864600000</v>
      </c>
      <c r="G13" s="48">
        <f>MAX(C13+E13-D13-F13,0)</f>
        <v>0</v>
      </c>
      <c r="H13" s="48">
        <f>MAX(D13+F13-E13-C13,0)</f>
        <v>0</v>
      </c>
    </row>
    <row r="14" spans="1:12" s="32" customFormat="1">
      <c r="A14" s="49" t="s">
        <v>10</v>
      </c>
      <c r="B14" s="42" t="s">
        <v>85</v>
      </c>
      <c r="C14" s="43">
        <v>0</v>
      </c>
      <c r="D14" s="43">
        <v>0</v>
      </c>
      <c r="E14" s="43">
        <f t="array" ref="E14">SUM(IF(A14=KHN,TH))</f>
        <v>0</v>
      </c>
      <c r="F14" s="43">
        <f t="array" ref="F14">SUM(IF(A14=KHC,TH))</f>
        <v>0</v>
      </c>
      <c r="G14" s="44">
        <f>MAX(C14+E14-D14-F14,0)</f>
        <v>0</v>
      </c>
      <c r="H14" s="44">
        <f>MAX(D14+F14-E14-C14,0)</f>
        <v>0</v>
      </c>
    </row>
    <row r="15" spans="1:12" s="32" customFormat="1">
      <c r="A15" s="46" t="s">
        <v>86</v>
      </c>
      <c r="B15" s="47" t="s">
        <v>87</v>
      </c>
      <c r="C15" s="48">
        <v>0</v>
      </c>
      <c r="D15" s="48">
        <v>0</v>
      </c>
      <c r="E15" s="48">
        <f t="shared" ref="C15:H15" si="0">E14</f>
        <v>0</v>
      </c>
      <c r="F15" s="48">
        <f t="shared" si="0"/>
        <v>0</v>
      </c>
      <c r="G15" s="48">
        <f t="shared" si="0"/>
        <v>0</v>
      </c>
      <c r="H15" s="48">
        <f t="shared" si="0"/>
        <v>0</v>
      </c>
    </row>
    <row r="16" spans="1:12" s="32" customFormat="1">
      <c r="A16" s="49" t="s">
        <v>88</v>
      </c>
      <c r="B16" s="42" t="s">
        <v>89</v>
      </c>
      <c r="C16" s="43">
        <v>0</v>
      </c>
      <c r="D16" s="43">
        <v>0</v>
      </c>
      <c r="E16" s="43">
        <f t="array" ref="E16">SUM(IF(A16=KHN,TH))</f>
        <v>0</v>
      </c>
      <c r="F16" s="43">
        <f t="array" ref="F16">SUM(IF(A16=KHC,TH))</f>
        <v>0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90</v>
      </c>
      <c r="B17" s="47" t="s">
        <v>91</v>
      </c>
      <c r="C17" s="48">
        <v>0</v>
      </c>
      <c r="D17" s="48">
        <v>0</v>
      </c>
      <c r="E17" s="48">
        <f>E16</f>
        <v>0</v>
      </c>
      <c r="F17" s="48">
        <f>F16</f>
        <v>0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184</v>
      </c>
      <c r="B18" s="42" t="s">
        <v>185</v>
      </c>
      <c r="C18" s="43">
        <v>0</v>
      </c>
      <c r="D18" s="43">
        <v>0</v>
      </c>
      <c r="E18" s="43">
        <f t="array" ref="E18">SUM(IF(A18=KHN,TH))</f>
        <v>0</v>
      </c>
      <c r="F18" s="43">
        <f t="array" ref="F18">SUM(IF(A18=KHC,TH))</f>
        <v>0</v>
      </c>
      <c r="G18" s="44">
        <f t="shared" si="1"/>
        <v>0</v>
      </c>
      <c r="H18" s="44">
        <f t="shared" si="2"/>
        <v>0</v>
      </c>
    </row>
    <row r="19" spans="1:9" s="32" customFormat="1">
      <c r="A19" s="50" t="s">
        <v>252</v>
      </c>
      <c r="B19" s="47" t="s">
        <v>186</v>
      </c>
      <c r="C19" s="48">
        <v>0</v>
      </c>
      <c r="D19" s="48">
        <v>0</v>
      </c>
      <c r="E19" s="48">
        <f>E18</f>
        <v>0</v>
      </c>
      <c r="F19" s="48">
        <f>F18</f>
        <v>0</v>
      </c>
      <c r="G19" s="48">
        <f t="shared" si="1"/>
        <v>0</v>
      </c>
      <c r="H19" s="48">
        <f t="shared" si="2"/>
        <v>0</v>
      </c>
    </row>
    <row r="20" spans="1:9" s="32" customFormat="1">
      <c r="A20" s="46" t="s">
        <v>9</v>
      </c>
      <c r="B20" s="47" t="s">
        <v>92</v>
      </c>
      <c r="C20" s="48">
        <v>0</v>
      </c>
      <c r="D20" s="48">
        <v>0</v>
      </c>
      <c r="E20" s="94">
        <f t="array" ref="E20">SUM(IF(A20=KHN,TH))</f>
        <v>862208666</v>
      </c>
      <c r="F20" s="94">
        <f t="array" ref="F20">SUM(IF(A20=KHC,TH))</f>
        <v>62208666</v>
      </c>
      <c r="G20" s="48">
        <f t="shared" si="1"/>
        <v>800000000</v>
      </c>
      <c r="H20" s="48">
        <f t="shared" si="2"/>
        <v>0</v>
      </c>
    </row>
    <row r="21" spans="1:9" s="32" customFormat="1">
      <c r="A21" s="49" t="s">
        <v>93</v>
      </c>
      <c r="B21" s="42" t="s">
        <v>94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95</v>
      </c>
      <c r="B22" s="53" t="s">
        <v>96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24</v>
      </c>
      <c r="B23" s="42" t="s">
        <v>97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98</v>
      </c>
      <c r="B24" s="47" t="s">
        <v>99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23</v>
      </c>
      <c r="B25" s="42" t="s">
        <v>100</v>
      </c>
      <c r="C25" s="43">
        <v>0</v>
      </c>
      <c r="D25" s="43">
        <v>0</v>
      </c>
      <c r="E25" s="43">
        <f t="array" ref="E25">SUM(IF(A25=KHN,TH))</f>
        <v>614500000</v>
      </c>
      <c r="F25" s="43">
        <f t="array" ref="F25">SUM(IF(A25=KHC,TH))</f>
        <v>614500000</v>
      </c>
      <c r="G25" s="43">
        <f>MAX(C25+E25-D25-F25,0)</f>
        <v>0</v>
      </c>
      <c r="H25" s="43">
        <f>MAX(D25+F25-E25-C25,0)</f>
        <v>0</v>
      </c>
    </row>
    <row r="26" spans="1:9" s="32" customFormat="1">
      <c r="A26" s="46" t="s">
        <v>101</v>
      </c>
      <c r="B26" s="47" t="s">
        <v>102</v>
      </c>
      <c r="C26" s="48">
        <v>0</v>
      </c>
      <c r="D26" s="48">
        <v>0</v>
      </c>
      <c r="E26" s="48">
        <f>E25</f>
        <v>614500000</v>
      </c>
      <c r="F26" s="48">
        <f>F25</f>
        <v>614500000</v>
      </c>
      <c r="G26" s="48">
        <f>G25</f>
        <v>0</v>
      </c>
      <c r="H26" s="48">
        <f>H25</f>
        <v>0</v>
      </c>
    </row>
    <row r="27" spans="1:9" s="32" customFormat="1">
      <c r="A27" s="41" t="s">
        <v>103</v>
      </c>
      <c r="B27" s="42" t="s">
        <v>104</v>
      </c>
      <c r="C27" s="43">
        <v>0</v>
      </c>
      <c r="D27" s="43">
        <v>0</v>
      </c>
      <c r="E27" s="43">
        <f t="array" ref="E27"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0</v>
      </c>
    </row>
    <row r="28" spans="1:9" s="32" customFormat="1">
      <c r="A28" s="50" t="s">
        <v>57</v>
      </c>
      <c r="B28" s="47" t="s">
        <v>105</v>
      </c>
      <c r="C28" s="48">
        <v>0</v>
      </c>
      <c r="D28" s="48">
        <v>0</v>
      </c>
      <c r="E28" s="48">
        <f>E27</f>
        <v>0</v>
      </c>
      <c r="F28" s="48">
        <f>F27</f>
        <v>0</v>
      </c>
      <c r="G28" s="48">
        <f>G27</f>
        <v>0</v>
      </c>
      <c r="H28" s="48">
        <f>H27</f>
        <v>0</v>
      </c>
    </row>
    <row r="29" spans="1:9" s="32" customFormat="1">
      <c r="A29" s="49" t="s">
        <v>33</v>
      </c>
      <c r="B29" s="42" t="s">
        <v>106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107</v>
      </c>
      <c r="B30" s="47" t="s">
        <v>108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109</v>
      </c>
      <c r="B31" s="42" t="s">
        <v>110</v>
      </c>
      <c r="C31" s="43">
        <v>3300000</v>
      </c>
      <c r="D31" s="43">
        <v>0</v>
      </c>
      <c r="E31" s="43">
        <f t="array" ref="E31">SUM(IF(A31=KHN,TH))</f>
        <v>1910000</v>
      </c>
      <c r="F31" s="43">
        <f t="array" ref="F31">SUM(IF(A31=KHC,TH))</f>
        <v>0</v>
      </c>
      <c r="G31" s="44">
        <f>MAX(C31+E31-D31-F31,0)</f>
        <v>5210000</v>
      </c>
      <c r="H31" s="44">
        <f>MAX(D31+F31-E31-C31,0)</f>
        <v>0</v>
      </c>
    </row>
    <row r="32" spans="1:9" s="32" customFormat="1">
      <c r="A32" s="49" t="s">
        <v>111</v>
      </c>
      <c r="B32" s="42" t="s">
        <v>112</v>
      </c>
      <c r="C32" s="43">
        <v>1910000</v>
      </c>
      <c r="D32" s="43">
        <v>0</v>
      </c>
      <c r="E32" s="43">
        <f t="array" ref="E32">SUM(IF(A32=TH!$J$10:$J$130,TH!$I$10:$I$130))</f>
        <v>64750000</v>
      </c>
      <c r="F32" s="43">
        <f t="array" ref="F32">SUM(IF(A32=TH!$K$10:$K$130,TH!$I$10:$I$130))</f>
        <v>1910000</v>
      </c>
      <c r="G32" s="43">
        <f>MAX(C32+E32-D32-F32,0)</f>
        <v>64750000</v>
      </c>
      <c r="H32" s="43">
        <f>MAX(D32+F32-E32-C32,0)</f>
        <v>0</v>
      </c>
    </row>
    <row r="33" spans="1:9" s="32" customFormat="1">
      <c r="A33" s="46" t="s">
        <v>113</v>
      </c>
      <c r="B33" s="47" t="s">
        <v>114</v>
      </c>
      <c r="C33" s="48">
        <v>5210000</v>
      </c>
      <c r="D33" s="48">
        <v>0</v>
      </c>
      <c r="E33" s="48">
        <f>E32+E31</f>
        <v>66660000</v>
      </c>
      <c r="F33" s="48">
        <f>F32+F31</f>
        <v>1910000</v>
      </c>
      <c r="G33" s="48">
        <f>G32+G31</f>
        <v>69960000</v>
      </c>
      <c r="H33" s="48">
        <f>H32+H31</f>
        <v>0</v>
      </c>
    </row>
    <row r="34" spans="1:9" s="32" customFormat="1">
      <c r="A34" s="46" t="s">
        <v>58</v>
      </c>
      <c r="B34" s="47" t="s">
        <v>115</v>
      </c>
      <c r="C34" s="48"/>
      <c r="D34" s="48"/>
      <c r="E34" s="94">
        <f t="array" ref="E34">SUM(IF(A34=KHN,TH))</f>
        <v>0</v>
      </c>
      <c r="F34" s="94">
        <f t="array" ref="F34">SUM(IF(A34=KHC,TH))</f>
        <v>0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116</v>
      </c>
      <c r="B35" s="47" t="s">
        <v>117</v>
      </c>
      <c r="C35" s="48"/>
      <c r="D35" s="48"/>
      <c r="E35" s="94">
        <f t="array" ref="E35">SUM(IF(A35=KHN,TH))</f>
        <v>0</v>
      </c>
      <c r="F35" s="94">
        <f t="array" ref="F35">SUM(IF(A35=KHC,TH))</f>
        <v>0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118</v>
      </c>
      <c r="B36" s="47" t="s">
        <v>119</v>
      </c>
      <c r="C36" s="48"/>
      <c r="D36" s="48"/>
      <c r="E36" s="94">
        <f t="array" ref="E36">SUM(IF(A36=KHN,TH))</f>
        <v>64750000</v>
      </c>
      <c r="F36" s="94">
        <f t="array" ref="F36">SUM(IF(A36=KHC,TH))</f>
        <v>64750000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120</v>
      </c>
      <c r="B37" s="47" t="s">
        <v>121</v>
      </c>
      <c r="C37" s="48"/>
      <c r="D37" s="48"/>
      <c r="E37" s="94">
        <f t="array" ref="E37">SUM(IF(A37=KHN,TH))</f>
        <v>0</v>
      </c>
      <c r="F37" s="94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122</v>
      </c>
      <c r="B38" s="47" t="s">
        <v>123</v>
      </c>
      <c r="C38" s="48"/>
      <c r="D38" s="48"/>
      <c r="E38" s="94">
        <f t="array" ref="E38">SUM(IF(A38=KHN,TH))</f>
        <v>0</v>
      </c>
      <c r="F38" s="94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124</v>
      </c>
      <c r="B39" s="47" t="s">
        <v>125</v>
      </c>
      <c r="C39" s="48"/>
      <c r="D39" s="48"/>
      <c r="E39" s="94">
        <f t="array" ref="E39">SUM(IF(A39=KHN,TH))</f>
        <v>0</v>
      </c>
      <c r="F39" s="94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126</v>
      </c>
      <c r="B40" s="47" t="s">
        <v>127</v>
      </c>
      <c r="C40" s="48"/>
      <c r="D40" s="48"/>
      <c r="E40" s="95">
        <f t="array" ref="E40">SUM(IF(A40=KHN,TH))</f>
        <v>64750000</v>
      </c>
      <c r="F40" s="95">
        <f t="array" ref="F40">SUM(IF(A40=TH!$K$10:$K$130,TH!$I$10:$I$130))</f>
        <v>64750000</v>
      </c>
      <c r="G40" s="48"/>
      <c r="H40" s="48"/>
      <c r="I40" s="32">
        <f t="shared" si="4"/>
        <v>0</v>
      </c>
    </row>
    <row r="41" spans="1:9" s="32" customFormat="1">
      <c r="A41" s="54" t="s">
        <v>128</v>
      </c>
      <c r="B41" s="54"/>
      <c r="C41" s="54">
        <f>C11+C13+C15+C17+C20+C24+C26+C28+C30+C33+C34+C35+C36+C37+C38+C39+C40+C19</f>
        <v>4000000000</v>
      </c>
      <c r="D41" s="54">
        <f t="shared" ref="C41:H41" si="5">D11+D13+D15+D17+D20+D24+D26+D28+D30+D33+D34+D35+D36+D37+D38+D39+D40+D19</f>
        <v>4000000000</v>
      </c>
      <c r="E41" s="54">
        <f t="shared" si="5"/>
        <v>2538968666</v>
      </c>
      <c r="F41" s="54">
        <f t="shared" si="5"/>
        <v>2538968666</v>
      </c>
      <c r="G41" s="54">
        <f t="shared" si="5"/>
        <v>4000000000</v>
      </c>
      <c r="H41" s="54">
        <f t="shared" si="5"/>
        <v>4000000000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130"/>
  <sheetViews>
    <sheetView topLeftCell="A7" workbookViewId="0">
      <pane ySplit="3" topLeftCell="A10" activePane="bottomLeft" state="frozen"/>
      <selection activeCell="A7" sqref="A7"/>
      <selection pane="bottomLeft" activeCell="A7" sqref="A1:A1048576"/>
    </sheetView>
  </sheetViews>
  <sheetFormatPr defaultRowHeight="12.75"/>
  <cols>
    <col min="1" max="1" width="4.5703125" style="15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10" style="366" customWidth="1"/>
    <col min="8" max="8" width="41.42578125" style="101" customWidth="1"/>
    <col min="9" max="9" width="13.140625" customWidth="1"/>
    <col min="10" max="11" width="7" customWidth="1"/>
    <col min="12" max="12" width="4.42578125" hidden="1" customWidth="1"/>
    <col min="13" max="18" width="2.7109375" hidden="1" customWidth="1"/>
    <col min="19" max="19" width="4.42578125" hidden="1" customWidth="1"/>
    <col min="20" max="20" width="4.140625" hidden="1" customWidth="1"/>
    <col min="21" max="21" width="0" hidden="1" customWidth="1"/>
  </cols>
  <sheetData>
    <row r="1" spans="1:20">
      <c r="B1" s="58"/>
      <c r="C1" s="58" t="s">
        <v>139</v>
      </c>
      <c r="D1" s="59"/>
      <c r="E1" s="59"/>
      <c r="F1" s="60"/>
      <c r="G1" s="59"/>
      <c r="H1" s="99"/>
      <c r="I1" s="75"/>
      <c r="J1" s="61"/>
      <c r="K1" s="61"/>
      <c r="L1" s="61"/>
      <c r="M1" s="61"/>
      <c r="N1" s="61"/>
      <c r="O1" s="61"/>
      <c r="P1" s="61"/>
      <c r="Q1" s="61"/>
      <c r="R1" s="61"/>
      <c r="S1" s="61"/>
    </row>
    <row r="2" spans="1:20">
      <c r="B2" s="58"/>
      <c r="C2" s="58" t="s">
        <v>140</v>
      </c>
      <c r="D2" s="59"/>
      <c r="E2" s="59"/>
      <c r="F2" s="59"/>
      <c r="G2" s="59"/>
      <c r="H2" s="100"/>
      <c r="I2" s="75"/>
      <c r="J2" s="61"/>
      <c r="K2" s="61"/>
      <c r="L2" s="61"/>
      <c r="M2" s="61"/>
      <c r="N2" s="61"/>
      <c r="O2" s="61"/>
      <c r="P2" s="61"/>
      <c r="Q2" s="61"/>
      <c r="R2" s="61"/>
      <c r="S2" s="61"/>
    </row>
    <row r="3" spans="1:20">
      <c r="B3" s="59"/>
      <c r="C3" s="59"/>
      <c r="D3" s="59"/>
      <c r="E3" s="59"/>
      <c r="F3" s="59"/>
      <c r="G3" s="59"/>
      <c r="H3" s="100"/>
      <c r="I3" s="72"/>
      <c r="J3" s="62"/>
      <c r="K3" s="62"/>
      <c r="L3" s="62"/>
      <c r="M3" s="62"/>
      <c r="N3" s="62"/>
      <c r="O3" s="62"/>
      <c r="P3" s="62"/>
      <c r="Q3" s="62"/>
      <c r="R3" s="62"/>
      <c r="S3" s="62"/>
    </row>
    <row r="4" spans="1:20" ht="22.5">
      <c r="B4" s="75"/>
      <c r="C4" s="382" t="s">
        <v>129</v>
      </c>
      <c r="D4" s="382"/>
      <c r="E4" s="382"/>
      <c r="F4" s="382"/>
      <c r="G4" s="382"/>
      <c r="H4" s="382"/>
      <c r="I4" s="382"/>
      <c r="J4" s="382"/>
      <c r="K4" s="382"/>
    </row>
    <row r="5" spans="1:20" ht="14.25">
      <c r="B5" s="75"/>
      <c r="C5" s="383"/>
      <c r="D5" s="383"/>
      <c r="E5" s="383"/>
      <c r="F5" s="383"/>
      <c r="G5" s="383"/>
      <c r="H5" s="383"/>
      <c r="I5" s="383"/>
      <c r="J5" s="383"/>
      <c r="K5" s="383"/>
    </row>
    <row r="6" spans="1:20">
      <c r="B6" s="75"/>
      <c r="C6" s="75"/>
      <c r="D6" s="75"/>
      <c r="E6" s="75"/>
      <c r="F6" s="75"/>
      <c r="G6" s="72"/>
      <c r="H6" s="79"/>
      <c r="I6" s="75"/>
      <c r="J6" s="61"/>
      <c r="K6" s="61"/>
      <c r="L6" s="61"/>
      <c r="M6" s="61"/>
      <c r="N6" s="61"/>
      <c r="O6" s="61"/>
      <c r="P6" s="61"/>
      <c r="Q6" s="61"/>
      <c r="R6" s="61"/>
      <c r="S6" s="61"/>
    </row>
    <row r="7" spans="1:20" ht="12.75" customHeight="1">
      <c r="A7" s="367" t="s">
        <v>161</v>
      </c>
      <c r="B7" s="369" t="s">
        <v>141</v>
      </c>
      <c r="C7" s="384" t="s">
        <v>28</v>
      </c>
      <c r="D7" s="385" t="s">
        <v>1</v>
      </c>
      <c r="E7" s="386"/>
      <c r="F7" s="384" t="s">
        <v>0</v>
      </c>
      <c r="G7" s="387" t="s">
        <v>159</v>
      </c>
      <c r="H7" s="371" t="s">
        <v>63</v>
      </c>
      <c r="I7" s="384" t="s">
        <v>130</v>
      </c>
      <c r="J7" s="373" t="s">
        <v>131</v>
      </c>
      <c r="K7" s="373"/>
      <c r="L7" s="372" t="s">
        <v>9</v>
      </c>
      <c r="M7" s="375" t="s">
        <v>79</v>
      </c>
      <c r="N7" s="376"/>
      <c r="O7" s="377"/>
      <c r="P7" s="375" t="s">
        <v>32</v>
      </c>
      <c r="Q7" s="376"/>
      <c r="R7" s="377"/>
      <c r="S7" s="374" t="str">
        <f>CTTK!$E$7</f>
        <v>3388</v>
      </c>
      <c r="T7" s="381" t="s">
        <v>251</v>
      </c>
    </row>
    <row r="8" spans="1:20" ht="25.5">
      <c r="A8" s="368"/>
      <c r="B8" s="370"/>
      <c r="C8" s="384"/>
      <c r="D8" s="73" t="s">
        <v>19</v>
      </c>
      <c r="E8" s="71" t="s">
        <v>40</v>
      </c>
      <c r="F8" s="384"/>
      <c r="G8" s="388"/>
      <c r="H8" s="371"/>
      <c r="I8" s="384"/>
      <c r="J8" s="74" t="s">
        <v>30</v>
      </c>
      <c r="K8" s="74" t="s">
        <v>31</v>
      </c>
      <c r="L8" s="373"/>
      <c r="M8" s="378"/>
      <c r="N8" s="379"/>
      <c r="O8" s="380"/>
      <c r="P8" s="378"/>
      <c r="Q8" s="379"/>
      <c r="R8" s="380"/>
      <c r="S8" s="373"/>
      <c r="T8" s="373"/>
    </row>
    <row r="9" spans="1:20">
      <c r="A9" s="355">
        <v>1</v>
      </c>
      <c r="B9" s="156">
        <v>2</v>
      </c>
      <c r="C9" s="156">
        <v>3</v>
      </c>
      <c r="D9" s="156">
        <v>4</v>
      </c>
      <c r="E9" s="156">
        <v>5</v>
      </c>
      <c r="F9" s="156">
        <v>6</v>
      </c>
      <c r="G9" s="363">
        <v>7</v>
      </c>
      <c r="H9" s="156">
        <v>8</v>
      </c>
      <c r="I9" s="156">
        <v>9</v>
      </c>
      <c r="J9" s="156">
        <v>10</v>
      </c>
      <c r="K9" s="156">
        <v>11</v>
      </c>
      <c r="L9" s="156">
        <v>12</v>
      </c>
      <c r="M9" s="156">
        <v>13</v>
      </c>
      <c r="N9" s="156">
        <v>14</v>
      </c>
      <c r="O9" s="156">
        <v>15</v>
      </c>
      <c r="P9" s="156">
        <v>16</v>
      </c>
      <c r="Q9" s="156">
        <v>17</v>
      </c>
      <c r="R9" s="156">
        <v>18</v>
      </c>
      <c r="S9" s="156">
        <v>23</v>
      </c>
      <c r="T9" s="156">
        <v>24</v>
      </c>
    </row>
    <row r="10" spans="1:20" s="78" customFormat="1" ht="15.75" customHeight="1">
      <c r="A10" s="157" t="str">
        <f>IF(B10&lt;&gt;"",IF(AND(B10&gt;=_TM1,B10&lt;=_TM2,OR(TH!J10="1111",TH!K10="1111")),TH!D10,""),"")</f>
        <v/>
      </c>
      <c r="B10" s="63">
        <f>IF(C10&lt;&gt;"",MONTH(C10),"")</f>
        <v>12</v>
      </c>
      <c r="C10" s="87">
        <v>40908</v>
      </c>
      <c r="D10" s="87" t="s">
        <v>132</v>
      </c>
      <c r="E10" s="87">
        <f>C10</f>
        <v>40908</v>
      </c>
      <c r="F10" s="88" t="s">
        <v>135</v>
      </c>
      <c r="G10" s="364"/>
      <c r="H10" s="89"/>
      <c r="I10" s="90">
        <f>MAX(SUMIF(KHN,"911",TH)-SUMIF(KHC,"911",TH),SUMIF(KHC,"911",TH)-SUMIF(KHN,"911",TH))</f>
        <v>64750000</v>
      </c>
      <c r="J10" s="91" t="s">
        <v>111</v>
      </c>
      <c r="K10" s="91" t="s">
        <v>126</v>
      </c>
      <c r="L10" s="91" t="str">
        <f>IF(AND('331-CT'!$E$7=TH!H10,OR(J10="331",K10="331")),"x","")</f>
        <v/>
      </c>
      <c r="M10" s="91" t="str">
        <f>IF(AND($B10&gt;='1111'!$N$10,$B10&lt;='1111'!$O$10,OR($J10=$M$7,$K10=$M$7)),"x","")</f>
        <v/>
      </c>
      <c r="N10" s="91" t="str">
        <f>IF(AND($J10=$M$7,$B10&lt;'1111'!$N$10),"x","")</f>
        <v/>
      </c>
      <c r="O10" s="91" t="str">
        <f>IF(AND($K10=$M$7,$B10&lt;'1111'!$N$10),"x","")</f>
        <v/>
      </c>
      <c r="P10" s="91" t="str">
        <f>IF(AND($B10&gt;='1121'!$N$9,$B10&lt;='1121'!$O$9,OR($J10=$P$7,$K10=$P$7)),"x","")</f>
        <v/>
      </c>
      <c r="Q10" s="91" t="str">
        <f>IF(AND($J10=$P$7,$B10&lt;'1121'!$N$9),"x","")</f>
        <v/>
      </c>
      <c r="R10" s="91" t="str">
        <f>IF(AND($K10=$P$7,$B10&lt;'1121'!$N$9),"x","")</f>
        <v/>
      </c>
      <c r="S10" s="91" t="str">
        <f>IF(OR(TH!J10=TH!$S$7,K10=TH!$S$7),"x","")</f>
        <v/>
      </c>
      <c r="T10" s="91"/>
    </row>
    <row r="11" spans="1:20" s="78" customFormat="1" ht="15.75" customHeight="1">
      <c r="A11" s="157" t="str">
        <f>IF(B11&lt;&gt;"",IF(AND(B11&gt;=_TM1,B11&lt;=_TM2,OR(TH!J11="1111",TH!K11="1111")),TH!D11,""),"")</f>
        <v/>
      </c>
      <c r="B11" s="63">
        <f>IF(C11&lt;&gt;"",MONTH(C11),"")</f>
        <v>12</v>
      </c>
      <c r="C11" s="87">
        <v>40908</v>
      </c>
      <c r="D11" s="87" t="s">
        <v>132</v>
      </c>
      <c r="E11" s="87">
        <f t="shared" ref="E11:E16" si="0">C11</f>
        <v>40908</v>
      </c>
      <c r="F11" s="88" t="s">
        <v>133</v>
      </c>
      <c r="G11" s="364"/>
      <c r="H11" s="89"/>
      <c r="I11" s="90">
        <f>SUMIF(KHN,"635",TH)</f>
        <v>0</v>
      </c>
      <c r="J11" s="96" t="s">
        <v>184</v>
      </c>
      <c r="K11" s="91" t="s">
        <v>116</v>
      </c>
      <c r="L11" s="91" t="str">
        <f>IF(AND('331-CT'!$E$7=TH!H11,OR(J11="331",K11="331")),"x","")</f>
        <v/>
      </c>
      <c r="M11" s="91" t="str">
        <f>IF(AND($B11&gt;='1111'!$N$10,$B11&lt;='1111'!$O$10,OR($J11=$M$7,$K11=$M$7)),"x","")</f>
        <v/>
      </c>
      <c r="N11" s="91" t="str">
        <f>IF(AND($J11=$M$7,$B11&lt;'1111'!$N$10),"x","")</f>
        <v/>
      </c>
      <c r="O11" s="91" t="str">
        <f>IF(AND($K11=$M$7,$B11&lt;'1111'!$N$10),"x","")</f>
        <v/>
      </c>
      <c r="P11" s="91" t="str">
        <f>IF(AND($B11&gt;='1121'!$N$9,$B11&lt;='1121'!$O$9,OR($J11=$P$7,$K11=$P$7)),"x","")</f>
        <v/>
      </c>
      <c r="Q11" s="91" t="str">
        <f>IF(AND($J11=$P$7,$B11&lt;'1121'!$N$9),"x","")</f>
        <v/>
      </c>
      <c r="R11" s="91" t="str">
        <f>IF(AND($K11=$P$7,$B11&lt;'1121'!$N$9),"x","")</f>
        <v/>
      </c>
      <c r="S11" s="91" t="str">
        <f>IF(OR(TH!J11=TH!$S$7,K11=TH!$S$7),"x","")</f>
        <v/>
      </c>
      <c r="T11" s="91"/>
    </row>
    <row r="12" spans="1:20" s="78" customFormat="1" ht="15.75" customHeight="1">
      <c r="A12" s="157" t="str">
        <f>IF(B12&lt;&gt;"",IF(AND(B12&gt;=_TM1,B12&lt;=_TM2,OR(TH!J12="1111",TH!K12="1111")),TH!D12,""),"")</f>
        <v/>
      </c>
      <c r="B12" s="63">
        <f>IF(C12&lt;&gt;"",MONTH(C12),"")</f>
        <v>12</v>
      </c>
      <c r="C12" s="87">
        <v>40908</v>
      </c>
      <c r="D12" s="87" t="s">
        <v>132</v>
      </c>
      <c r="E12" s="87">
        <f t="shared" si="0"/>
        <v>40908</v>
      </c>
      <c r="F12" s="88" t="s">
        <v>134</v>
      </c>
      <c r="G12" s="364"/>
      <c r="H12" s="89"/>
      <c r="I12" s="90">
        <f>SUMIF(KHN,"642",TH)</f>
        <v>64750000</v>
      </c>
      <c r="J12" s="96" t="s">
        <v>126</v>
      </c>
      <c r="K12" s="91" t="s">
        <v>118</v>
      </c>
      <c r="L12" s="91" t="str">
        <f>IF(AND('331-CT'!$E$7=TH!H12,OR(J12="331",K12="331")),"x","")</f>
        <v/>
      </c>
      <c r="M12" s="91" t="str">
        <f>IF(AND($B12&gt;='1111'!$N$10,$B12&lt;='1111'!$O$10,OR($J12=$M$7,$K12=$M$7)),"x","")</f>
        <v/>
      </c>
      <c r="N12" s="91" t="str">
        <f>IF(AND($J12=$M$7,$B12&lt;'1111'!$N$10),"x","")</f>
        <v/>
      </c>
      <c r="O12" s="91" t="str">
        <f>IF(AND($K12=$M$7,$B12&lt;'1111'!$N$10),"x","")</f>
        <v/>
      </c>
      <c r="P12" s="91" t="str">
        <f>IF(AND($B12&gt;='1121'!$N$9,$B12&lt;='1121'!$O$9,OR($J12=$P$7,$K12=$P$7)),"x","")</f>
        <v/>
      </c>
      <c r="Q12" s="91" t="str">
        <f>IF(AND($J12=$P$7,$B12&lt;'1121'!$N$9),"x","")</f>
        <v/>
      </c>
      <c r="R12" s="91" t="str">
        <f>IF(AND($K12=$P$7,$B12&lt;'1121'!$N$9),"x","")</f>
        <v/>
      </c>
      <c r="S12" s="91" t="str">
        <f>IF(OR(TH!J12=TH!$S$7,K12=TH!$S$7),"x","")</f>
        <v/>
      </c>
      <c r="T12" s="91"/>
    </row>
    <row r="13" spans="1:20" s="78" customFormat="1" ht="15.75" customHeight="1">
      <c r="A13" s="157" t="str">
        <f>IF(B13&lt;&gt;"",IF(AND(B13&gt;=_TM1,B13&lt;=_TM2,OR(TH!J13="1111",TH!K13="1111")),TH!D13,""),"")</f>
        <v/>
      </c>
      <c r="B13" s="63">
        <f t="shared" ref="B13:B14" si="1">IF(C13&lt;&gt;"",MONTH(C13),"")</f>
        <v>12</v>
      </c>
      <c r="C13" s="87">
        <v>40908</v>
      </c>
      <c r="D13" s="87" t="s">
        <v>132</v>
      </c>
      <c r="E13" s="87">
        <f t="shared" si="0"/>
        <v>40908</v>
      </c>
      <c r="F13" s="88" t="s">
        <v>136</v>
      </c>
      <c r="G13" s="364"/>
      <c r="H13" s="97"/>
      <c r="I13" s="90">
        <f>SUMIF(KHC,"515",TH)</f>
        <v>0</v>
      </c>
      <c r="J13" s="91" t="s">
        <v>58</v>
      </c>
      <c r="K13" s="91" t="s">
        <v>126</v>
      </c>
      <c r="L13" s="91" t="str">
        <f>IF(AND('331-CT'!$E$7=TH!H13,OR(J13="331",K13="331")),"x","")</f>
        <v/>
      </c>
      <c r="M13" s="91" t="str">
        <f>IF(AND($B13&gt;='1111'!$N$10,$B13&lt;='1111'!$O$10,OR($J13=$M$7,$K13=$M$7)),"x","")</f>
        <v/>
      </c>
      <c r="N13" s="91" t="str">
        <f>IF(AND($J13=$M$7,$B13&lt;'1111'!$N$10),"x","")</f>
        <v/>
      </c>
      <c r="O13" s="91" t="str">
        <f>IF(AND($K13=$M$7,$B13&lt;'1111'!$N$10),"x","")</f>
        <v/>
      </c>
      <c r="P13" s="91" t="str">
        <f>IF(AND($B13&gt;='1121'!$N$9,$B13&lt;='1121'!$O$9,OR($J13=$P$7,$K13=$P$7)),"x","")</f>
        <v/>
      </c>
      <c r="Q13" s="91" t="str">
        <f>IF(AND($J13=$P$7,$B13&lt;'1121'!$N$9),"x","")</f>
        <v/>
      </c>
      <c r="R13" s="91" t="str">
        <f>IF(AND($K13=$P$7,$B13&lt;'1121'!$N$9),"x","")</f>
        <v/>
      </c>
      <c r="S13" s="91" t="str">
        <f>IF(OR(TH!J13=TH!$S$7,K13=TH!$S$7),"x","")</f>
        <v/>
      </c>
      <c r="T13" s="91"/>
    </row>
    <row r="14" spans="1:20" s="78" customFormat="1" ht="15.75" customHeight="1">
      <c r="A14" s="157" t="str">
        <f>IF(B14&lt;&gt;"",IF(AND(B14&gt;=_TM1,B14&lt;=_TM2,OR(TH!J14="1111",TH!K14="1111")),TH!D14,""),"")</f>
        <v/>
      </c>
      <c r="B14" s="63">
        <f t="shared" si="1"/>
        <v>12</v>
      </c>
      <c r="C14" s="87">
        <v>40908</v>
      </c>
      <c r="D14" s="87" t="s">
        <v>132</v>
      </c>
      <c r="E14" s="87">
        <f t="shared" si="0"/>
        <v>40908</v>
      </c>
      <c r="F14" s="88" t="s">
        <v>137</v>
      </c>
      <c r="G14" s="364"/>
      <c r="H14" s="89"/>
      <c r="I14" s="90">
        <f>SUMIF(KHC,"711",TH)</f>
        <v>0</v>
      </c>
      <c r="J14" s="91" t="s">
        <v>120</v>
      </c>
      <c r="K14" s="91" t="s">
        <v>126</v>
      </c>
      <c r="L14" s="91" t="str">
        <f>IF(AND('331-CT'!$E$7=TH!H14,OR(J14="331",K14="331")),"x","")</f>
        <v/>
      </c>
      <c r="M14" s="91" t="str">
        <f>IF(AND($B14&gt;='1111'!$N$10,$B14&lt;='1111'!$O$10,OR($J14=$M$7,$K14=$M$7)),"x","")</f>
        <v/>
      </c>
      <c r="N14" s="91" t="str">
        <f>IF(AND($J14=$M$7,$B14&lt;'1111'!$N$10),"x","")</f>
        <v/>
      </c>
      <c r="O14" s="91" t="str">
        <f>IF(AND($K14=$M$7,$B14&lt;'1111'!$N$10),"x","")</f>
        <v/>
      </c>
      <c r="P14" s="91" t="str">
        <f>IF(AND($B14&gt;='1121'!$N$9,$B14&lt;='1121'!$O$9,OR($J14=$P$7,$K14=$P$7)),"x","")</f>
        <v/>
      </c>
      <c r="Q14" s="91" t="str">
        <f>IF(AND($J14=$P$7,$B14&lt;'1121'!$N$9),"x","")</f>
        <v/>
      </c>
      <c r="R14" s="91" t="str">
        <f>IF(AND($K14=$P$7,$B14&lt;'1121'!$N$9),"x","")</f>
        <v/>
      </c>
      <c r="S14" s="91" t="str">
        <f>IF(OR(TH!J14=TH!$S$7,K14=TH!$S$7),"x","")</f>
        <v/>
      </c>
      <c r="T14" s="91"/>
    </row>
    <row r="15" spans="1:20" s="78" customFormat="1" ht="15.75" customHeight="1">
      <c r="A15" s="157" t="str">
        <f>IF(B15&lt;&gt;"",IF(AND(B15&gt;=_TM1,B15&lt;=_TM2,OR(TH!J15="1111",TH!K15="1111")),TH!D15,""),"")</f>
        <v/>
      </c>
      <c r="B15" s="63">
        <f t="shared" ref="B15" si="2">IF(C15&lt;&gt;"",MONTH(C15),"")</f>
        <v>12</v>
      </c>
      <c r="C15" s="87">
        <v>40908</v>
      </c>
      <c r="D15" s="87" t="s">
        <v>132</v>
      </c>
      <c r="E15" s="87">
        <f t="shared" si="0"/>
        <v>40908</v>
      </c>
      <c r="F15" s="88" t="s">
        <v>138</v>
      </c>
      <c r="G15" s="364"/>
      <c r="H15" s="89"/>
      <c r="I15" s="90">
        <f>SUMIF(KHN,"811",TH)</f>
        <v>0</v>
      </c>
      <c r="J15" s="91" t="s">
        <v>126</v>
      </c>
      <c r="K15" s="91" t="s">
        <v>122</v>
      </c>
      <c r="L15" s="91" t="str">
        <f>IF(AND('331-CT'!$E$7=TH!H15,OR(J15="331",K15="331")),"x","")</f>
        <v/>
      </c>
      <c r="M15" s="91" t="str">
        <f>IF(AND($B15&gt;='1111'!$N$10,$B15&lt;='1111'!$O$10,OR($J15=$M$7,$K15=$M$7)),"x","")</f>
        <v/>
      </c>
      <c r="N15" s="91" t="str">
        <f>IF(AND($J15=$M$7,$B15&lt;'1111'!$N$10),"x","")</f>
        <v/>
      </c>
      <c r="O15" s="91" t="str">
        <f>IF(AND($K15=$M$7,$B15&lt;'1111'!$N$10),"x","")</f>
        <v/>
      </c>
      <c r="P15" s="91" t="str">
        <f>IF(AND($B15&gt;='1121'!$N$9,$B15&lt;='1121'!$O$9,OR($J15=$P$7,$K15=$P$7)),"x","")</f>
        <v/>
      </c>
      <c r="Q15" s="91" t="str">
        <f>IF(AND($J15=$P$7,$B15&lt;'1121'!$N$9),"x","")</f>
        <v/>
      </c>
      <c r="R15" s="91" t="str">
        <f>IF(AND($K15=$P$7,$B15&lt;'1121'!$N$9),"x","")</f>
        <v/>
      </c>
      <c r="S15" s="91" t="str">
        <f>IF(OR(TH!J15=TH!$S$7,K15=TH!$S$7),"x","")</f>
        <v/>
      </c>
      <c r="T15" s="91"/>
    </row>
    <row r="16" spans="1:20" s="78" customFormat="1" ht="15.75" customHeight="1">
      <c r="A16" s="157" t="str">
        <f>IF(B16&lt;&gt;"",IF(AND(B16&gt;=_TM1,B16&lt;=_TM2,OR(TH!J16="1111",TH!K16="1111")),TH!D16,""),"")</f>
        <v/>
      </c>
      <c r="B16" s="63">
        <f t="shared" ref="B16:B78" si="3">IF(C16&lt;&gt;"",MONTH(C16),"")</f>
        <v>12</v>
      </c>
      <c r="C16" s="87">
        <v>40908</v>
      </c>
      <c r="D16" s="87" t="s">
        <v>132</v>
      </c>
      <c r="E16" s="87">
        <f t="shared" si="0"/>
        <v>40908</v>
      </c>
      <c r="F16" s="88" t="s">
        <v>238</v>
      </c>
      <c r="G16" s="364"/>
      <c r="H16" s="89"/>
      <c r="I16" s="90">
        <f>CDPS!$C$32</f>
        <v>1910000</v>
      </c>
      <c r="J16" s="96" t="s">
        <v>109</v>
      </c>
      <c r="K16" s="91" t="s">
        <v>111</v>
      </c>
      <c r="L16" s="91" t="str">
        <f>IF(AND('331-CT'!$E$7=TH!H16,OR(J16="331",K16="331")),"x","")</f>
        <v/>
      </c>
      <c r="M16" s="91" t="str">
        <f>IF(AND($B16&gt;='1111'!$N$10,$B16&lt;='1111'!$O$10,OR($J16=$M$7,$K16=$M$7)),"x","")</f>
        <v/>
      </c>
      <c r="N16" s="91" t="str">
        <f>IF(AND($J16=$M$7,$B16&lt;'1111'!$N$10),"x","")</f>
        <v/>
      </c>
      <c r="O16" s="91" t="str">
        <f>IF(AND($K16=$M$7,$B16&lt;'1111'!$N$10),"x","")</f>
        <v/>
      </c>
      <c r="P16" s="91" t="str">
        <f>IF(AND($B16&gt;='1121'!$N$9,$B16&lt;='1121'!$O$9,OR($J16=$P$7,$K16=$P$7)),"x","")</f>
        <v/>
      </c>
      <c r="Q16" s="91" t="str">
        <f>IF(AND($J16=$P$7,$B16&lt;'1121'!$N$9),"x","")</f>
        <v/>
      </c>
      <c r="R16" s="91" t="str">
        <f>IF(AND($K16=$P$7,$B16&lt;'1121'!$N$9),"x","")</f>
        <v/>
      </c>
      <c r="S16" s="91" t="str">
        <f>IF(OR(TH!J16=TH!$S$7,K16=TH!$S$7),"x","")</f>
        <v/>
      </c>
      <c r="T16" s="91"/>
    </row>
    <row r="17" spans="1:20" s="78" customFormat="1" ht="15.75" customHeight="1">
      <c r="A17" s="157" t="str">
        <f>IF(B17&lt;&gt;"",IF(AND(B17&gt;=_TM1,B17&lt;=_TM2,OR(TH!J17="1111",TH!K17="1111")),TH!D17,""),"")</f>
        <v/>
      </c>
      <c r="B17" s="63">
        <f t="shared" si="3"/>
        <v>1</v>
      </c>
      <c r="C17" s="76">
        <v>40570</v>
      </c>
      <c r="D17" s="64" t="s">
        <v>43</v>
      </c>
      <c r="E17" s="64">
        <v>40570</v>
      </c>
      <c r="F17" s="67" t="s">
        <v>162</v>
      </c>
      <c r="G17" s="347"/>
      <c r="H17" s="81" t="s">
        <v>143</v>
      </c>
      <c r="I17" s="65">
        <v>100000000</v>
      </c>
      <c r="J17" s="69" t="s">
        <v>32</v>
      </c>
      <c r="K17" s="66" t="s">
        <v>79</v>
      </c>
      <c r="L17" s="91" t="str">
        <f>IF(AND('331-CT'!$E$7=TH!H17,OR(J17="331",K17="331")),"x","")</f>
        <v/>
      </c>
      <c r="M17" s="91" t="str">
        <f>IF(AND($B17&gt;='1111'!$N$10,$B17&lt;='1111'!$O$10,OR($J17=$M$7,$K17=$M$7)),"x","")</f>
        <v>x</v>
      </c>
      <c r="N17" s="91" t="str">
        <f>IF(AND($J17=$M$7,$B17&lt;'1111'!$N$10),"x","")</f>
        <v/>
      </c>
      <c r="O17" s="91" t="str">
        <f>IF(AND($K17=$M$7,$B17&lt;'1111'!$N$10),"x","")</f>
        <v/>
      </c>
      <c r="P17" s="91" t="str">
        <f>IF(AND($B17&gt;='1121'!$N$9,$B17&lt;='1121'!$O$9,OR($J17=$P$7,$K17=$P$7)),"x","")</f>
        <v>x</v>
      </c>
      <c r="Q17" s="91" t="str">
        <f>IF(AND($J17=$P$7,$B17&lt;'1121'!$N$9),"x","")</f>
        <v/>
      </c>
      <c r="R17" s="91" t="str">
        <f>IF(AND($K17=$P$7,$B17&lt;'1121'!$N$9),"x","")</f>
        <v/>
      </c>
      <c r="S17" s="91" t="str">
        <f>IF(OR(TH!J17=TH!$S$7,K17=TH!$S$7),"x","")</f>
        <v/>
      </c>
      <c r="T17" s="91" t="str">
        <f>IF(AND(1&lt;=$B17,$B17&lt;=3),"1",IF(AND(4&lt;=$B17,$B17&lt;=6),"2",IF(AND(7&lt;=$B17,$B17&lt;=9),"3",IF(AND(10&lt;=$B17,$B17&lt;=12),"4",""))))</f>
        <v>1</v>
      </c>
    </row>
    <row r="18" spans="1:20" s="78" customFormat="1" ht="15.75" customHeight="1">
      <c r="A18" s="157" t="str">
        <f>IF(B18&lt;&gt;"",IF(AND(B18&gt;=_TM1,B18&lt;=_TM2,OR(TH!J18="1111",TH!K18="1111")),TH!D18,""),"")</f>
        <v/>
      </c>
      <c r="B18" s="63">
        <f t="shared" si="3"/>
        <v>1</v>
      </c>
      <c r="C18" s="64">
        <v>40570</v>
      </c>
      <c r="D18" s="64" t="s">
        <v>43</v>
      </c>
      <c r="E18" s="64">
        <v>40570</v>
      </c>
      <c r="F18" s="67" t="s">
        <v>162</v>
      </c>
      <c r="G18" s="347"/>
      <c r="H18" s="81" t="s">
        <v>143</v>
      </c>
      <c r="I18" s="65">
        <v>100000</v>
      </c>
      <c r="J18" s="66" t="s">
        <v>32</v>
      </c>
      <c r="K18" s="66" t="s">
        <v>79</v>
      </c>
      <c r="L18" s="91" t="str">
        <f>IF(AND('331-CT'!$E$7=TH!H18,OR(J18="331",K18="331")),"x","")</f>
        <v/>
      </c>
      <c r="M18" s="91" t="str">
        <f>IF(AND($B18&gt;='1111'!$N$10,$B18&lt;='1111'!$O$10,OR($J18=$M$7,$K18=$M$7)),"x","")</f>
        <v>x</v>
      </c>
      <c r="N18" s="91" t="str">
        <f>IF(AND($J18=$M$7,$B18&lt;'1111'!$N$10),"x","")</f>
        <v/>
      </c>
      <c r="O18" s="91" t="str">
        <f>IF(AND($K18=$M$7,$B18&lt;'1111'!$N$10),"x","")</f>
        <v/>
      </c>
      <c r="P18" s="91" t="str">
        <f>IF(AND($B18&gt;='1121'!$N$9,$B18&lt;='1121'!$O$9,OR($J18=$P$7,$K18=$P$7)),"x","")</f>
        <v>x</v>
      </c>
      <c r="Q18" s="91" t="str">
        <f>IF(AND($J18=$P$7,$B18&lt;'1121'!$N$9),"x","")</f>
        <v/>
      </c>
      <c r="R18" s="91" t="str">
        <f>IF(AND($K18=$P$7,$B18&lt;'1121'!$N$9),"x","")</f>
        <v/>
      </c>
      <c r="S18" s="91" t="str">
        <f>IF(OR(TH!J18=TH!$S$7,K18=TH!$S$7),"x","")</f>
        <v/>
      </c>
      <c r="T18" s="91" t="str">
        <f t="shared" ref="T18:T81" si="4">IF(AND(1&lt;=$B18,$B18&lt;=3),"1",IF(AND(4&lt;=$B18,$B18&lt;=6),"2",IF(AND(7&lt;=$B18,$B18&lt;=9),"3",IF(AND(10&lt;=$B18,$B18&lt;=12),"4",""))))</f>
        <v>1</v>
      </c>
    </row>
    <row r="19" spans="1:20" s="78" customFormat="1" ht="15.75" customHeight="1">
      <c r="A19" s="157" t="str">
        <f>IF(B19&lt;&gt;"",IF(AND(B19&gt;=_TM1,B19&lt;=_TM2,OR(TH!J19="1111",TH!K19="1111")),TH!D19,""),"")</f>
        <v/>
      </c>
      <c r="B19" s="63">
        <f t="shared" si="3"/>
        <v>1</v>
      </c>
      <c r="C19" s="64">
        <v>40570</v>
      </c>
      <c r="D19" s="64" t="s">
        <v>8</v>
      </c>
      <c r="E19" s="64">
        <v>40570</v>
      </c>
      <c r="F19" s="67" t="s">
        <v>254</v>
      </c>
      <c r="G19" s="347"/>
      <c r="H19" s="81" t="s">
        <v>53</v>
      </c>
      <c r="I19" s="65">
        <v>100000000</v>
      </c>
      <c r="J19" s="66" t="s">
        <v>9</v>
      </c>
      <c r="K19" s="66" t="s">
        <v>32</v>
      </c>
      <c r="L19" s="91" t="str">
        <f>IF(AND('331-CT'!$E$7=TH!H19,OR(J19="331",K19="331")),"x","")</f>
        <v/>
      </c>
      <c r="M19" s="91" t="str">
        <f>IF(AND($B19&gt;='1111'!$N$10,$B19&lt;='1111'!$O$10,OR($J19=$M$7,$K19=$M$7)),"x","")</f>
        <v/>
      </c>
      <c r="N19" s="91" t="str">
        <f>IF(AND($J19=$M$7,$B19&lt;'1111'!$N$10),"x","")</f>
        <v/>
      </c>
      <c r="O19" s="91" t="str">
        <f>IF(AND($K19=$M$7,$B19&lt;'1111'!$N$10),"x","")</f>
        <v/>
      </c>
      <c r="P19" s="91" t="str">
        <f>IF(AND($B19&gt;='1121'!$N$9,$B19&lt;='1121'!$O$9,OR($J19=$P$7,$K19=$P$7)),"x","")</f>
        <v>x</v>
      </c>
      <c r="Q19" s="91" t="str">
        <f>IF(AND($J19=$P$7,$B19&lt;'1121'!$N$9),"x","")</f>
        <v/>
      </c>
      <c r="R19" s="91" t="str">
        <f>IF(AND($K19=$P$7,$B19&lt;'1121'!$N$9),"x","")</f>
        <v/>
      </c>
      <c r="S19" s="91" t="str">
        <f>IF(OR(TH!J19=TH!$S$7,K19=TH!$S$7),"x","")</f>
        <v/>
      </c>
      <c r="T19" s="91" t="str">
        <f t="shared" si="4"/>
        <v>1</v>
      </c>
    </row>
    <row r="20" spans="1:20" s="78" customFormat="1" ht="15.75" customHeight="1">
      <c r="A20" s="157" t="str">
        <f>IF(B20&lt;&gt;"",IF(AND(B20&gt;=_TM1,B20&lt;=_TM2,OR(TH!J20="1111",TH!K20="1111")),TH!D20,""),"")</f>
        <v/>
      </c>
      <c r="B20" s="63">
        <f t="shared" si="3"/>
        <v>1</v>
      </c>
      <c r="C20" s="64">
        <v>40570</v>
      </c>
      <c r="D20" s="64" t="s">
        <v>8</v>
      </c>
      <c r="E20" s="64">
        <v>40570</v>
      </c>
      <c r="F20" s="70" t="s">
        <v>21</v>
      </c>
      <c r="G20" s="347"/>
      <c r="H20" s="80"/>
      <c r="I20" s="65">
        <v>50000</v>
      </c>
      <c r="J20" s="66" t="s">
        <v>118</v>
      </c>
      <c r="K20" s="66" t="s">
        <v>32</v>
      </c>
      <c r="L20" s="91" t="str">
        <f>IF(AND('331-CT'!$E$7=TH!H20,OR(J20="331",K20="331")),"x","")</f>
        <v/>
      </c>
      <c r="M20" s="91" t="str">
        <f>IF(AND($B20&gt;='1111'!$N$10,$B20&lt;='1111'!$O$10,OR($J20=$M$7,$K20=$M$7)),"x","")</f>
        <v/>
      </c>
      <c r="N20" s="91" t="str">
        <f>IF(AND($J20=$M$7,$B20&lt;'1111'!$N$10),"x","")</f>
        <v/>
      </c>
      <c r="O20" s="91" t="str">
        <f>IF(AND($K20=$M$7,$B20&lt;'1111'!$N$10),"x","")</f>
        <v/>
      </c>
      <c r="P20" s="91" t="str">
        <f>IF(AND($B20&gt;='1121'!$N$9,$B20&lt;='1121'!$O$9,OR($J20=$P$7,$K20=$P$7)),"x","")</f>
        <v>x</v>
      </c>
      <c r="Q20" s="91" t="str">
        <f>IF(AND($J20=$P$7,$B20&lt;'1121'!$N$9),"x","")</f>
        <v/>
      </c>
      <c r="R20" s="91" t="str">
        <f>IF(AND($K20=$P$7,$B20&lt;'1121'!$N$9),"x","")</f>
        <v/>
      </c>
      <c r="S20" s="91" t="str">
        <f>IF(OR(TH!J20=TH!$S$7,K20=TH!$S$7),"x","")</f>
        <v/>
      </c>
      <c r="T20" s="91" t="str">
        <f t="shared" si="4"/>
        <v>1</v>
      </c>
    </row>
    <row r="21" spans="1:20" s="78" customFormat="1" ht="15.75" customHeight="1">
      <c r="A21" s="157" t="str">
        <f>IF(B21&lt;&gt;"",IF(AND(B21&gt;=_TM1,B21&lt;=_TM2,OR(TH!J21="1111",TH!K21="1111")),TH!D21,""),"")</f>
        <v/>
      </c>
      <c r="B21" s="63">
        <f t="shared" si="3"/>
        <v>1</v>
      </c>
      <c r="C21" s="76">
        <v>40570</v>
      </c>
      <c r="D21" s="64" t="s">
        <v>8</v>
      </c>
      <c r="E21" s="64">
        <v>40570</v>
      </c>
      <c r="F21" s="67" t="s">
        <v>255</v>
      </c>
      <c r="G21" s="347"/>
      <c r="H21" s="80"/>
      <c r="I21" s="65">
        <v>30000</v>
      </c>
      <c r="J21" s="66" t="s">
        <v>118</v>
      </c>
      <c r="K21" s="66" t="s">
        <v>32</v>
      </c>
      <c r="L21" s="91" t="str">
        <f>IF(AND('331-CT'!$E$7=TH!H21,OR(J21="331",K21="331")),"x","")</f>
        <v/>
      </c>
      <c r="M21" s="91" t="str">
        <f>IF(AND($B21&gt;='1111'!$N$10,$B21&lt;='1111'!$O$10,OR($J21=$M$7,$K21=$M$7)),"x","")</f>
        <v/>
      </c>
      <c r="N21" s="91" t="str">
        <f>IF(AND($J21=$M$7,$B21&lt;'1111'!$N$10),"x","")</f>
        <v/>
      </c>
      <c r="O21" s="91" t="str">
        <f>IF(AND($K21=$M$7,$B21&lt;'1111'!$N$10),"x","")</f>
        <v/>
      </c>
      <c r="P21" s="91" t="str">
        <f>IF(AND($B21&gt;='1121'!$N$9,$B21&lt;='1121'!$O$9,OR($J21=$P$7,$K21=$P$7)),"x","")</f>
        <v>x</v>
      </c>
      <c r="Q21" s="91" t="str">
        <f>IF(AND($J21=$P$7,$B21&lt;'1121'!$N$9),"x","")</f>
        <v/>
      </c>
      <c r="R21" s="91" t="str">
        <f>IF(AND($K21=$P$7,$B21&lt;'1121'!$N$9),"x","")</f>
        <v/>
      </c>
      <c r="S21" s="91" t="str">
        <f>IF(OR(TH!J21=TH!$S$7,K21=TH!$S$7),"x","")</f>
        <v/>
      </c>
      <c r="T21" s="91" t="str">
        <f t="shared" si="4"/>
        <v>1</v>
      </c>
    </row>
    <row r="22" spans="1:20" s="78" customFormat="1" ht="15.75" customHeight="1">
      <c r="A22" s="157" t="str">
        <f>IF(B22&lt;&gt;"",IF(AND(B22&gt;=_TM1,B22&lt;=_TM2,OR(TH!J22="1111",TH!K22="1111")),TH!D22,""),"")</f>
        <v/>
      </c>
      <c r="B22" s="63">
        <f t="shared" si="3"/>
        <v>1</v>
      </c>
      <c r="C22" s="64">
        <v>40570</v>
      </c>
      <c r="D22" s="64" t="s">
        <v>8</v>
      </c>
      <c r="E22" s="64">
        <v>40570</v>
      </c>
      <c r="F22" s="67" t="s">
        <v>22</v>
      </c>
      <c r="G22" s="347"/>
      <c r="H22" s="81"/>
      <c r="I22" s="65">
        <v>5000</v>
      </c>
      <c r="J22" s="66" t="s">
        <v>118</v>
      </c>
      <c r="K22" s="66" t="s">
        <v>32</v>
      </c>
      <c r="L22" s="91" t="str">
        <f>IF(AND('331-CT'!$E$7=TH!H22,OR(J22="331",K22="331")),"x","")</f>
        <v/>
      </c>
      <c r="M22" s="91" t="str">
        <f>IF(AND($B22&gt;='1111'!$N$10,$B22&lt;='1111'!$O$10,OR($J22=$M$7,$K22=$M$7)),"x","")</f>
        <v/>
      </c>
      <c r="N22" s="91" t="str">
        <f>IF(AND($J22=$M$7,$B22&lt;'1111'!$N$10),"x","")</f>
        <v/>
      </c>
      <c r="O22" s="91" t="str">
        <f>IF(AND($K22=$M$7,$B22&lt;'1111'!$N$10),"x","")</f>
        <v/>
      </c>
      <c r="P22" s="91" t="str">
        <f>IF(AND($B22&gt;='1121'!$N$9,$B22&lt;='1121'!$O$9,OR($J22=$P$7,$K22=$P$7)),"x","")</f>
        <v>x</v>
      </c>
      <c r="Q22" s="91" t="str">
        <f>IF(AND($J22=$P$7,$B22&lt;'1121'!$N$9),"x","")</f>
        <v/>
      </c>
      <c r="R22" s="91" t="str">
        <f>IF(AND($K22=$P$7,$B22&lt;'1121'!$N$9),"x","")</f>
        <v/>
      </c>
      <c r="S22" s="91" t="str">
        <f>IF(OR(TH!J22=TH!$S$7,K22=TH!$S$7),"x","")</f>
        <v/>
      </c>
      <c r="T22" s="91" t="str">
        <f t="shared" si="4"/>
        <v>1</v>
      </c>
    </row>
    <row r="23" spans="1:20" s="78" customFormat="1" ht="15.75" customHeight="1">
      <c r="A23" s="157" t="str">
        <f>IF(B23&lt;&gt;"",IF(AND(B23&gt;=_TM1,B23&lt;=_TM2,OR(TH!J23="1111",TH!K23="1111")),TH!D23,""),"")</f>
        <v/>
      </c>
      <c r="B23" s="63">
        <f t="shared" si="3"/>
        <v>1</v>
      </c>
      <c r="C23" s="64">
        <v>40570</v>
      </c>
      <c r="D23" s="64" t="s">
        <v>8</v>
      </c>
      <c r="E23" s="64">
        <v>40570</v>
      </c>
      <c r="F23" s="67" t="s">
        <v>256</v>
      </c>
      <c r="G23" s="347"/>
      <c r="H23" s="81"/>
      <c r="I23" s="65">
        <v>3000</v>
      </c>
      <c r="J23" s="66" t="s">
        <v>118</v>
      </c>
      <c r="K23" s="66" t="s">
        <v>32</v>
      </c>
      <c r="L23" s="91" t="str">
        <f>IF(AND('331-CT'!$E$7=TH!H23,OR(J23="331",K23="331")),"x","")</f>
        <v/>
      </c>
      <c r="M23" s="91" t="str">
        <f>IF(AND($B23&gt;='1111'!$N$10,$B23&lt;='1111'!$O$10,OR($J23=$M$7,$K23=$M$7)),"x","")</f>
        <v/>
      </c>
      <c r="N23" s="91" t="str">
        <f>IF(AND($J23=$M$7,$B23&lt;'1111'!$N$10),"x","")</f>
        <v/>
      </c>
      <c r="O23" s="91" t="str">
        <f>IF(AND($K23=$M$7,$B23&lt;'1111'!$N$10),"x","")</f>
        <v/>
      </c>
      <c r="P23" s="91" t="str">
        <f>IF(AND($B23&gt;='1121'!$N$9,$B23&lt;='1121'!$O$9,OR($J23=$P$7,$K23=$P$7)),"x","")</f>
        <v>x</v>
      </c>
      <c r="Q23" s="91" t="str">
        <f>IF(AND($J23=$P$7,$B23&lt;'1121'!$N$9),"x","")</f>
        <v/>
      </c>
      <c r="R23" s="91" t="str">
        <f>IF(AND($K23=$P$7,$B23&lt;'1121'!$N$9),"x","")</f>
        <v/>
      </c>
      <c r="S23" s="91" t="str">
        <f>IF(OR(TH!J23=TH!$S$7,K23=TH!$S$7),"x","")</f>
        <v/>
      </c>
      <c r="T23" s="91" t="str">
        <f t="shared" si="4"/>
        <v>1</v>
      </c>
    </row>
    <row r="24" spans="1:20" s="78" customFormat="1" ht="15.75" customHeight="1">
      <c r="A24" s="157" t="str">
        <f>IF(B24&lt;&gt;"",IF(AND(B24&gt;=_TM1,B24&lt;=_TM2,OR(TH!J24="1111",TH!K24="1111")),TH!D24,""),"")</f>
        <v/>
      </c>
      <c r="B24" s="63">
        <f t="shared" si="3"/>
        <v>1</v>
      </c>
      <c r="C24" s="64">
        <v>40571</v>
      </c>
      <c r="D24" s="64" t="s">
        <v>8</v>
      </c>
      <c r="E24" s="64">
        <v>40571</v>
      </c>
      <c r="F24" s="67" t="s">
        <v>257</v>
      </c>
      <c r="G24" s="347"/>
      <c r="H24" s="81"/>
      <c r="I24" s="65">
        <v>10000</v>
      </c>
      <c r="J24" s="66" t="s">
        <v>118</v>
      </c>
      <c r="K24" s="66" t="s">
        <v>32</v>
      </c>
      <c r="L24" s="91" t="str">
        <f>IF(AND('331-CT'!$E$7=TH!H24,OR(J24="331",K24="331")),"x","")</f>
        <v/>
      </c>
      <c r="M24" s="91" t="str">
        <f>IF(AND($B24&gt;='1111'!$N$10,$B24&lt;='1111'!$O$10,OR($J24=$M$7,$K24=$M$7)),"x","")</f>
        <v/>
      </c>
      <c r="N24" s="91" t="str">
        <f>IF(AND($J24=$M$7,$B24&lt;'1111'!$N$10),"x","")</f>
        <v/>
      </c>
      <c r="O24" s="91" t="str">
        <f>IF(AND($K24=$M$7,$B24&lt;'1111'!$N$10),"x","")</f>
        <v/>
      </c>
      <c r="P24" s="91" t="str">
        <f>IF(AND($B24&gt;='1121'!$N$9,$B24&lt;='1121'!$O$9,OR($J24=$P$7,$K24=$P$7)),"x","")</f>
        <v>x</v>
      </c>
      <c r="Q24" s="91" t="str">
        <f>IF(AND($J24=$P$7,$B24&lt;'1121'!$N$9),"x","")</f>
        <v/>
      </c>
      <c r="R24" s="91" t="str">
        <f>IF(AND($K24=$P$7,$B24&lt;'1121'!$N$9),"x","")</f>
        <v/>
      </c>
      <c r="S24" s="91" t="str">
        <f>IF(OR(TH!J24=TH!$S$7,K24=TH!$S$7),"x","")</f>
        <v/>
      </c>
      <c r="T24" s="91" t="str">
        <f t="shared" si="4"/>
        <v>1</v>
      </c>
    </row>
    <row r="25" spans="1:20" s="78" customFormat="1" ht="15.75" customHeight="1">
      <c r="A25" s="157" t="str">
        <f>IF(B25&lt;&gt;"",IF(AND(B25&gt;=_TM1,B25&lt;=_TM2,OR(TH!J25="1111",TH!K25="1111")),TH!D25,""),"")</f>
        <v/>
      </c>
      <c r="B25" s="63">
        <f t="shared" si="3"/>
        <v>1</v>
      </c>
      <c r="C25" s="64">
        <v>40571</v>
      </c>
      <c r="D25" s="64" t="s">
        <v>8</v>
      </c>
      <c r="E25" s="64">
        <v>40571</v>
      </c>
      <c r="F25" s="67" t="s">
        <v>258</v>
      </c>
      <c r="G25" s="347"/>
      <c r="H25" s="81"/>
      <c r="I25" s="65">
        <v>1000</v>
      </c>
      <c r="J25" s="66" t="s">
        <v>118</v>
      </c>
      <c r="K25" s="66" t="s">
        <v>32</v>
      </c>
      <c r="L25" s="91" t="str">
        <f>IF(AND('331-CT'!$E$7=TH!H25,OR(J25="331",K25="331")),"x","")</f>
        <v/>
      </c>
      <c r="M25" s="91" t="str">
        <f>IF(AND($B25&gt;='1111'!$N$10,$B25&lt;='1111'!$O$10,OR($J25=$M$7,$K25=$M$7)),"x","")</f>
        <v/>
      </c>
      <c r="N25" s="91" t="str">
        <f>IF(AND($J25=$M$7,$B25&lt;'1111'!$N$10),"x","")</f>
        <v/>
      </c>
      <c r="O25" s="91" t="str">
        <f>IF(AND($K25=$M$7,$B25&lt;'1111'!$N$10),"x","")</f>
        <v/>
      </c>
      <c r="P25" s="91" t="str">
        <f>IF(AND($B25&gt;='1121'!$N$9,$B25&lt;='1121'!$O$9,OR($J25=$P$7,$K25=$P$7)),"x","")</f>
        <v>x</v>
      </c>
      <c r="Q25" s="91" t="str">
        <f>IF(AND($J25=$P$7,$B25&lt;'1121'!$N$9),"x","")</f>
        <v/>
      </c>
      <c r="R25" s="91" t="str">
        <f>IF(AND($K25=$P$7,$B25&lt;'1121'!$N$9),"x","")</f>
        <v/>
      </c>
      <c r="S25" s="91" t="str">
        <f>IF(OR(TH!J25=TH!$S$7,K25=TH!$S$7),"x","")</f>
        <v/>
      </c>
      <c r="T25" s="91" t="str">
        <f t="shared" si="4"/>
        <v>1</v>
      </c>
    </row>
    <row r="26" spans="1:20" s="78" customFormat="1" ht="15.75" customHeight="1">
      <c r="A26" s="157" t="str">
        <f>IF(B26&lt;&gt;"",IF(AND(B26&gt;=_TM1,B26&lt;=_TM2,OR(TH!J26="1111",TH!K26="1111")),TH!D26,""),"")</f>
        <v/>
      </c>
      <c r="B26" s="63">
        <f t="shared" si="3"/>
        <v>1</v>
      </c>
      <c r="C26" s="64">
        <v>40572</v>
      </c>
      <c r="D26" s="64" t="s">
        <v>54</v>
      </c>
      <c r="E26" s="64">
        <v>40570</v>
      </c>
      <c r="F26" s="70" t="s">
        <v>259</v>
      </c>
      <c r="G26" s="347"/>
      <c r="H26" s="81" t="s">
        <v>277</v>
      </c>
      <c r="I26" s="65">
        <v>2000000</v>
      </c>
      <c r="J26" s="66" t="s">
        <v>23</v>
      </c>
      <c r="K26" s="66" t="s">
        <v>79</v>
      </c>
      <c r="L26" s="91" t="str">
        <f>IF(AND('331-CT'!$E$7=TH!H26,OR(J26="331",K26="331")),"x","")</f>
        <v/>
      </c>
      <c r="M26" s="91" t="str">
        <f>IF(AND($B26&gt;='1111'!$N$10,$B26&lt;='1111'!$O$10,OR($J26=$M$7,$K26=$M$7)),"x","")</f>
        <v>x</v>
      </c>
      <c r="N26" s="91" t="str">
        <f>IF(AND($J26=$M$7,$B26&lt;'1111'!$N$10),"x","")</f>
        <v/>
      </c>
      <c r="O26" s="91" t="str">
        <f>IF(AND($K26=$M$7,$B26&lt;'1111'!$N$10),"x","")</f>
        <v/>
      </c>
      <c r="P26" s="91" t="str">
        <f>IF(AND($B26&gt;='1121'!$N$9,$B26&lt;='1121'!$O$9,OR($J26=$P$7,$K26=$P$7)),"x","")</f>
        <v/>
      </c>
      <c r="Q26" s="91" t="str">
        <f>IF(AND($J26=$P$7,$B26&lt;'1121'!$N$9),"x","")</f>
        <v/>
      </c>
      <c r="R26" s="91" t="str">
        <f>IF(AND($K26=$P$7,$B26&lt;'1121'!$N$9),"x","")</f>
        <v/>
      </c>
      <c r="S26" s="91" t="str">
        <f>IF(OR(TH!J26=TH!$S$7,K26=TH!$S$7),"x","")</f>
        <v>x</v>
      </c>
      <c r="T26" s="91" t="str">
        <f t="shared" si="4"/>
        <v>1</v>
      </c>
    </row>
    <row r="27" spans="1:20" s="78" customFormat="1" ht="15.75" customHeight="1">
      <c r="A27" s="157" t="str">
        <f>IF(B27&lt;&gt;"",IF(AND(B27&gt;=_TM1,B27&lt;=_TM2,OR(TH!J27="1111",TH!K27="1111")),TH!D27,""),"")</f>
        <v/>
      </c>
      <c r="B27" s="63">
        <f t="shared" si="3"/>
        <v>1</v>
      </c>
      <c r="C27" s="64">
        <v>40572</v>
      </c>
      <c r="D27" s="64" t="s">
        <v>11</v>
      </c>
      <c r="E27" s="64">
        <v>40572</v>
      </c>
      <c r="F27" s="67" t="s">
        <v>260</v>
      </c>
      <c r="G27" s="347"/>
      <c r="H27" s="81" t="s">
        <v>277</v>
      </c>
      <c r="I27" s="65">
        <v>2000000</v>
      </c>
      <c r="J27" s="66" t="s">
        <v>32</v>
      </c>
      <c r="K27" s="66" t="s">
        <v>23</v>
      </c>
      <c r="L27" s="91" t="str">
        <f>IF(AND('331-CT'!$E$7=TH!H27,OR(J27="331",K27="331")),"x","")</f>
        <v/>
      </c>
      <c r="M27" s="91" t="str">
        <f>IF(AND($B27&gt;='1111'!$N$10,$B27&lt;='1111'!$O$10,OR($J27=$M$7,$K27=$M$7)),"x","")</f>
        <v/>
      </c>
      <c r="N27" s="91" t="str">
        <f>IF(AND($J27=$M$7,$B27&lt;'1111'!$N$10),"x","")</f>
        <v/>
      </c>
      <c r="O27" s="91" t="str">
        <f>IF(AND($K27=$M$7,$B27&lt;'1111'!$N$10),"x","")</f>
        <v/>
      </c>
      <c r="P27" s="91" t="str">
        <f>IF(AND($B27&gt;='1121'!$N$9,$B27&lt;='1121'!$O$9,OR($J27=$P$7,$K27=$P$7)),"x","")</f>
        <v>x</v>
      </c>
      <c r="Q27" s="91" t="str">
        <f>IF(AND($J27=$P$7,$B27&lt;'1121'!$N$9),"x","")</f>
        <v/>
      </c>
      <c r="R27" s="91" t="str">
        <f>IF(AND($K27=$P$7,$B27&lt;'1121'!$N$9),"x","")</f>
        <v/>
      </c>
      <c r="S27" s="91" t="str">
        <f>IF(OR(TH!J27=TH!$S$7,K27=TH!$S$7),"x","")</f>
        <v>x</v>
      </c>
      <c r="T27" s="91" t="str">
        <f t="shared" si="4"/>
        <v>1</v>
      </c>
    </row>
    <row r="28" spans="1:20" s="78" customFormat="1" ht="15.75" customHeight="1">
      <c r="A28" s="157" t="str">
        <f>IF(B28&lt;&gt;"",IF(AND(B28&gt;=_TM1,B28&lt;=_TM2,OR(TH!J28="1111",TH!K28="1111")),TH!D28,""),"")</f>
        <v/>
      </c>
      <c r="B28" s="63">
        <f t="shared" si="3"/>
        <v>1</v>
      </c>
      <c r="C28" s="64">
        <v>40572</v>
      </c>
      <c r="D28" s="64" t="s">
        <v>8</v>
      </c>
      <c r="E28" s="64">
        <v>40572</v>
      </c>
      <c r="F28" s="67" t="s">
        <v>261</v>
      </c>
      <c r="G28" s="347"/>
      <c r="H28" s="81"/>
      <c r="I28" s="65">
        <v>1500000</v>
      </c>
      <c r="J28" s="66" t="s">
        <v>95</v>
      </c>
      <c r="K28" s="66" t="s">
        <v>32</v>
      </c>
      <c r="L28" s="91" t="str">
        <f>IF(AND('331-CT'!$E$7=TH!H28,OR(J28="331",K28="331")),"x","")</f>
        <v/>
      </c>
      <c r="M28" s="91" t="str">
        <f>IF(AND($B28&gt;='1111'!$N$10,$B28&lt;='1111'!$O$10,OR($J28=$M$7,$K28=$M$7)),"x","")</f>
        <v/>
      </c>
      <c r="N28" s="91" t="str">
        <f>IF(AND($J28=$M$7,$B28&lt;'1111'!$N$10),"x","")</f>
        <v/>
      </c>
      <c r="O28" s="91" t="str">
        <f>IF(AND($K28=$M$7,$B28&lt;'1111'!$N$10),"x","")</f>
        <v/>
      </c>
      <c r="P28" s="91" t="str">
        <f>IF(AND($B28&gt;='1121'!$N$9,$B28&lt;='1121'!$O$9,OR($J28=$P$7,$K28=$P$7)),"x","")</f>
        <v>x</v>
      </c>
      <c r="Q28" s="91" t="str">
        <f>IF(AND($J28=$P$7,$B28&lt;'1121'!$N$9),"x","")</f>
        <v/>
      </c>
      <c r="R28" s="91" t="str">
        <f>IF(AND($K28=$P$7,$B28&lt;'1121'!$N$9),"x","")</f>
        <v/>
      </c>
      <c r="S28" s="91" t="str">
        <f>IF(OR(TH!J28=TH!$S$7,K28=TH!$S$7),"x","")</f>
        <v/>
      </c>
      <c r="T28" s="91" t="str">
        <f t="shared" si="4"/>
        <v>1</v>
      </c>
    </row>
    <row r="29" spans="1:20" s="78" customFormat="1" ht="15.75" customHeight="1">
      <c r="A29" s="157" t="str">
        <f>IF(B29&lt;&gt;"",IF(AND(B29&gt;=_TM1,B29&lt;=_TM2,OR(TH!J29="1111",TH!K29="1111")),TH!D29,""),"")</f>
        <v/>
      </c>
      <c r="B29" s="63">
        <f t="shared" si="3"/>
        <v>1</v>
      </c>
      <c r="C29" s="64">
        <v>40572</v>
      </c>
      <c r="D29" s="64" t="s">
        <v>47</v>
      </c>
      <c r="E29" s="64">
        <v>40572</v>
      </c>
      <c r="F29" s="67" t="s">
        <v>261</v>
      </c>
      <c r="G29" s="347"/>
      <c r="H29" s="81"/>
      <c r="I29" s="65">
        <v>1500000</v>
      </c>
      <c r="J29" s="66" t="s">
        <v>118</v>
      </c>
      <c r="K29" s="66" t="s">
        <v>95</v>
      </c>
      <c r="L29" s="91" t="str">
        <f>IF(AND('331-CT'!$E$7=TH!H29,OR(J29="331",K29="331")),"x","")</f>
        <v/>
      </c>
      <c r="M29" s="91" t="str">
        <f>IF(AND($B29&gt;='1111'!$N$10,$B29&lt;='1111'!$O$10,OR($J29=$M$7,$K29=$M$7)),"x","")</f>
        <v/>
      </c>
      <c r="N29" s="91" t="str">
        <f>IF(AND($J29=$M$7,$B29&lt;'1111'!$N$10),"x","")</f>
        <v/>
      </c>
      <c r="O29" s="91" t="str">
        <f>IF(AND($K29=$M$7,$B29&lt;'1111'!$N$10),"x","")</f>
        <v/>
      </c>
      <c r="P29" s="91" t="str">
        <f>IF(AND($B29&gt;='1121'!$N$9,$B29&lt;='1121'!$O$9,OR($J29=$P$7,$K29=$P$7)),"x","")</f>
        <v/>
      </c>
      <c r="Q29" s="91" t="str">
        <f>IF(AND($J29=$P$7,$B29&lt;'1121'!$N$9),"x","")</f>
        <v/>
      </c>
      <c r="R29" s="91" t="str">
        <f>IF(AND($K29=$P$7,$B29&lt;'1121'!$N$9),"x","")</f>
        <v/>
      </c>
      <c r="S29" s="91" t="str">
        <f>IF(OR(TH!J29=TH!$S$7,K29=TH!$S$7),"x","")</f>
        <v/>
      </c>
      <c r="T29" s="91" t="str">
        <f t="shared" si="4"/>
        <v>1</v>
      </c>
    </row>
    <row r="30" spans="1:20" s="78" customFormat="1" ht="15.75" customHeight="1">
      <c r="A30" s="157" t="str">
        <f>IF(B30&lt;&gt;"",IF(AND(B30&gt;=_TM1,B30&lt;=_TM2,OR(TH!J30="1111",TH!K30="1111")),TH!D30,""),"")</f>
        <v/>
      </c>
      <c r="B30" s="63">
        <f t="shared" si="3"/>
        <v>1</v>
      </c>
      <c r="C30" s="64">
        <v>40572</v>
      </c>
      <c r="D30" s="64" t="s">
        <v>8</v>
      </c>
      <c r="E30" s="64">
        <v>40572</v>
      </c>
      <c r="F30" s="67" t="s">
        <v>21</v>
      </c>
      <c r="G30" s="347"/>
      <c r="H30" s="81"/>
      <c r="I30" s="65">
        <v>22000</v>
      </c>
      <c r="J30" s="66" t="s">
        <v>118</v>
      </c>
      <c r="K30" s="66" t="s">
        <v>32</v>
      </c>
      <c r="L30" s="91" t="str">
        <f>IF(AND('331-CT'!$E$7=TH!H30,OR(J30="331",K30="331")),"x","")</f>
        <v/>
      </c>
      <c r="M30" s="91" t="str">
        <f>IF(AND($B30&gt;='1111'!$N$10,$B30&lt;='1111'!$O$10,OR($J30=$M$7,$K30=$M$7)),"x","")</f>
        <v/>
      </c>
      <c r="N30" s="91" t="str">
        <f>IF(AND($J30=$M$7,$B30&lt;'1111'!$N$10),"x","")</f>
        <v/>
      </c>
      <c r="O30" s="91" t="str">
        <f>IF(AND($K30=$M$7,$B30&lt;'1111'!$N$10),"x","")</f>
        <v/>
      </c>
      <c r="P30" s="91" t="str">
        <f>IF(AND($B30&gt;='1121'!$N$9,$B30&lt;='1121'!$O$9,OR($J30=$P$7,$K30=$P$7)),"x","")</f>
        <v>x</v>
      </c>
      <c r="Q30" s="91" t="str">
        <f>IF(AND($J30=$P$7,$B30&lt;'1121'!$N$9),"x","")</f>
        <v/>
      </c>
      <c r="R30" s="91" t="str">
        <f>IF(AND($K30=$P$7,$B30&lt;'1121'!$N$9),"x","")</f>
        <v/>
      </c>
      <c r="S30" s="91" t="str">
        <f>IF(OR(TH!J30=TH!$S$7,K30=TH!$S$7),"x","")</f>
        <v/>
      </c>
      <c r="T30" s="91" t="str">
        <f t="shared" si="4"/>
        <v>1</v>
      </c>
    </row>
    <row r="31" spans="1:20" s="78" customFormat="1" ht="15.75" customHeight="1">
      <c r="A31" s="157" t="str">
        <f>IF(B31&lt;&gt;"",IF(AND(B31&gt;=_TM1,B31&lt;=_TM2,OR(TH!J31="1111",TH!K31="1111")),TH!D31,""),"")</f>
        <v/>
      </c>
      <c r="B31" s="63">
        <f t="shared" si="3"/>
        <v>1</v>
      </c>
      <c r="C31" s="64">
        <v>40572</v>
      </c>
      <c r="D31" s="64" t="s">
        <v>8</v>
      </c>
      <c r="E31" s="64">
        <v>40572</v>
      </c>
      <c r="F31" s="67" t="s">
        <v>257</v>
      </c>
      <c r="G31" s="347"/>
      <c r="H31" s="81"/>
      <c r="I31" s="65">
        <v>10000</v>
      </c>
      <c r="J31" s="66" t="s">
        <v>118</v>
      </c>
      <c r="K31" s="66" t="s">
        <v>32</v>
      </c>
      <c r="L31" s="91" t="str">
        <f>IF(AND('331-CT'!$E$7=TH!H31,OR(J31="331",K31="331")),"x","")</f>
        <v/>
      </c>
      <c r="M31" s="91" t="str">
        <f>IF(AND($B31&gt;='1111'!$N$10,$B31&lt;='1111'!$O$10,OR($J31=$M$7,$K31=$M$7)),"x","")</f>
        <v/>
      </c>
      <c r="N31" s="91" t="str">
        <f>IF(AND($J31=$M$7,$B31&lt;'1111'!$N$10),"x","")</f>
        <v/>
      </c>
      <c r="O31" s="91" t="str">
        <f>IF(AND($K31=$M$7,$B31&lt;'1111'!$N$10),"x","")</f>
        <v/>
      </c>
      <c r="P31" s="91" t="str">
        <f>IF(AND($B31&gt;='1121'!$N$9,$B31&lt;='1121'!$O$9,OR($J31=$P$7,$K31=$P$7)),"x","")</f>
        <v>x</v>
      </c>
      <c r="Q31" s="91" t="str">
        <f>IF(AND($J31=$P$7,$B31&lt;'1121'!$N$9),"x","")</f>
        <v/>
      </c>
      <c r="R31" s="91" t="str">
        <f>IF(AND($K31=$P$7,$B31&lt;'1121'!$N$9),"x","")</f>
        <v/>
      </c>
      <c r="S31" s="91" t="str">
        <f>IF(OR(TH!J31=TH!$S$7,K31=TH!$S$7),"x","")</f>
        <v/>
      </c>
      <c r="T31" s="91" t="str">
        <f t="shared" si="4"/>
        <v>1</v>
      </c>
    </row>
    <row r="32" spans="1:20" s="78" customFormat="1" ht="15.75" customHeight="1">
      <c r="A32" s="157" t="str">
        <f>IF(B32&lt;&gt;"",IF(AND(B32&gt;=_TM1,B32&lt;=_TM2,OR(TH!J32="1111",TH!K32="1111")),TH!D32,""),"")</f>
        <v/>
      </c>
      <c r="B32" s="63">
        <f t="shared" si="3"/>
        <v>1</v>
      </c>
      <c r="C32" s="76">
        <v>40572</v>
      </c>
      <c r="D32" s="64" t="s">
        <v>8</v>
      </c>
      <c r="E32" s="64">
        <v>40572</v>
      </c>
      <c r="F32" s="67" t="s">
        <v>258</v>
      </c>
      <c r="G32" s="347"/>
      <c r="H32" s="81"/>
      <c r="I32" s="65">
        <v>1000</v>
      </c>
      <c r="J32" s="66" t="s">
        <v>118</v>
      </c>
      <c r="K32" s="66" t="s">
        <v>32</v>
      </c>
      <c r="L32" s="91" t="str">
        <f>IF(AND('331-CT'!$E$7=TH!H32,OR(J32="331",K32="331")),"x","")</f>
        <v/>
      </c>
      <c r="M32" s="91" t="str">
        <f>IF(AND($B32&gt;='1111'!$N$10,$B32&lt;='1111'!$O$10,OR($J32=$M$7,$K32=$M$7)),"x","")</f>
        <v/>
      </c>
      <c r="N32" s="91" t="str">
        <f>IF(AND($J32=$M$7,$B32&lt;'1111'!$N$10),"x","")</f>
        <v/>
      </c>
      <c r="O32" s="91" t="str">
        <f>IF(AND($K32=$M$7,$B32&lt;'1111'!$N$10),"x","")</f>
        <v/>
      </c>
      <c r="P32" s="91" t="str">
        <f>IF(AND($B32&gt;='1121'!$N$9,$B32&lt;='1121'!$O$9,OR($J32=$P$7,$K32=$P$7)),"x","")</f>
        <v>x</v>
      </c>
      <c r="Q32" s="91" t="str">
        <f>IF(AND($J32=$P$7,$B32&lt;'1121'!$N$9),"x","")</f>
        <v/>
      </c>
      <c r="R32" s="91" t="str">
        <f>IF(AND($K32=$P$7,$B32&lt;'1121'!$N$9),"x","")</f>
        <v/>
      </c>
      <c r="S32" s="91" t="str">
        <f>IF(OR(TH!J32=TH!$S$7,K32=TH!$S$7),"x","")</f>
        <v/>
      </c>
      <c r="T32" s="91" t="str">
        <f t="shared" si="4"/>
        <v>1</v>
      </c>
    </row>
    <row r="33" spans="1:20" s="78" customFormat="1" ht="15.75" customHeight="1">
      <c r="A33" s="157" t="str">
        <f>IF(B33&lt;&gt;"",IF(AND(B33&gt;=_TM1,B33&lt;=_TM2,OR(TH!J33="1111",TH!K33="1111")),TH!D33,""),"")</f>
        <v/>
      </c>
      <c r="B33" s="63">
        <f t="shared" si="3"/>
        <v>2</v>
      </c>
      <c r="C33" s="76">
        <v>40588</v>
      </c>
      <c r="D33" s="64" t="s">
        <v>11</v>
      </c>
      <c r="E33" s="64">
        <v>40588</v>
      </c>
      <c r="F33" s="67" t="s">
        <v>262</v>
      </c>
      <c r="G33" s="347"/>
      <c r="H33" s="81" t="s">
        <v>277</v>
      </c>
      <c r="I33" s="65">
        <v>50000000</v>
      </c>
      <c r="J33" s="66" t="s">
        <v>32</v>
      </c>
      <c r="K33" s="66" t="s">
        <v>23</v>
      </c>
      <c r="L33" s="91" t="str">
        <f>IF(AND('331-CT'!$E$7=TH!H33,OR(J33="331",K33="331")),"x","")</f>
        <v/>
      </c>
      <c r="M33" s="91" t="str">
        <f>IF(AND($B33&gt;='1111'!$N$10,$B33&lt;='1111'!$O$10,OR($J33=$M$7,$K33=$M$7)),"x","")</f>
        <v/>
      </c>
      <c r="N33" s="91" t="str">
        <f>IF(AND($J33=$M$7,$B33&lt;'1111'!$N$10),"x","")</f>
        <v/>
      </c>
      <c r="O33" s="91" t="str">
        <f>IF(AND($K33=$M$7,$B33&lt;'1111'!$N$10),"x","")</f>
        <v/>
      </c>
      <c r="P33" s="91" t="str">
        <f>IF(AND($B33&gt;='1121'!$N$9,$B33&lt;='1121'!$O$9,OR($J33=$P$7,$K33=$P$7)),"x","")</f>
        <v>x</v>
      </c>
      <c r="Q33" s="91" t="str">
        <f>IF(AND($J33=$P$7,$B33&lt;'1121'!$N$9),"x","")</f>
        <v/>
      </c>
      <c r="R33" s="91" t="str">
        <f>IF(AND($K33=$P$7,$B33&lt;'1121'!$N$9),"x","")</f>
        <v/>
      </c>
      <c r="S33" s="91" t="str">
        <f>IF(OR(TH!J33=TH!$S$7,K33=TH!$S$7),"x","")</f>
        <v>x</v>
      </c>
      <c r="T33" s="91" t="str">
        <f t="shared" si="4"/>
        <v>1</v>
      </c>
    </row>
    <row r="34" spans="1:20" s="78" customFormat="1" ht="15.75" customHeight="1">
      <c r="A34" s="157" t="str">
        <f>IF(B34&lt;&gt;"",IF(AND(B34&gt;=_TM1,B34&lt;=_TM2,OR(TH!J34="1111",TH!K34="1111")),TH!D34,""),"")</f>
        <v/>
      </c>
      <c r="B34" s="63">
        <f t="shared" si="3"/>
        <v>2</v>
      </c>
      <c r="C34" s="76">
        <v>40588</v>
      </c>
      <c r="D34" s="64" t="s">
        <v>8</v>
      </c>
      <c r="E34" s="64">
        <v>40588</v>
      </c>
      <c r="F34" s="67" t="s">
        <v>254</v>
      </c>
      <c r="G34" s="347"/>
      <c r="H34" s="81" t="s">
        <v>53</v>
      </c>
      <c r="I34" s="65">
        <v>50000000</v>
      </c>
      <c r="J34" s="66" t="s">
        <v>9</v>
      </c>
      <c r="K34" s="66" t="s">
        <v>32</v>
      </c>
      <c r="L34" s="91" t="str">
        <f>IF(AND('331-CT'!$E$7=TH!H34,OR(J34="331",K34="331")),"x","")</f>
        <v/>
      </c>
      <c r="M34" s="91" t="str">
        <f>IF(AND($B34&gt;='1111'!$N$10,$B34&lt;='1111'!$O$10,OR($J34=$M$7,$K34=$M$7)),"x","")</f>
        <v/>
      </c>
      <c r="N34" s="91" t="str">
        <f>IF(AND($J34=$M$7,$B34&lt;'1111'!$N$10),"x","")</f>
        <v/>
      </c>
      <c r="O34" s="91" t="str">
        <f>IF(AND($K34=$M$7,$B34&lt;'1111'!$N$10),"x","")</f>
        <v/>
      </c>
      <c r="P34" s="91" t="str">
        <f>IF(AND($B34&gt;='1121'!$N$9,$B34&lt;='1121'!$O$9,OR($J34=$P$7,$K34=$P$7)),"x","")</f>
        <v>x</v>
      </c>
      <c r="Q34" s="91" t="str">
        <f>IF(AND($J34=$P$7,$B34&lt;'1121'!$N$9),"x","")</f>
        <v/>
      </c>
      <c r="R34" s="91" t="str">
        <f>IF(AND($K34=$P$7,$B34&lt;'1121'!$N$9),"x","")</f>
        <v/>
      </c>
      <c r="S34" s="91" t="str">
        <f>IF(OR(TH!J34=TH!$S$7,K34=TH!$S$7),"x","")</f>
        <v/>
      </c>
      <c r="T34" s="91" t="str">
        <f t="shared" si="4"/>
        <v>1</v>
      </c>
    </row>
    <row r="35" spans="1:20" s="78" customFormat="1" ht="15.75" customHeight="1">
      <c r="A35" s="157" t="str">
        <f>IF(B35&lt;&gt;"",IF(AND(B35&gt;=_TM1,B35&lt;=_TM2,OR(TH!J35="1111",TH!K35="1111")),TH!D35,""),"")</f>
        <v/>
      </c>
      <c r="B35" s="63">
        <f t="shared" si="3"/>
        <v>2</v>
      </c>
      <c r="C35" s="64">
        <v>40588</v>
      </c>
      <c r="D35" s="64" t="s">
        <v>8</v>
      </c>
      <c r="E35" s="64">
        <v>40588</v>
      </c>
      <c r="F35" s="67" t="s">
        <v>21</v>
      </c>
      <c r="G35" s="347"/>
      <c r="H35" s="81"/>
      <c r="I35" s="65">
        <v>25000</v>
      </c>
      <c r="J35" s="66" t="s">
        <v>118</v>
      </c>
      <c r="K35" s="66" t="s">
        <v>32</v>
      </c>
      <c r="L35" s="91" t="str">
        <f>IF(AND('331-CT'!$E$7=TH!H35,OR(J35="331",K35="331")),"x","")</f>
        <v/>
      </c>
      <c r="M35" s="91" t="str">
        <f>IF(AND($B35&gt;='1111'!$N$10,$B35&lt;='1111'!$O$10,OR($J35=$M$7,$K35=$M$7)),"x","")</f>
        <v/>
      </c>
      <c r="N35" s="91" t="str">
        <f>IF(AND($J35=$M$7,$B35&lt;'1111'!$N$10),"x","")</f>
        <v/>
      </c>
      <c r="O35" s="91" t="str">
        <f>IF(AND($K35=$M$7,$B35&lt;'1111'!$N$10),"x","")</f>
        <v/>
      </c>
      <c r="P35" s="91" t="str">
        <f>IF(AND($B35&gt;='1121'!$N$9,$B35&lt;='1121'!$O$9,OR($J35=$P$7,$K35=$P$7)),"x","")</f>
        <v>x</v>
      </c>
      <c r="Q35" s="91" t="str">
        <f>IF(AND($J35=$P$7,$B35&lt;'1121'!$N$9),"x","")</f>
        <v/>
      </c>
      <c r="R35" s="91" t="str">
        <f>IF(AND($K35=$P$7,$B35&lt;'1121'!$N$9),"x","")</f>
        <v/>
      </c>
      <c r="S35" s="91" t="str">
        <f>IF(OR(TH!J35=TH!$S$7,K35=TH!$S$7),"x","")</f>
        <v/>
      </c>
      <c r="T35" s="91" t="str">
        <f t="shared" si="4"/>
        <v>1</v>
      </c>
    </row>
    <row r="36" spans="1:20" s="78" customFormat="1" ht="15.75" customHeight="1">
      <c r="A36" s="157" t="str">
        <f>IF(B36&lt;&gt;"",IF(AND(B36&gt;=_TM1,B36&lt;=_TM2,OR(TH!J36="1111",TH!K36="1111")),TH!D36,""),"")</f>
        <v/>
      </c>
      <c r="B36" s="63">
        <f t="shared" si="3"/>
        <v>2</v>
      </c>
      <c r="C36" s="64">
        <v>40588</v>
      </c>
      <c r="D36" s="64" t="s">
        <v>8</v>
      </c>
      <c r="E36" s="64">
        <v>40588</v>
      </c>
      <c r="F36" s="67" t="s">
        <v>263</v>
      </c>
      <c r="G36" s="347"/>
      <c r="H36" s="81"/>
      <c r="I36" s="65">
        <v>2500</v>
      </c>
      <c r="J36" s="66" t="s">
        <v>118</v>
      </c>
      <c r="K36" s="66" t="s">
        <v>32</v>
      </c>
      <c r="L36" s="91" t="str">
        <f>IF(AND('331-CT'!$E$7=TH!H36,OR(J36="331",K36="331")),"x","")</f>
        <v/>
      </c>
      <c r="M36" s="91" t="str">
        <f>IF(AND($B36&gt;='1111'!$N$10,$B36&lt;='1111'!$O$10,OR($J36=$M$7,$K36=$M$7)),"x","")</f>
        <v/>
      </c>
      <c r="N36" s="91" t="str">
        <f>IF(AND($J36=$M$7,$B36&lt;'1111'!$N$10),"x","")</f>
        <v/>
      </c>
      <c r="O36" s="91" t="str">
        <f>IF(AND($K36=$M$7,$B36&lt;'1111'!$N$10),"x","")</f>
        <v/>
      </c>
      <c r="P36" s="91" t="str">
        <f>IF(AND($B36&gt;='1121'!$N$9,$B36&lt;='1121'!$O$9,OR($J36=$P$7,$K36=$P$7)),"x","")</f>
        <v>x</v>
      </c>
      <c r="Q36" s="91" t="str">
        <f>IF(AND($J36=$P$7,$B36&lt;'1121'!$N$9),"x","")</f>
        <v/>
      </c>
      <c r="R36" s="91" t="str">
        <f>IF(AND($K36=$P$7,$B36&lt;'1121'!$N$9),"x","")</f>
        <v/>
      </c>
      <c r="S36" s="91" t="str">
        <f>IF(OR(TH!J36=TH!$S$7,K36=TH!$S$7),"x","")</f>
        <v/>
      </c>
      <c r="T36" s="91" t="str">
        <f t="shared" si="4"/>
        <v>1</v>
      </c>
    </row>
    <row r="37" spans="1:20" s="78" customFormat="1" ht="15.75" customHeight="1">
      <c r="A37" s="157" t="str">
        <f>IF(B37&lt;&gt;"",IF(AND(B37&gt;=_TM1,B37&lt;=_TM2,OR(TH!J37="1111",TH!K37="1111")),TH!D37,""),"")</f>
        <v/>
      </c>
      <c r="B37" s="63">
        <f t="shared" si="3"/>
        <v>2</v>
      </c>
      <c r="C37" s="76">
        <v>40588</v>
      </c>
      <c r="D37" s="64" t="s">
        <v>55</v>
      </c>
      <c r="E37" s="64">
        <v>40588</v>
      </c>
      <c r="F37" s="67" t="s">
        <v>264</v>
      </c>
      <c r="G37" s="347"/>
      <c r="H37" s="81" t="s">
        <v>277</v>
      </c>
      <c r="I37" s="65">
        <v>50000000</v>
      </c>
      <c r="J37" s="69" t="s">
        <v>23</v>
      </c>
      <c r="K37" s="66" t="s">
        <v>79</v>
      </c>
      <c r="L37" s="91" t="str">
        <f>IF(AND('331-CT'!$E$7=TH!H37,OR(J37="331",K37="331")),"x","")</f>
        <v/>
      </c>
      <c r="M37" s="91" t="str">
        <f>IF(AND($B37&gt;='1111'!$N$10,$B37&lt;='1111'!$O$10,OR($J37=$M$7,$K37=$M$7)),"x","")</f>
        <v>x</v>
      </c>
      <c r="N37" s="91" t="str">
        <f>IF(AND($J37=$M$7,$B37&lt;'1111'!$N$10),"x","")</f>
        <v/>
      </c>
      <c r="O37" s="91" t="str">
        <f>IF(AND($K37=$M$7,$B37&lt;'1111'!$N$10),"x","")</f>
        <v/>
      </c>
      <c r="P37" s="91" t="str">
        <f>IF(AND($B37&gt;='1121'!$N$9,$B37&lt;='1121'!$O$9,OR($J37=$P$7,$K37=$P$7)),"x","")</f>
        <v/>
      </c>
      <c r="Q37" s="91" t="str">
        <f>IF(AND($J37=$P$7,$B37&lt;'1121'!$N$9),"x","")</f>
        <v/>
      </c>
      <c r="R37" s="91" t="str">
        <f>IF(AND($K37=$P$7,$B37&lt;'1121'!$N$9),"x","")</f>
        <v/>
      </c>
      <c r="S37" s="91" t="str">
        <f>IF(OR(TH!J37=TH!$S$7,K37=TH!$S$7),"x","")</f>
        <v>x</v>
      </c>
      <c r="T37" s="91" t="str">
        <f t="shared" si="4"/>
        <v>1</v>
      </c>
    </row>
    <row r="38" spans="1:20" s="78" customFormat="1" ht="15.75" customHeight="1">
      <c r="A38" s="157" t="str">
        <f>IF(B38&lt;&gt;"",IF(AND(B38&gt;=_TM1,B38&lt;=_TM2,OR(TH!J38="1111",TH!K38="1111")),TH!D38,""),"")</f>
        <v/>
      </c>
      <c r="B38" s="63">
        <f t="shared" si="3"/>
        <v>2</v>
      </c>
      <c r="C38" s="64">
        <v>40590</v>
      </c>
      <c r="D38" s="64" t="s">
        <v>8</v>
      </c>
      <c r="E38" s="64">
        <v>40590</v>
      </c>
      <c r="F38" s="67" t="s">
        <v>265</v>
      </c>
      <c r="G38" s="347"/>
      <c r="H38" s="81"/>
      <c r="I38" s="65">
        <v>5500</v>
      </c>
      <c r="J38" s="66" t="s">
        <v>118</v>
      </c>
      <c r="K38" s="66" t="s">
        <v>32</v>
      </c>
      <c r="L38" s="91" t="str">
        <f>IF(AND('331-CT'!$E$7=TH!H38,OR(J38="331",K38="331")),"x","")</f>
        <v/>
      </c>
      <c r="M38" s="91" t="str">
        <f>IF(AND($B38&gt;='1111'!$N$10,$B38&lt;='1111'!$O$10,OR($J38=$M$7,$K38=$M$7)),"x","")</f>
        <v/>
      </c>
      <c r="N38" s="91" t="str">
        <f>IF(AND($J38=$M$7,$B38&lt;'1111'!$N$10),"x","")</f>
        <v/>
      </c>
      <c r="O38" s="91" t="str">
        <f>IF(AND($K38=$M$7,$B38&lt;'1111'!$N$10),"x","")</f>
        <v/>
      </c>
      <c r="P38" s="91" t="str">
        <f>IF(AND($B38&gt;='1121'!$N$9,$B38&lt;='1121'!$O$9,OR($J38=$P$7,$K38=$P$7)),"x","")</f>
        <v>x</v>
      </c>
      <c r="Q38" s="91" t="str">
        <f>IF(AND($J38=$P$7,$B38&lt;'1121'!$N$9),"x","")</f>
        <v/>
      </c>
      <c r="R38" s="91" t="str">
        <f>IF(AND($K38=$P$7,$B38&lt;'1121'!$N$9),"x","")</f>
        <v/>
      </c>
      <c r="S38" s="91" t="str">
        <f>IF(OR(TH!J38=TH!$S$7,K38=TH!$S$7),"x","")</f>
        <v/>
      </c>
      <c r="T38" s="91" t="str">
        <f t="shared" si="4"/>
        <v>1</v>
      </c>
    </row>
    <row r="39" spans="1:20" s="78" customFormat="1" ht="15.75" customHeight="1">
      <c r="A39" s="157" t="str">
        <f>IF(B39&lt;&gt;"",IF(AND(B39&gt;=_TM1,B39&lt;=_TM2,OR(TH!J39="1111",TH!K39="1111")),TH!D39,""),"")</f>
        <v/>
      </c>
      <c r="B39" s="63">
        <f t="shared" si="3"/>
        <v>2</v>
      </c>
      <c r="C39" s="64">
        <v>40591</v>
      </c>
      <c r="D39" s="64" t="s">
        <v>8</v>
      </c>
      <c r="E39" s="64">
        <v>40591</v>
      </c>
      <c r="F39" s="67" t="s">
        <v>265</v>
      </c>
      <c r="G39" s="347"/>
      <c r="H39" s="81"/>
      <c r="I39" s="65">
        <v>5500</v>
      </c>
      <c r="J39" s="66" t="s">
        <v>118</v>
      </c>
      <c r="K39" s="66" t="s">
        <v>32</v>
      </c>
      <c r="L39" s="91" t="str">
        <f>IF(AND('331-CT'!$E$7=TH!H39,OR(J39="331",K39="331")),"x","")</f>
        <v/>
      </c>
      <c r="M39" s="91" t="str">
        <f>IF(AND($B39&gt;='1111'!$N$10,$B39&lt;='1111'!$O$10,OR($J39=$M$7,$K39=$M$7)),"x","")</f>
        <v/>
      </c>
      <c r="N39" s="91" t="str">
        <f>IF(AND($J39=$M$7,$B39&lt;'1111'!$N$10),"x","")</f>
        <v/>
      </c>
      <c r="O39" s="91" t="str">
        <f>IF(AND($K39=$M$7,$B39&lt;'1111'!$N$10),"x","")</f>
        <v/>
      </c>
      <c r="P39" s="91" t="str">
        <f>IF(AND($B39&gt;='1121'!$N$9,$B39&lt;='1121'!$O$9,OR($J39=$P$7,$K39=$P$7)),"x","")</f>
        <v>x</v>
      </c>
      <c r="Q39" s="91" t="str">
        <f>IF(AND($J39=$P$7,$B39&lt;'1121'!$N$9),"x","")</f>
        <v/>
      </c>
      <c r="R39" s="91" t="str">
        <f>IF(AND($K39=$P$7,$B39&lt;'1121'!$N$9),"x","")</f>
        <v/>
      </c>
      <c r="S39" s="91" t="str">
        <f>IF(OR(TH!J39=TH!$S$7,K39=TH!$S$7),"x","")</f>
        <v/>
      </c>
      <c r="T39" s="91" t="str">
        <f t="shared" si="4"/>
        <v>1</v>
      </c>
    </row>
    <row r="40" spans="1:20" s="78" customFormat="1" ht="15.75" customHeight="1">
      <c r="A40" s="157" t="str">
        <f>IF(B40&lt;&gt;"",IF(AND(B40&gt;=_TM1,B40&lt;=_TM2,OR(TH!J40="1111",TH!K40="1111")),TH!D40,""),"")</f>
        <v/>
      </c>
      <c r="B40" s="63">
        <f t="shared" si="3"/>
        <v>3</v>
      </c>
      <c r="C40" s="76">
        <v>40605</v>
      </c>
      <c r="D40" s="64" t="s">
        <v>42</v>
      </c>
      <c r="E40" s="64">
        <v>40605</v>
      </c>
      <c r="F40" s="67" t="s">
        <v>259</v>
      </c>
      <c r="G40" s="347"/>
      <c r="H40" s="81" t="s">
        <v>277</v>
      </c>
      <c r="I40" s="65">
        <v>100000000</v>
      </c>
      <c r="J40" s="69" t="s">
        <v>23</v>
      </c>
      <c r="K40" s="66" t="s">
        <v>79</v>
      </c>
      <c r="L40" s="91" t="str">
        <f>IF(AND('331-CT'!$E$7=TH!H40,OR(J40="331",K40="331")),"x","")</f>
        <v/>
      </c>
      <c r="M40" s="91" t="str">
        <f>IF(AND($B40&gt;='1111'!$N$10,$B40&lt;='1111'!$O$10,OR($J40=$M$7,$K40=$M$7)),"x","")</f>
        <v>x</v>
      </c>
      <c r="N40" s="91" t="str">
        <f>IF(AND($J40=$M$7,$B40&lt;'1111'!$N$10),"x","")</f>
        <v/>
      </c>
      <c r="O40" s="91" t="str">
        <f>IF(AND($K40=$M$7,$B40&lt;'1111'!$N$10),"x","")</f>
        <v/>
      </c>
      <c r="P40" s="91" t="str">
        <f>IF(AND($B40&gt;='1121'!$N$9,$B40&lt;='1121'!$O$9,OR($J40=$P$7,$K40=$P$7)),"x","")</f>
        <v/>
      </c>
      <c r="Q40" s="91" t="str">
        <f>IF(AND($J40=$P$7,$B40&lt;'1121'!$N$9),"x","")</f>
        <v/>
      </c>
      <c r="R40" s="91" t="str">
        <f>IF(AND($K40=$P$7,$B40&lt;'1121'!$N$9),"x","")</f>
        <v/>
      </c>
      <c r="S40" s="91" t="str">
        <f>IF(OR(TH!J40=TH!$S$7,K40=TH!$S$7),"x","")</f>
        <v>x</v>
      </c>
      <c r="T40" s="91" t="str">
        <f t="shared" si="4"/>
        <v>1</v>
      </c>
    </row>
    <row r="41" spans="1:20" s="78" customFormat="1" ht="15.75" customHeight="1">
      <c r="A41" s="157" t="str">
        <f>IF(B41&lt;&gt;"",IF(AND(B41&gt;=_TM1,B41&lt;=_TM2,OR(TH!J41="1111",TH!K41="1111")),TH!D41,""),"")</f>
        <v/>
      </c>
      <c r="B41" s="63">
        <f t="shared" si="3"/>
        <v>3</v>
      </c>
      <c r="C41" s="64">
        <v>40605</v>
      </c>
      <c r="D41" s="64" t="s">
        <v>11</v>
      </c>
      <c r="E41" s="64">
        <v>40605</v>
      </c>
      <c r="F41" s="67" t="s">
        <v>260</v>
      </c>
      <c r="G41" s="347"/>
      <c r="H41" s="81" t="s">
        <v>277</v>
      </c>
      <c r="I41" s="65">
        <v>100000000</v>
      </c>
      <c r="J41" s="66" t="s">
        <v>32</v>
      </c>
      <c r="K41" s="66" t="s">
        <v>23</v>
      </c>
      <c r="L41" s="91" t="str">
        <f>IF(AND('331-CT'!$E$7=TH!H41,OR(J41="331",K41="331")),"x","")</f>
        <v/>
      </c>
      <c r="M41" s="91" t="str">
        <f>IF(AND($B41&gt;='1111'!$N$10,$B41&lt;='1111'!$O$10,OR($J41=$M$7,$K41=$M$7)),"x","")</f>
        <v/>
      </c>
      <c r="N41" s="91" t="str">
        <f>IF(AND($J41=$M$7,$B41&lt;'1111'!$N$10),"x","")</f>
        <v/>
      </c>
      <c r="O41" s="91" t="str">
        <f>IF(AND($K41=$M$7,$B41&lt;'1111'!$N$10),"x","")</f>
        <v/>
      </c>
      <c r="P41" s="91" t="str">
        <f>IF(AND($B41&gt;='1121'!$N$9,$B41&lt;='1121'!$O$9,OR($J41=$P$7,$K41=$P$7)),"x","")</f>
        <v>x</v>
      </c>
      <c r="Q41" s="91" t="str">
        <f>IF(AND($J41=$P$7,$B41&lt;'1121'!$N$9),"x","")</f>
        <v/>
      </c>
      <c r="R41" s="91" t="str">
        <f>IF(AND($K41=$P$7,$B41&lt;'1121'!$N$9),"x","")</f>
        <v/>
      </c>
      <c r="S41" s="91" t="str">
        <f>IF(OR(TH!J41=TH!$S$7,K41=TH!$S$7),"x","")</f>
        <v>x</v>
      </c>
      <c r="T41" s="91" t="str">
        <f t="shared" si="4"/>
        <v>1</v>
      </c>
    </row>
    <row r="42" spans="1:20" s="78" customFormat="1" ht="15.75" customHeight="1">
      <c r="A42" s="157" t="str">
        <f>IF(B42&lt;&gt;"",IF(AND(B42&gt;=_TM1,B42&lt;=_TM2,OR(TH!J42="1111",TH!K42="1111")),TH!D42,""),"")</f>
        <v/>
      </c>
      <c r="B42" s="63">
        <f t="shared" si="3"/>
        <v>3</v>
      </c>
      <c r="C42" s="64">
        <v>40605</v>
      </c>
      <c r="D42" s="64" t="s">
        <v>8</v>
      </c>
      <c r="E42" s="64">
        <v>40605</v>
      </c>
      <c r="F42" s="67" t="s">
        <v>254</v>
      </c>
      <c r="G42" s="347"/>
      <c r="H42" s="81" t="s">
        <v>53</v>
      </c>
      <c r="I42" s="65">
        <v>100000000</v>
      </c>
      <c r="J42" s="66" t="s">
        <v>9</v>
      </c>
      <c r="K42" s="66" t="s">
        <v>32</v>
      </c>
      <c r="L42" s="91" t="str">
        <f>IF(AND('331-CT'!$E$7=TH!H42,OR(J42="331",K42="331")),"x","")</f>
        <v/>
      </c>
      <c r="M42" s="91" t="str">
        <f>IF(AND($B42&gt;='1111'!$N$10,$B42&lt;='1111'!$O$10,OR($J42=$M$7,$K42=$M$7)),"x","")</f>
        <v/>
      </c>
      <c r="N42" s="91" t="str">
        <f>IF(AND($J42=$M$7,$B42&lt;'1111'!$N$10),"x","")</f>
        <v/>
      </c>
      <c r="O42" s="91" t="str">
        <f>IF(AND($K42=$M$7,$B42&lt;'1111'!$N$10),"x","")</f>
        <v/>
      </c>
      <c r="P42" s="91" t="str">
        <f>IF(AND($B42&gt;='1121'!$N$9,$B42&lt;='1121'!$O$9,OR($J42=$P$7,$K42=$P$7)),"x","")</f>
        <v>x</v>
      </c>
      <c r="Q42" s="91" t="str">
        <f>IF(AND($J42=$P$7,$B42&lt;'1121'!$N$9),"x","")</f>
        <v/>
      </c>
      <c r="R42" s="91" t="str">
        <f>IF(AND($K42=$P$7,$B42&lt;'1121'!$N$9),"x","")</f>
        <v/>
      </c>
      <c r="S42" s="91" t="str">
        <f>IF(OR(TH!J42=TH!$S$7,K42=TH!$S$7),"x","")</f>
        <v/>
      </c>
      <c r="T42" s="91" t="str">
        <f t="shared" si="4"/>
        <v>1</v>
      </c>
    </row>
    <row r="43" spans="1:20" s="78" customFormat="1" ht="15.75" customHeight="1">
      <c r="A43" s="157" t="str">
        <f>IF(B43&lt;&gt;"",IF(AND(B43&gt;=_TM1,B43&lt;=_TM2,OR(TH!J43="1111",TH!K43="1111")),TH!D43,""),"")</f>
        <v/>
      </c>
      <c r="B43" s="63">
        <f t="shared" si="3"/>
        <v>3</v>
      </c>
      <c r="C43" s="76">
        <v>40605</v>
      </c>
      <c r="D43" s="64" t="s">
        <v>8</v>
      </c>
      <c r="E43" s="64">
        <v>40605</v>
      </c>
      <c r="F43" s="67" t="s">
        <v>21</v>
      </c>
      <c r="G43" s="347"/>
      <c r="H43" s="81"/>
      <c r="I43" s="65">
        <v>50000</v>
      </c>
      <c r="J43" s="66" t="s">
        <v>118</v>
      </c>
      <c r="K43" s="66" t="s">
        <v>32</v>
      </c>
      <c r="L43" s="91" t="str">
        <f>IF(AND('331-CT'!$E$7=TH!H43,OR(J43="331",K43="331")),"x","")</f>
        <v/>
      </c>
      <c r="M43" s="91" t="str">
        <f>IF(AND($B43&gt;='1111'!$N$10,$B43&lt;='1111'!$O$10,OR($J43=$M$7,$K43=$M$7)),"x","")</f>
        <v/>
      </c>
      <c r="N43" s="91" t="str">
        <f>IF(AND($J43=$M$7,$B43&lt;'1111'!$N$10),"x","")</f>
        <v/>
      </c>
      <c r="O43" s="91" t="str">
        <f>IF(AND($K43=$M$7,$B43&lt;'1111'!$N$10),"x","")</f>
        <v/>
      </c>
      <c r="P43" s="91" t="str">
        <f>IF(AND($B43&gt;='1121'!$N$9,$B43&lt;='1121'!$O$9,OR($J43=$P$7,$K43=$P$7)),"x","")</f>
        <v>x</v>
      </c>
      <c r="Q43" s="91" t="str">
        <f>IF(AND($J43=$P$7,$B43&lt;'1121'!$N$9),"x","")</f>
        <v/>
      </c>
      <c r="R43" s="91" t="str">
        <f>IF(AND($K43=$P$7,$B43&lt;'1121'!$N$9),"x","")</f>
        <v/>
      </c>
      <c r="S43" s="91" t="str">
        <f>IF(OR(TH!J43=TH!$S$7,K43=TH!$S$7),"x","")</f>
        <v/>
      </c>
      <c r="T43" s="91" t="str">
        <f t="shared" si="4"/>
        <v>1</v>
      </c>
    </row>
    <row r="44" spans="1:20" s="78" customFormat="1" ht="15.75" customHeight="1">
      <c r="A44" s="157" t="str">
        <f>IF(B44&lt;&gt;"",IF(AND(B44&gt;=_TM1,B44&lt;=_TM2,OR(TH!J44="1111",TH!K44="1111")),TH!D44,""),"")</f>
        <v/>
      </c>
      <c r="B44" s="63">
        <f t="shared" si="3"/>
        <v>3</v>
      </c>
      <c r="C44" s="64">
        <v>40605</v>
      </c>
      <c r="D44" s="64" t="s">
        <v>8</v>
      </c>
      <c r="E44" s="64">
        <v>40605</v>
      </c>
      <c r="F44" s="70" t="s">
        <v>263</v>
      </c>
      <c r="G44" s="347"/>
      <c r="H44" s="80"/>
      <c r="I44" s="65">
        <v>5000</v>
      </c>
      <c r="J44" s="66" t="s">
        <v>118</v>
      </c>
      <c r="K44" s="66" t="s">
        <v>32</v>
      </c>
      <c r="L44" s="91" t="str">
        <f>IF(AND('331-CT'!$E$7=TH!H44,OR(J44="331",K44="331")),"x","")</f>
        <v/>
      </c>
      <c r="M44" s="91" t="str">
        <f>IF(AND($B44&gt;='1111'!$N$10,$B44&lt;='1111'!$O$10,OR($J44=$M$7,$K44=$M$7)),"x","")</f>
        <v/>
      </c>
      <c r="N44" s="91" t="str">
        <f>IF(AND($J44=$M$7,$B44&lt;'1111'!$N$10),"x","")</f>
        <v/>
      </c>
      <c r="O44" s="91" t="str">
        <f>IF(AND($K44=$M$7,$B44&lt;'1111'!$N$10),"x","")</f>
        <v/>
      </c>
      <c r="P44" s="91" t="str">
        <f>IF(AND($B44&gt;='1121'!$N$9,$B44&lt;='1121'!$O$9,OR($J44=$P$7,$K44=$P$7)),"x","")</f>
        <v>x</v>
      </c>
      <c r="Q44" s="91" t="str">
        <f>IF(AND($J44=$P$7,$B44&lt;'1121'!$N$9),"x","")</f>
        <v/>
      </c>
      <c r="R44" s="91" t="str">
        <f>IF(AND($K44=$P$7,$B44&lt;'1121'!$N$9),"x","")</f>
        <v/>
      </c>
      <c r="S44" s="91" t="str">
        <f>IF(OR(TH!J44=TH!$S$7,K44=TH!$S$7),"x","")</f>
        <v/>
      </c>
      <c r="T44" s="91" t="str">
        <f t="shared" si="4"/>
        <v>1</v>
      </c>
    </row>
    <row r="45" spans="1:20" s="78" customFormat="1" ht="15.75" customHeight="1">
      <c r="A45" s="157" t="str">
        <f>IF(B45&lt;&gt;"",IF(AND(B45&gt;=_TM1,B45&lt;=_TM2,OR(TH!J45="1111",TH!K45="1111")),TH!D45,""),"")</f>
        <v/>
      </c>
      <c r="B45" s="63">
        <f t="shared" si="3"/>
        <v>3</v>
      </c>
      <c r="C45" s="76">
        <v>40618</v>
      </c>
      <c r="D45" s="64" t="s">
        <v>8</v>
      </c>
      <c r="E45" s="64">
        <v>40618</v>
      </c>
      <c r="F45" s="67" t="s">
        <v>265</v>
      </c>
      <c r="G45" s="347"/>
      <c r="H45" s="80"/>
      <c r="I45" s="65">
        <v>5500</v>
      </c>
      <c r="J45" s="66" t="s">
        <v>118</v>
      </c>
      <c r="K45" s="66" t="s">
        <v>32</v>
      </c>
      <c r="L45" s="91" t="str">
        <f>IF(AND('331-CT'!$E$7=TH!H45,OR(J45="331",K45="331")),"x","")</f>
        <v/>
      </c>
      <c r="M45" s="91" t="str">
        <f>IF(AND($B45&gt;='1111'!$N$10,$B45&lt;='1111'!$O$10,OR($J45=$M$7,$K45=$M$7)),"x","")</f>
        <v/>
      </c>
      <c r="N45" s="91" t="str">
        <f>IF(AND($J45=$M$7,$B45&lt;'1111'!$N$10),"x","")</f>
        <v/>
      </c>
      <c r="O45" s="91" t="str">
        <f>IF(AND($K45=$M$7,$B45&lt;'1111'!$N$10),"x","")</f>
        <v/>
      </c>
      <c r="P45" s="91" t="str">
        <f>IF(AND($B45&gt;='1121'!$N$9,$B45&lt;='1121'!$O$9,OR($J45=$P$7,$K45=$P$7)),"x","")</f>
        <v>x</v>
      </c>
      <c r="Q45" s="91" t="str">
        <f>IF(AND($J45=$P$7,$B45&lt;'1121'!$N$9),"x","")</f>
        <v/>
      </c>
      <c r="R45" s="91" t="str">
        <f>IF(AND($K45=$P$7,$B45&lt;'1121'!$N$9),"x","")</f>
        <v/>
      </c>
      <c r="S45" s="91" t="str">
        <f>IF(OR(TH!J45=TH!$S$7,K45=TH!$S$7),"x","")</f>
        <v/>
      </c>
      <c r="T45" s="91" t="str">
        <f t="shared" si="4"/>
        <v>1</v>
      </c>
    </row>
    <row r="46" spans="1:20" s="78" customFormat="1" ht="15.75" customHeight="1">
      <c r="A46" s="157" t="str">
        <f>IF(B46&lt;&gt;"",IF(AND(B46&gt;=_TM1,B46&lt;=_TM2,OR(TH!J46="1111",TH!K46="1111")),TH!D46,""),"")</f>
        <v/>
      </c>
      <c r="B46" s="63">
        <f t="shared" si="3"/>
        <v>3</v>
      </c>
      <c r="C46" s="64">
        <v>40619</v>
      </c>
      <c r="D46" s="64" t="s">
        <v>8</v>
      </c>
      <c r="E46" s="64">
        <v>40619</v>
      </c>
      <c r="F46" s="67" t="s">
        <v>265</v>
      </c>
      <c r="G46" s="347"/>
      <c r="H46" s="81"/>
      <c r="I46" s="65">
        <v>5500</v>
      </c>
      <c r="J46" s="66" t="s">
        <v>118</v>
      </c>
      <c r="K46" s="66" t="s">
        <v>32</v>
      </c>
      <c r="L46" s="91" t="str">
        <f>IF(AND('331-CT'!$E$7=TH!H46,OR(J46="331",K46="331")),"x","")</f>
        <v/>
      </c>
      <c r="M46" s="91" t="str">
        <f>IF(AND($B46&gt;='1111'!$N$10,$B46&lt;='1111'!$O$10,OR($J46=$M$7,$K46=$M$7)),"x","")</f>
        <v/>
      </c>
      <c r="N46" s="91" t="str">
        <f>IF(AND($J46=$M$7,$B46&lt;'1111'!$N$10),"x","")</f>
        <v/>
      </c>
      <c r="O46" s="91" t="str">
        <f>IF(AND($K46=$M$7,$B46&lt;'1111'!$N$10),"x","")</f>
        <v/>
      </c>
      <c r="P46" s="91" t="str">
        <f>IF(AND($B46&gt;='1121'!$N$9,$B46&lt;='1121'!$O$9,OR($J46=$P$7,$K46=$P$7)),"x","")</f>
        <v>x</v>
      </c>
      <c r="Q46" s="91" t="str">
        <f>IF(AND($J46=$P$7,$B46&lt;'1121'!$N$9),"x","")</f>
        <v/>
      </c>
      <c r="R46" s="91" t="str">
        <f>IF(AND($K46=$P$7,$B46&lt;'1121'!$N$9),"x","")</f>
        <v/>
      </c>
      <c r="S46" s="91" t="str">
        <f>IF(OR(TH!J46=TH!$S$7,K46=TH!$S$7),"x","")</f>
        <v/>
      </c>
      <c r="T46" s="91" t="str">
        <f t="shared" si="4"/>
        <v>1</v>
      </c>
    </row>
    <row r="47" spans="1:20" s="78" customFormat="1" ht="15.75" customHeight="1">
      <c r="A47" s="157" t="str">
        <f>IF(B47&lt;&gt;"",IF(AND(B47&gt;=_TM1,B47&lt;=_TM2,OR(TH!J47="1111",TH!K47="1111")),TH!D47,""),"")</f>
        <v/>
      </c>
      <c r="B47" s="63">
        <f t="shared" si="3"/>
        <v>3</v>
      </c>
      <c r="C47" s="64">
        <v>40623</v>
      </c>
      <c r="D47" s="64" t="s">
        <v>41</v>
      </c>
      <c r="E47" s="64">
        <v>40630</v>
      </c>
      <c r="F47" s="67" t="s">
        <v>264</v>
      </c>
      <c r="G47" s="347"/>
      <c r="H47" s="81" t="s">
        <v>277</v>
      </c>
      <c r="I47" s="65">
        <v>232500000</v>
      </c>
      <c r="J47" s="66" t="s">
        <v>23</v>
      </c>
      <c r="K47" s="66" t="s">
        <v>79</v>
      </c>
      <c r="L47" s="91" t="str">
        <f>IF(AND('331-CT'!$E$7=TH!H47,OR(J47="331",K47="331")),"x","")</f>
        <v/>
      </c>
      <c r="M47" s="91" t="str">
        <f>IF(AND($B47&gt;='1111'!$N$10,$B47&lt;='1111'!$O$10,OR($J47=$M$7,$K47=$M$7)),"x","")</f>
        <v>x</v>
      </c>
      <c r="N47" s="91" t="str">
        <f>IF(AND($J47=$M$7,$B47&lt;'1111'!$N$10),"x","")</f>
        <v/>
      </c>
      <c r="O47" s="91" t="str">
        <f>IF(AND($K47=$M$7,$B47&lt;'1111'!$N$10),"x","")</f>
        <v/>
      </c>
      <c r="P47" s="91" t="str">
        <f>IF(AND($B47&gt;='1121'!$N$9,$B47&lt;='1121'!$O$9,OR($J47=$P$7,$K47=$P$7)),"x","")</f>
        <v/>
      </c>
      <c r="Q47" s="91" t="str">
        <f>IF(AND($J47=$P$7,$B47&lt;'1121'!$N$9),"x","")</f>
        <v/>
      </c>
      <c r="R47" s="91" t="str">
        <f>IF(AND($K47=$P$7,$B47&lt;'1121'!$N$9),"x","")</f>
        <v/>
      </c>
      <c r="S47" s="91" t="str">
        <f>IF(OR(TH!J47=TH!$S$7,K47=TH!$S$7),"x","")</f>
        <v>x</v>
      </c>
      <c r="T47" s="91" t="str">
        <f t="shared" si="4"/>
        <v>1</v>
      </c>
    </row>
    <row r="48" spans="1:20" s="78" customFormat="1" ht="15.75" customHeight="1">
      <c r="A48" s="157" t="str">
        <f>IF(B48&lt;&gt;"",IF(AND(B48&gt;=_TM1,B48&lt;=_TM2,OR(TH!J48="1111",TH!K48="1111")),TH!D48,""),"")</f>
        <v/>
      </c>
      <c r="B48" s="63">
        <f t="shared" si="3"/>
        <v>3</v>
      </c>
      <c r="C48" s="64">
        <v>40623</v>
      </c>
      <c r="D48" s="64" t="s">
        <v>11</v>
      </c>
      <c r="E48" s="64">
        <v>40623</v>
      </c>
      <c r="F48" s="67" t="s">
        <v>262</v>
      </c>
      <c r="G48" s="347"/>
      <c r="H48" s="81" t="s">
        <v>277</v>
      </c>
      <c r="I48" s="65">
        <v>232500000</v>
      </c>
      <c r="J48" s="66" t="s">
        <v>32</v>
      </c>
      <c r="K48" s="66" t="s">
        <v>23</v>
      </c>
      <c r="L48" s="91" t="str">
        <f>IF(AND('331-CT'!$E$7=TH!H48,OR(J48="331",K48="331")),"x","")</f>
        <v/>
      </c>
      <c r="M48" s="91" t="str">
        <f>IF(AND($B48&gt;='1111'!$N$10,$B48&lt;='1111'!$O$10,OR($J48=$M$7,$K48=$M$7)),"x","")</f>
        <v/>
      </c>
      <c r="N48" s="91" t="str">
        <f>IF(AND($J48=$M$7,$B48&lt;'1111'!$N$10),"x","")</f>
        <v/>
      </c>
      <c r="O48" s="91" t="str">
        <f>IF(AND($K48=$M$7,$B48&lt;'1111'!$N$10),"x","")</f>
        <v/>
      </c>
      <c r="P48" s="91" t="str">
        <f>IF(AND($B48&gt;='1121'!$N$9,$B48&lt;='1121'!$O$9,OR($J48=$P$7,$K48=$P$7)),"x","")</f>
        <v>x</v>
      </c>
      <c r="Q48" s="91" t="str">
        <f>IF(AND($J48=$P$7,$B48&lt;'1121'!$N$9),"x","")</f>
        <v/>
      </c>
      <c r="R48" s="91" t="str">
        <f>IF(AND($K48=$P$7,$B48&lt;'1121'!$N$9),"x","")</f>
        <v/>
      </c>
      <c r="S48" s="91" t="str">
        <f>IF(OR(TH!J48=TH!$S$7,K48=TH!$S$7),"x","")</f>
        <v>x</v>
      </c>
      <c r="T48" s="91" t="str">
        <f t="shared" si="4"/>
        <v>1</v>
      </c>
    </row>
    <row r="49" spans="1:20" s="78" customFormat="1" ht="15.75" customHeight="1">
      <c r="A49" s="157" t="str">
        <f>IF(B49&lt;&gt;"",IF(AND(B49&gt;=_TM1,B49&lt;=_TM2,OR(TH!J49="1111",TH!K49="1111")),TH!D49,""),"")</f>
        <v/>
      </c>
      <c r="B49" s="63">
        <f t="shared" si="3"/>
        <v>3</v>
      </c>
      <c r="C49" s="64">
        <v>40623</v>
      </c>
      <c r="D49" s="64" t="s">
        <v>8</v>
      </c>
      <c r="E49" s="64">
        <v>40623</v>
      </c>
      <c r="F49" s="67" t="s">
        <v>254</v>
      </c>
      <c r="G49" s="347"/>
      <c r="H49" s="81" t="s">
        <v>53</v>
      </c>
      <c r="I49" s="65">
        <v>200000000</v>
      </c>
      <c r="J49" s="66" t="s">
        <v>9</v>
      </c>
      <c r="K49" s="66" t="s">
        <v>32</v>
      </c>
      <c r="L49" s="91" t="str">
        <f>IF(AND('331-CT'!$E$7=TH!H49,OR(J49="331",K49="331")),"x","")</f>
        <v/>
      </c>
      <c r="M49" s="91" t="str">
        <f>IF(AND($B49&gt;='1111'!$N$10,$B49&lt;='1111'!$O$10,OR($J49=$M$7,$K49=$M$7)),"x","")</f>
        <v/>
      </c>
      <c r="N49" s="91" t="str">
        <f>IF(AND($J49=$M$7,$B49&lt;'1111'!$N$10),"x","")</f>
        <v/>
      </c>
      <c r="O49" s="91" t="str">
        <f>IF(AND($K49=$M$7,$B49&lt;'1111'!$N$10),"x","")</f>
        <v/>
      </c>
      <c r="P49" s="91" t="str">
        <f>IF(AND($B49&gt;='1121'!$N$9,$B49&lt;='1121'!$O$9,OR($J49=$P$7,$K49=$P$7)),"x","")</f>
        <v>x</v>
      </c>
      <c r="Q49" s="91" t="str">
        <f>IF(AND($J49=$P$7,$B49&lt;'1121'!$N$9),"x","")</f>
        <v/>
      </c>
      <c r="R49" s="91" t="str">
        <f>IF(AND($K49=$P$7,$B49&lt;'1121'!$N$9),"x","")</f>
        <v/>
      </c>
      <c r="S49" s="91" t="str">
        <f>IF(OR(TH!J49=TH!$S$7,K49=TH!$S$7),"x","")</f>
        <v/>
      </c>
      <c r="T49" s="91" t="str">
        <f t="shared" si="4"/>
        <v>1</v>
      </c>
    </row>
    <row r="50" spans="1:20" s="78" customFormat="1" ht="15.75" customHeight="1">
      <c r="A50" s="157" t="str">
        <f>IF(B50&lt;&gt;"",IF(AND(B50&gt;=_TM1,B50&lt;=_TM2,OR(TH!J50="1111",TH!K50="1111")),TH!D50,""),"")</f>
        <v/>
      </c>
      <c r="B50" s="63">
        <f t="shared" si="3"/>
        <v>3</v>
      </c>
      <c r="C50" s="64">
        <v>40623</v>
      </c>
      <c r="D50" s="64" t="s">
        <v>8</v>
      </c>
      <c r="E50" s="64">
        <v>40623</v>
      </c>
      <c r="F50" s="67" t="s">
        <v>21</v>
      </c>
      <c r="G50" s="347"/>
      <c r="H50" s="81"/>
      <c r="I50" s="65">
        <v>100000</v>
      </c>
      <c r="J50" s="66" t="s">
        <v>118</v>
      </c>
      <c r="K50" s="66" t="s">
        <v>32</v>
      </c>
      <c r="L50" s="91" t="str">
        <f>IF(AND('331-CT'!$E$7=TH!H50,OR(J50="331",K50="331")),"x","")</f>
        <v/>
      </c>
      <c r="M50" s="91" t="str">
        <f>IF(AND($B50&gt;='1111'!$N$10,$B50&lt;='1111'!$O$10,OR($J50=$M$7,$K50=$M$7)),"x","")</f>
        <v/>
      </c>
      <c r="N50" s="91" t="str">
        <f>IF(AND($J50=$M$7,$B50&lt;'1111'!$N$10),"x","")</f>
        <v/>
      </c>
      <c r="O50" s="91" t="str">
        <f>IF(AND($K50=$M$7,$B50&lt;'1111'!$N$10),"x","")</f>
        <v/>
      </c>
      <c r="P50" s="91" t="str">
        <f>IF(AND($B50&gt;='1121'!$N$9,$B50&lt;='1121'!$O$9,OR($J50=$P$7,$K50=$P$7)),"x","")</f>
        <v>x</v>
      </c>
      <c r="Q50" s="91" t="str">
        <f>IF(AND($J50=$P$7,$B50&lt;'1121'!$N$9),"x","")</f>
        <v/>
      </c>
      <c r="R50" s="91" t="str">
        <f>IF(AND($K50=$P$7,$B50&lt;'1121'!$N$9),"x","")</f>
        <v/>
      </c>
      <c r="S50" s="91" t="str">
        <f>IF(OR(TH!J50=TH!$S$7,K50=TH!$S$7),"x","")</f>
        <v/>
      </c>
      <c r="T50" s="91" t="str">
        <f t="shared" si="4"/>
        <v>1</v>
      </c>
    </row>
    <row r="51" spans="1:20" s="78" customFormat="1" ht="15.75" customHeight="1">
      <c r="A51" s="157" t="str">
        <f>IF(B51&lt;&gt;"",IF(AND(B51&gt;=_TM1,B51&lt;=_TM2,OR(TH!J51="1111",TH!K51="1111")),TH!D51,""),"")</f>
        <v/>
      </c>
      <c r="B51" s="63">
        <f t="shared" si="3"/>
        <v>3</v>
      </c>
      <c r="C51" s="64">
        <v>40623</v>
      </c>
      <c r="D51" s="64" t="s">
        <v>8</v>
      </c>
      <c r="E51" s="64">
        <v>40623</v>
      </c>
      <c r="F51" s="70" t="s">
        <v>263</v>
      </c>
      <c r="G51" s="347"/>
      <c r="H51" s="80"/>
      <c r="I51" s="65">
        <v>10000</v>
      </c>
      <c r="J51" s="66" t="s">
        <v>118</v>
      </c>
      <c r="K51" s="66" t="s">
        <v>32</v>
      </c>
      <c r="L51" s="91" t="str">
        <f>IF(AND('331-CT'!$E$7=TH!H51,OR(J51="331",K51="331")),"x","")</f>
        <v/>
      </c>
      <c r="M51" s="91" t="str">
        <f>IF(AND($B51&gt;='1111'!$N$10,$B51&lt;='1111'!$O$10,OR($J51=$M$7,$K51=$M$7)),"x","")</f>
        <v/>
      </c>
      <c r="N51" s="91" t="str">
        <f>IF(AND($J51=$M$7,$B51&lt;'1111'!$N$10),"x","")</f>
        <v/>
      </c>
      <c r="O51" s="91" t="str">
        <f>IF(AND($K51=$M$7,$B51&lt;'1111'!$N$10),"x","")</f>
        <v/>
      </c>
      <c r="P51" s="91" t="str">
        <f>IF(AND($B51&gt;='1121'!$N$9,$B51&lt;='1121'!$O$9,OR($J51=$P$7,$K51=$P$7)),"x","")</f>
        <v>x</v>
      </c>
      <c r="Q51" s="91" t="str">
        <f>IF(AND($J51=$P$7,$B51&lt;'1121'!$N$9),"x","")</f>
        <v/>
      </c>
      <c r="R51" s="91" t="str">
        <f>IF(AND($K51=$P$7,$B51&lt;'1121'!$N$9),"x","")</f>
        <v/>
      </c>
      <c r="S51" s="91" t="str">
        <f>IF(OR(TH!J51=TH!$S$7,K51=TH!$S$7),"x","")</f>
        <v/>
      </c>
      <c r="T51" s="91" t="str">
        <f t="shared" si="4"/>
        <v>1</v>
      </c>
    </row>
    <row r="52" spans="1:20" s="78" customFormat="1" ht="15.75" customHeight="1">
      <c r="A52" s="157" t="str">
        <f>IF(B52&lt;&gt;"",IF(AND(B52&gt;=_TM1,B52&lt;=_TM2,OR(TH!J52="1111",TH!K52="1111")),TH!D52,""),"")</f>
        <v/>
      </c>
      <c r="B52" s="63">
        <f t="shared" si="3"/>
        <v>3</v>
      </c>
      <c r="C52" s="76">
        <v>40623</v>
      </c>
      <c r="D52" s="64" t="s">
        <v>8</v>
      </c>
      <c r="E52" s="64">
        <v>40623</v>
      </c>
      <c r="F52" s="67" t="s">
        <v>266</v>
      </c>
      <c r="G52" s="347"/>
      <c r="H52" s="80" t="s">
        <v>52</v>
      </c>
      <c r="I52" s="65">
        <v>32288666</v>
      </c>
      <c r="J52" s="66" t="s">
        <v>9</v>
      </c>
      <c r="K52" s="66" t="s">
        <v>32</v>
      </c>
      <c r="L52" s="91" t="str">
        <f>IF(AND('331-CT'!$E$7=TH!H52,OR(J52="331",K52="331")),"x","")</f>
        <v>x</v>
      </c>
      <c r="M52" s="91" t="str">
        <f>IF(AND($B52&gt;='1111'!$N$10,$B52&lt;='1111'!$O$10,OR($J52=$M$7,$K52=$M$7)),"x","")</f>
        <v/>
      </c>
      <c r="N52" s="91" t="str">
        <f>IF(AND($J52=$M$7,$B52&lt;'1111'!$N$10),"x","")</f>
        <v/>
      </c>
      <c r="O52" s="91" t="str">
        <f>IF(AND($K52=$M$7,$B52&lt;'1111'!$N$10),"x","")</f>
        <v/>
      </c>
      <c r="P52" s="91" t="str">
        <f>IF(AND($B52&gt;='1121'!$N$9,$B52&lt;='1121'!$O$9,OR($J52=$P$7,$K52=$P$7)),"x","")</f>
        <v>x</v>
      </c>
      <c r="Q52" s="91" t="str">
        <f>IF(AND($J52=$P$7,$B52&lt;'1121'!$N$9),"x","")</f>
        <v/>
      </c>
      <c r="R52" s="91" t="str">
        <f>IF(AND($K52=$P$7,$B52&lt;'1121'!$N$9),"x","")</f>
        <v/>
      </c>
      <c r="S52" s="91" t="str">
        <f>IF(OR(TH!J52=TH!$S$7,K52=TH!$S$7),"x","")</f>
        <v/>
      </c>
      <c r="T52" s="91" t="str">
        <f t="shared" si="4"/>
        <v>1</v>
      </c>
    </row>
    <row r="53" spans="1:20" s="78" customFormat="1" ht="15.75" customHeight="1">
      <c r="A53" s="157" t="str">
        <f>IF(B53&lt;&gt;"",IF(AND(B53&gt;=_TM1,B53&lt;=_TM2,OR(TH!J53="1111",TH!K53="1111")),TH!D53,""),"")</f>
        <v/>
      </c>
      <c r="B53" s="63">
        <f t="shared" si="3"/>
        <v>3</v>
      </c>
      <c r="C53" s="64">
        <v>40623</v>
      </c>
      <c r="D53" s="64" t="s">
        <v>8</v>
      </c>
      <c r="E53" s="64">
        <v>40623</v>
      </c>
      <c r="F53" s="67" t="s">
        <v>21</v>
      </c>
      <c r="G53" s="347"/>
      <c r="H53" s="81"/>
      <c r="I53" s="65">
        <v>20000</v>
      </c>
      <c r="J53" s="66" t="s">
        <v>118</v>
      </c>
      <c r="K53" s="66" t="s">
        <v>32</v>
      </c>
      <c r="L53" s="91" t="str">
        <f>IF(AND('331-CT'!$E$7=TH!H53,OR(J53="331",K53="331")),"x","")</f>
        <v/>
      </c>
      <c r="M53" s="91" t="str">
        <f>IF(AND($B53&gt;='1111'!$N$10,$B53&lt;='1111'!$O$10,OR($J53=$M$7,$K53=$M$7)),"x","")</f>
        <v/>
      </c>
      <c r="N53" s="91" t="str">
        <f>IF(AND($J53=$M$7,$B53&lt;'1111'!$N$10),"x","")</f>
        <v/>
      </c>
      <c r="O53" s="91" t="str">
        <f>IF(AND($K53=$M$7,$B53&lt;'1111'!$N$10),"x","")</f>
        <v/>
      </c>
      <c r="P53" s="91" t="str">
        <f>IF(AND($B53&gt;='1121'!$N$9,$B53&lt;='1121'!$O$9,OR($J53=$P$7,$K53=$P$7)),"x","")</f>
        <v>x</v>
      </c>
      <c r="Q53" s="91" t="str">
        <f>IF(AND($J53=$P$7,$B53&lt;'1121'!$N$9),"x","")</f>
        <v/>
      </c>
      <c r="R53" s="91" t="str">
        <f>IF(AND($K53=$P$7,$B53&lt;'1121'!$N$9),"x","")</f>
        <v/>
      </c>
      <c r="S53" s="91" t="str">
        <f>IF(OR(TH!J53=TH!$S$7,K53=TH!$S$7),"x","")</f>
        <v/>
      </c>
      <c r="T53" s="91" t="str">
        <f t="shared" si="4"/>
        <v>1</v>
      </c>
    </row>
    <row r="54" spans="1:20" s="78" customFormat="1" ht="15.75" customHeight="1">
      <c r="A54" s="157" t="str">
        <f>IF(B54&lt;&gt;"",IF(AND(B54&gt;=_TM1,B54&lt;=_TM2,OR(TH!J54="1111",TH!K54="1111")),TH!D54,""),"")</f>
        <v/>
      </c>
      <c r="B54" s="63">
        <f t="shared" si="3"/>
        <v>3</v>
      </c>
      <c r="C54" s="64">
        <v>40623</v>
      </c>
      <c r="D54" s="64" t="s">
        <v>8</v>
      </c>
      <c r="E54" s="64">
        <v>40623</v>
      </c>
      <c r="F54" s="67" t="s">
        <v>263</v>
      </c>
      <c r="G54" s="347"/>
      <c r="H54" s="81"/>
      <c r="I54" s="65">
        <v>2000</v>
      </c>
      <c r="J54" s="66" t="s">
        <v>118</v>
      </c>
      <c r="K54" s="66" t="s">
        <v>32</v>
      </c>
      <c r="L54" s="91" t="str">
        <f>IF(AND('331-CT'!$E$7=TH!H54,OR(J54="331",K54="331")),"x","")</f>
        <v/>
      </c>
      <c r="M54" s="91" t="str">
        <f>IF(AND($B54&gt;='1111'!$N$10,$B54&lt;='1111'!$O$10,OR($J54=$M$7,$K54=$M$7)),"x","")</f>
        <v/>
      </c>
      <c r="N54" s="91" t="str">
        <f>IF(AND($J54=$M$7,$B54&lt;'1111'!$N$10),"x","")</f>
        <v/>
      </c>
      <c r="O54" s="91" t="str">
        <f>IF(AND($K54=$M$7,$B54&lt;'1111'!$N$10),"x","")</f>
        <v/>
      </c>
      <c r="P54" s="91" t="str">
        <f>IF(AND($B54&gt;='1121'!$N$9,$B54&lt;='1121'!$O$9,OR($J54=$P$7,$K54=$P$7)),"x","")</f>
        <v>x</v>
      </c>
      <c r="Q54" s="91" t="str">
        <f>IF(AND($J54=$P$7,$B54&lt;'1121'!$N$9),"x","")</f>
        <v/>
      </c>
      <c r="R54" s="91" t="str">
        <f>IF(AND($K54=$P$7,$B54&lt;'1121'!$N$9),"x","")</f>
        <v/>
      </c>
      <c r="S54" s="91" t="str">
        <f>IF(OR(TH!J54=TH!$S$7,K54=TH!$S$7),"x","")</f>
        <v/>
      </c>
      <c r="T54" s="91" t="str">
        <f t="shared" si="4"/>
        <v>1</v>
      </c>
    </row>
    <row r="55" spans="1:20" s="78" customFormat="1" ht="15.75" customHeight="1">
      <c r="A55" s="157" t="str">
        <f>IF(B55&lt;&gt;"",IF(AND(B55&gt;=_TM1,B55&lt;=_TM2,OR(TH!J55="1111",TH!K55="1111")),TH!D55,""),"")</f>
        <v/>
      </c>
      <c r="B55" s="63">
        <f t="shared" si="3"/>
        <v>3</v>
      </c>
      <c r="C55" s="64">
        <v>40623</v>
      </c>
      <c r="D55" s="64" t="s">
        <v>47</v>
      </c>
      <c r="E55" s="64">
        <v>40623</v>
      </c>
      <c r="F55" s="67" t="s">
        <v>268</v>
      </c>
      <c r="G55" s="357" t="s">
        <v>267</v>
      </c>
      <c r="H55" s="81" t="s">
        <v>52</v>
      </c>
      <c r="I55" s="65">
        <v>32288666</v>
      </c>
      <c r="J55" s="66" t="s">
        <v>118</v>
      </c>
      <c r="K55" s="66" t="s">
        <v>9</v>
      </c>
      <c r="L55" s="91" t="str">
        <f>IF(AND('331-CT'!$E$7=TH!H55,OR(J55="331",K55="331")),"x","")</f>
        <v>x</v>
      </c>
      <c r="M55" s="91" t="str">
        <f>IF(AND($B55&gt;='1111'!$N$10,$B55&lt;='1111'!$O$10,OR($J55=$M$7,$K55=$M$7)),"x","")</f>
        <v/>
      </c>
      <c r="N55" s="91" t="str">
        <f>IF(AND($J55=$M$7,$B55&lt;'1111'!$N$10),"x","")</f>
        <v/>
      </c>
      <c r="O55" s="91" t="str">
        <f>IF(AND($K55=$M$7,$B55&lt;'1111'!$N$10),"x","")</f>
        <v/>
      </c>
      <c r="P55" s="91" t="str">
        <f>IF(AND($B55&gt;='1121'!$N$9,$B55&lt;='1121'!$O$9,OR($J55=$P$7,$K55=$P$7)),"x","")</f>
        <v/>
      </c>
      <c r="Q55" s="91" t="str">
        <f>IF(AND($J55=$P$7,$B55&lt;'1121'!$N$9),"x","")</f>
        <v/>
      </c>
      <c r="R55" s="91" t="str">
        <f>IF(AND($K55=$P$7,$B55&lt;'1121'!$N$9),"x","")</f>
        <v/>
      </c>
      <c r="S55" s="91" t="str">
        <f>IF(OR(TH!J55=TH!$S$7,K55=TH!$S$7),"x","")</f>
        <v/>
      </c>
      <c r="T55" s="91" t="str">
        <f t="shared" si="4"/>
        <v>1</v>
      </c>
    </row>
    <row r="56" spans="1:20" s="78" customFormat="1" ht="15.75" customHeight="1">
      <c r="A56" s="157" t="str">
        <f>IF(B56&lt;&gt;"",IF(AND(B56&gt;=_TM1,B56&lt;=_TM2,OR(TH!J56="1111",TH!K56="1111")),TH!D56,""),"")</f>
        <v/>
      </c>
      <c r="B56" s="63">
        <f t="shared" si="3"/>
        <v>3</v>
      </c>
      <c r="C56" s="64">
        <v>40630</v>
      </c>
      <c r="D56" s="64" t="s">
        <v>62</v>
      </c>
      <c r="E56" s="64">
        <v>40630</v>
      </c>
      <c r="F56" s="67" t="s">
        <v>259</v>
      </c>
      <c r="G56" s="347"/>
      <c r="H56" s="81" t="s">
        <v>277</v>
      </c>
      <c r="I56" s="65">
        <v>100000000</v>
      </c>
      <c r="J56" s="66" t="s">
        <v>23</v>
      </c>
      <c r="K56" s="66" t="s">
        <v>79</v>
      </c>
      <c r="L56" s="91" t="str">
        <f>IF(AND('331-CT'!$E$7=TH!H56,OR(J56="331",K56="331")),"x","")</f>
        <v/>
      </c>
      <c r="M56" s="91" t="str">
        <f>IF(AND($B56&gt;='1111'!$N$10,$B56&lt;='1111'!$O$10,OR($J56=$M$7,$K56=$M$7)),"x","")</f>
        <v>x</v>
      </c>
      <c r="N56" s="91" t="str">
        <f>IF(AND($J56=$M$7,$B56&lt;'1111'!$N$10),"x","")</f>
        <v/>
      </c>
      <c r="O56" s="91" t="str">
        <f>IF(AND($K56=$M$7,$B56&lt;'1111'!$N$10),"x","")</f>
        <v/>
      </c>
      <c r="P56" s="91" t="str">
        <f>IF(AND($B56&gt;='1121'!$N$9,$B56&lt;='1121'!$O$9,OR($J56=$P$7,$K56=$P$7)),"x","")</f>
        <v/>
      </c>
      <c r="Q56" s="91" t="str">
        <f>IF(AND($J56=$P$7,$B56&lt;'1121'!$N$9),"x","")</f>
        <v/>
      </c>
      <c r="R56" s="91" t="str">
        <f>IF(AND($K56=$P$7,$B56&lt;'1121'!$N$9),"x","")</f>
        <v/>
      </c>
      <c r="S56" s="91" t="str">
        <f>IF(OR(TH!J56=TH!$S$7,K56=TH!$S$7),"x","")</f>
        <v>x</v>
      </c>
      <c r="T56" s="91" t="str">
        <f t="shared" si="4"/>
        <v>1</v>
      </c>
    </row>
    <row r="57" spans="1:20" s="78" customFormat="1" ht="15.75" customHeight="1">
      <c r="A57" s="157" t="str">
        <f>IF(B57&lt;&gt;"",IF(AND(B57&gt;=_TM1,B57&lt;=_TM2,OR(TH!J57="1111",TH!K57="1111")),TH!D57,""),"")</f>
        <v/>
      </c>
      <c r="B57" s="63">
        <f t="shared" si="3"/>
        <v>3</v>
      </c>
      <c r="C57" s="64">
        <v>40630</v>
      </c>
      <c r="D57" s="64" t="s">
        <v>11</v>
      </c>
      <c r="E57" s="64">
        <v>40630</v>
      </c>
      <c r="F57" s="67" t="s">
        <v>260</v>
      </c>
      <c r="G57" s="347"/>
      <c r="H57" s="81" t="s">
        <v>277</v>
      </c>
      <c r="I57" s="65">
        <v>100000000</v>
      </c>
      <c r="J57" s="66" t="s">
        <v>32</v>
      </c>
      <c r="K57" s="66" t="s">
        <v>23</v>
      </c>
      <c r="L57" s="91" t="str">
        <f>IF(AND('331-CT'!$E$7=TH!H57,OR(J57="331",K57="331")),"x","")</f>
        <v/>
      </c>
      <c r="M57" s="91" t="str">
        <f>IF(AND($B57&gt;='1111'!$N$10,$B57&lt;='1111'!$O$10,OR($J57=$M$7,$K57=$M$7)),"x","")</f>
        <v/>
      </c>
      <c r="N57" s="91" t="str">
        <f>IF(AND($J57=$M$7,$B57&lt;'1111'!$N$10),"x","")</f>
        <v/>
      </c>
      <c r="O57" s="91" t="str">
        <f>IF(AND($K57=$M$7,$B57&lt;'1111'!$N$10),"x","")</f>
        <v/>
      </c>
      <c r="P57" s="91" t="str">
        <f>IF(AND($B57&gt;='1121'!$N$9,$B57&lt;='1121'!$O$9,OR($J57=$P$7,$K57=$P$7)),"x","")</f>
        <v>x</v>
      </c>
      <c r="Q57" s="91" t="str">
        <f>IF(AND($J57=$P$7,$B57&lt;'1121'!$N$9),"x","")</f>
        <v/>
      </c>
      <c r="R57" s="91" t="str">
        <f>IF(AND($K57=$P$7,$B57&lt;'1121'!$N$9),"x","")</f>
        <v/>
      </c>
      <c r="S57" s="91" t="str">
        <f>IF(OR(TH!J57=TH!$S$7,K57=TH!$S$7),"x","")</f>
        <v>x</v>
      </c>
      <c r="T57" s="91" t="str">
        <f t="shared" si="4"/>
        <v>1</v>
      </c>
    </row>
    <row r="58" spans="1:20" s="78" customFormat="1" ht="15.75" customHeight="1">
      <c r="A58" s="157" t="str">
        <f>IF(B58&lt;&gt;"",IF(AND(B58&gt;=_TM1,B58&lt;=_TM2,OR(TH!J58="1111",TH!K58="1111")),TH!D58,""),"")</f>
        <v/>
      </c>
      <c r="B58" s="63">
        <f t="shared" si="3"/>
        <v>3</v>
      </c>
      <c r="C58" s="64">
        <v>40630</v>
      </c>
      <c r="D58" s="64" t="s">
        <v>8</v>
      </c>
      <c r="E58" s="64">
        <v>40630</v>
      </c>
      <c r="F58" s="67" t="s">
        <v>254</v>
      </c>
      <c r="G58" s="347"/>
      <c r="H58" s="81" t="s">
        <v>53</v>
      </c>
      <c r="I58" s="65">
        <v>100000000</v>
      </c>
      <c r="J58" s="66" t="s">
        <v>9</v>
      </c>
      <c r="K58" s="66" t="s">
        <v>32</v>
      </c>
      <c r="L58" s="91" t="str">
        <f>IF(AND('331-CT'!$E$7=TH!H58,OR(J58="331",K58="331")),"x","")</f>
        <v/>
      </c>
      <c r="M58" s="91" t="str">
        <f>IF(AND($B58&gt;='1111'!$N$10,$B58&lt;='1111'!$O$10,OR($J58=$M$7,$K58=$M$7)),"x","")</f>
        <v/>
      </c>
      <c r="N58" s="91" t="str">
        <f>IF(AND($J58=$M$7,$B58&lt;'1111'!$N$10),"x","")</f>
        <v/>
      </c>
      <c r="O58" s="91" t="str">
        <f>IF(AND($K58=$M$7,$B58&lt;'1111'!$N$10),"x","")</f>
        <v/>
      </c>
      <c r="P58" s="91" t="str">
        <f>IF(AND($B58&gt;='1121'!$N$9,$B58&lt;='1121'!$O$9,OR($J58=$P$7,$K58=$P$7)),"x","")</f>
        <v>x</v>
      </c>
      <c r="Q58" s="91" t="str">
        <f>IF(AND($J58=$P$7,$B58&lt;'1121'!$N$9),"x","")</f>
        <v/>
      </c>
      <c r="R58" s="91" t="str">
        <f>IF(AND($K58=$P$7,$B58&lt;'1121'!$N$9),"x","")</f>
        <v/>
      </c>
      <c r="S58" s="91" t="str">
        <f>IF(OR(TH!J58=TH!$S$7,K58=TH!$S$7),"x","")</f>
        <v/>
      </c>
      <c r="T58" s="91" t="str">
        <f t="shared" si="4"/>
        <v>1</v>
      </c>
    </row>
    <row r="59" spans="1:20" s="78" customFormat="1" ht="15.75" customHeight="1">
      <c r="A59" s="157" t="str">
        <f>IF(B59&lt;&gt;"",IF(AND(B59&gt;=_TM1,B59&lt;=_TM2,OR(TH!J59="1111",TH!K59="1111")),TH!D59,""),"")</f>
        <v/>
      </c>
      <c r="B59" s="63">
        <f t="shared" si="3"/>
        <v>3</v>
      </c>
      <c r="C59" s="64">
        <v>40630</v>
      </c>
      <c r="D59" s="64" t="s">
        <v>8</v>
      </c>
      <c r="E59" s="64">
        <v>40630</v>
      </c>
      <c r="F59" s="67" t="s">
        <v>21</v>
      </c>
      <c r="G59" s="347"/>
      <c r="H59" s="81"/>
      <c r="I59" s="65">
        <v>50000</v>
      </c>
      <c r="J59" s="66" t="s">
        <v>118</v>
      </c>
      <c r="K59" s="66" t="s">
        <v>32</v>
      </c>
      <c r="L59" s="91" t="str">
        <f>IF(AND('331-CT'!$E$7=TH!H59,OR(J59="331",K59="331")),"x","")</f>
        <v/>
      </c>
      <c r="M59" s="91" t="str">
        <f>IF(AND($B59&gt;='1111'!$N$10,$B59&lt;='1111'!$O$10,OR($J59=$M$7,$K59=$M$7)),"x","")</f>
        <v/>
      </c>
      <c r="N59" s="91" t="str">
        <f>IF(AND($J59=$M$7,$B59&lt;'1111'!$N$10),"x","")</f>
        <v/>
      </c>
      <c r="O59" s="91" t="str">
        <f>IF(AND($K59=$M$7,$B59&lt;'1111'!$N$10),"x","")</f>
        <v/>
      </c>
      <c r="P59" s="91" t="str">
        <f>IF(AND($B59&gt;='1121'!$N$9,$B59&lt;='1121'!$O$9,OR($J59=$P$7,$K59=$P$7)),"x","")</f>
        <v>x</v>
      </c>
      <c r="Q59" s="91" t="str">
        <f>IF(AND($J59=$P$7,$B59&lt;'1121'!$N$9),"x","")</f>
        <v/>
      </c>
      <c r="R59" s="91" t="str">
        <f>IF(AND($K59=$P$7,$B59&lt;'1121'!$N$9),"x","")</f>
        <v/>
      </c>
      <c r="S59" s="91" t="str">
        <f>IF(OR(TH!J59=TH!$S$7,K59=TH!$S$7),"x","")</f>
        <v/>
      </c>
      <c r="T59" s="91" t="str">
        <f t="shared" si="4"/>
        <v>1</v>
      </c>
    </row>
    <row r="60" spans="1:20" s="78" customFormat="1" ht="15.75" customHeight="1">
      <c r="A60" s="157" t="str">
        <f>IF(B60&lt;&gt;"",IF(AND(B60&gt;=_TM1,B60&lt;=_TM2,OR(TH!J60="1111",TH!K60="1111")),TH!D60,""),"")</f>
        <v/>
      </c>
      <c r="B60" s="63">
        <f t="shared" si="3"/>
        <v>3</v>
      </c>
      <c r="C60" s="64">
        <v>40630</v>
      </c>
      <c r="D60" s="64" t="s">
        <v>8</v>
      </c>
      <c r="E60" s="64">
        <v>40630</v>
      </c>
      <c r="F60" s="67" t="s">
        <v>263</v>
      </c>
      <c r="G60" s="347"/>
      <c r="H60" s="81"/>
      <c r="I60" s="65">
        <v>5000</v>
      </c>
      <c r="J60" s="66" t="s">
        <v>118</v>
      </c>
      <c r="K60" s="66" t="s">
        <v>32</v>
      </c>
      <c r="L60" s="91" t="str">
        <f>IF(AND('331-CT'!$E$7=TH!H60,OR(J60="331",K60="331")),"x","")</f>
        <v/>
      </c>
      <c r="M60" s="91" t="str">
        <f>IF(AND($B60&gt;='1111'!$N$10,$B60&lt;='1111'!$O$10,OR($J60=$M$7,$K60=$M$7)),"x","")</f>
        <v/>
      </c>
      <c r="N60" s="91" t="str">
        <f>IF(AND($J60=$M$7,$B60&lt;'1111'!$N$10),"x","")</f>
        <v/>
      </c>
      <c r="O60" s="91" t="str">
        <f>IF(AND($K60=$M$7,$B60&lt;'1111'!$N$10),"x","")</f>
        <v/>
      </c>
      <c r="P60" s="91" t="str">
        <f>IF(AND($B60&gt;='1121'!$N$9,$B60&lt;='1121'!$O$9,OR($J60=$P$7,$K60=$P$7)),"x","")</f>
        <v>x</v>
      </c>
      <c r="Q60" s="91" t="str">
        <f>IF(AND($J60=$P$7,$B60&lt;'1121'!$N$9),"x","")</f>
        <v/>
      </c>
      <c r="R60" s="91" t="str">
        <f>IF(AND($K60=$P$7,$B60&lt;'1121'!$N$9),"x","")</f>
        <v/>
      </c>
      <c r="S60" s="91" t="str">
        <f>IF(OR(TH!J60=TH!$S$7,K60=TH!$S$7),"x","")</f>
        <v/>
      </c>
      <c r="T60" s="91" t="str">
        <f t="shared" si="4"/>
        <v>1</v>
      </c>
    </row>
    <row r="61" spans="1:20" s="78" customFormat="1" ht="15.75" customHeight="1">
      <c r="A61" s="157" t="str">
        <f>IF(B61&lt;&gt;"",IF(AND(B61&gt;=_TM1,B61&lt;=_TM2,OR(TH!J61="1111",TH!K61="1111")),TH!D61,""),"")</f>
        <v/>
      </c>
      <c r="B61" s="63">
        <f t="shared" si="3"/>
        <v>4</v>
      </c>
      <c r="C61" s="64">
        <v>40649</v>
      </c>
      <c r="D61" s="64" t="s">
        <v>8</v>
      </c>
      <c r="E61" s="64">
        <v>40649</v>
      </c>
      <c r="F61" s="67" t="s">
        <v>265</v>
      </c>
      <c r="G61" s="347"/>
      <c r="H61" s="81"/>
      <c r="I61" s="65">
        <v>5500</v>
      </c>
      <c r="J61" s="66" t="s">
        <v>118</v>
      </c>
      <c r="K61" s="66" t="s">
        <v>32</v>
      </c>
      <c r="L61" s="91" t="str">
        <f>IF(AND('331-CT'!$E$7=TH!H61,OR(J61="331",K61="331")),"x","")</f>
        <v/>
      </c>
      <c r="M61" s="91" t="str">
        <f>IF(AND($B61&gt;='1111'!$N$10,$B61&lt;='1111'!$O$10,OR($J61=$M$7,$K61=$M$7)),"x","")</f>
        <v/>
      </c>
      <c r="N61" s="91" t="str">
        <f>IF(AND($J61=$M$7,$B61&lt;'1111'!$N$10),"x","")</f>
        <v/>
      </c>
      <c r="O61" s="91" t="str">
        <f>IF(AND($K61=$M$7,$B61&lt;'1111'!$N$10),"x","")</f>
        <v/>
      </c>
      <c r="P61" s="91" t="str">
        <f>IF(AND($B61&gt;='1121'!$N$9,$B61&lt;='1121'!$O$9,OR($J61=$P$7,$K61=$P$7)),"x","")</f>
        <v/>
      </c>
      <c r="Q61" s="91" t="str">
        <f>IF(AND($J61=$P$7,$B61&lt;'1121'!$N$9),"x","")</f>
        <v/>
      </c>
      <c r="R61" s="91" t="str">
        <f>IF(AND($K61=$P$7,$B61&lt;'1121'!$N$9),"x","")</f>
        <v/>
      </c>
      <c r="S61" s="91" t="str">
        <f>IF(OR(TH!J61=TH!$S$7,K61=TH!$S$7),"x","")</f>
        <v/>
      </c>
      <c r="T61" s="91" t="str">
        <f t="shared" si="4"/>
        <v>2</v>
      </c>
    </row>
    <row r="62" spans="1:20" s="78" customFormat="1" ht="15.75" customHeight="1">
      <c r="A62" s="157" t="str">
        <f>IF(B62&lt;&gt;"",IF(AND(B62&gt;=_TM1,B62&lt;=_TM2,OR(TH!J62="1111",TH!K62="1111")),TH!D62,""),"")</f>
        <v/>
      </c>
      <c r="B62" s="63">
        <f t="shared" si="3"/>
        <v>4</v>
      </c>
      <c r="C62" s="64">
        <v>40651</v>
      </c>
      <c r="D62" s="64" t="s">
        <v>8</v>
      </c>
      <c r="E62" s="64">
        <v>40651</v>
      </c>
      <c r="F62" s="67" t="s">
        <v>265</v>
      </c>
      <c r="G62" s="347"/>
      <c r="H62" s="81"/>
      <c r="I62" s="65">
        <v>5500</v>
      </c>
      <c r="J62" s="66" t="s">
        <v>118</v>
      </c>
      <c r="K62" s="66" t="s">
        <v>32</v>
      </c>
      <c r="L62" s="91" t="str">
        <f>IF(AND('331-CT'!$E$7=TH!H62,OR(J62="331",K62="331")),"x","")</f>
        <v/>
      </c>
      <c r="M62" s="91" t="str">
        <f>IF(AND($B62&gt;='1111'!$N$10,$B62&lt;='1111'!$O$10,OR($J62=$M$7,$K62=$M$7)),"x","")</f>
        <v/>
      </c>
      <c r="N62" s="91" t="str">
        <f>IF(AND($J62=$M$7,$B62&lt;'1111'!$N$10),"x","")</f>
        <v/>
      </c>
      <c r="O62" s="91" t="str">
        <f>IF(AND($K62=$M$7,$B62&lt;'1111'!$N$10),"x","")</f>
        <v/>
      </c>
      <c r="P62" s="91" t="str">
        <f>IF(AND($B62&gt;='1121'!$N$9,$B62&lt;='1121'!$O$9,OR($J62=$P$7,$K62=$P$7)),"x","")</f>
        <v/>
      </c>
      <c r="Q62" s="91" t="str">
        <f>IF(AND($J62=$P$7,$B62&lt;'1121'!$N$9),"x","")</f>
        <v/>
      </c>
      <c r="R62" s="91" t="str">
        <f>IF(AND($K62=$P$7,$B62&lt;'1121'!$N$9),"x","")</f>
        <v/>
      </c>
      <c r="S62" s="91" t="str">
        <f>IF(OR(TH!J62=TH!$S$7,K62=TH!$S$7),"x","")</f>
        <v/>
      </c>
      <c r="T62" s="91" t="str">
        <f t="shared" si="4"/>
        <v>2</v>
      </c>
    </row>
    <row r="63" spans="1:20" s="78" customFormat="1" ht="15.75" customHeight="1">
      <c r="A63" s="157" t="str">
        <f>IF(B63&lt;&gt;"",IF(AND(B63&gt;=_TM1,B63&lt;=_TM2,OR(TH!J63="1111",TH!K63="1111")),TH!D63,""),"")</f>
        <v/>
      </c>
      <c r="B63" s="63">
        <f t="shared" si="3"/>
        <v>5</v>
      </c>
      <c r="C63" s="76">
        <v>40679</v>
      </c>
      <c r="D63" s="64" t="s">
        <v>8</v>
      </c>
      <c r="E63" s="64">
        <v>40679</v>
      </c>
      <c r="F63" s="67" t="s">
        <v>265</v>
      </c>
      <c r="G63" s="347"/>
      <c r="H63" s="81"/>
      <c r="I63" s="65">
        <v>5500</v>
      </c>
      <c r="J63" s="66" t="s">
        <v>118</v>
      </c>
      <c r="K63" s="66" t="s">
        <v>32</v>
      </c>
      <c r="L63" s="91" t="str">
        <f>IF(AND('331-CT'!$E$7=TH!H63,OR(J63="331",K63="331")),"x","")</f>
        <v/>
      </c>
      <c r="M63" s="91" t="str">
        <f>IF(AND($B63&gt;='1111'!$N$10,$B63&lt;='1111'!$O$10,OR($J63=$M$7,$K63=$M$7)),"x","")</f>
        <v/>
      </c>
      <c r="N63" s="91" t="str">
        <f>IF(AND($J63=$M$7,$B63&lt;'1111'!$N$10),"x","")</f>
        <v/>
      </c>
      <c r="O63" s="91" t="str">
        <f>IF(AND($K63=$M$7,$B63&lt;'1111'!$N$10),"x","")</f>
        <v/>
      </c>
      <c r="P63" s="91" t="str">
        <f>IF(AND($B63&gt;='1121'!$N$9,$B63&lt;='1121'!$O$9,OR($J63=$P$7,$K63=$P$7)),"x","")</f>
        <v/>
      </c>
      <c r="Q63" s="91" t="str">
        <f>IF(AND($J63=$P$7,$B63&lt;'1121'!$N$9),"x","")</f>
        <v/>
      </c>
      <c r="R63" s="91" t="str">
        <f>IF(AND($K63=$P$7,$B63&lt;'1121'!$N$9),"x","")</f>
        <v/>
      </c>
      <c r="S63" s="91" t="str">
        <f>IF(OR(TH!J63=TH!$S$7,K63=TH!$S$7),"x","")</f>
        <v/>
      </c>
      <c r="T63" s="91" t="str">
        <f t="shared" si="4"/>
        <v>2</v>
      </c>
    </row>
    <row r="64" spans="1:20" s="78" customFormat="1" ht="15.75" customHeight="1">
      <c r="A64" s="157" t="str">
        <f>IF(B64&lt;&gt;"",IF(AND(B64&gt;=_TM1,B64&lt;=_TM2,OR(TH!J64="1111",TH!K64="1111")),TH!D64,""),"")</f>
        <v/>
      </c>
      <c r="B64" s="63">
        <f t="shared" si="3"/>
        <v>5</v>
      </c>
      <c r="C64" s="76">
        <v>40680</v>
      </c>
      <c r="D64" s="64" t="s">
        <v>8</v>
      </c>
      <c r="E64" s="64">
        <v>40680</v>
      </c>
      <c r="F64" s="67" t="s">
        <v>265</v>
      </c>
      <c r="G64" s="347"/>
      <c r="H64" s="81"/>
      <c r="I64" s="65">
        <v>5500</v>
      </c>
      <c r="J64" s="66" t="s">
        <v>118</v>
      </c>
      <c r="K64" s="66" t="s">
        <v>32</v>
      </c>
      <c r="L64" s="91" t="str">
        <f>IF(AND('331-CT'!$E$7=TH!H64,OR(J64="331",K64="331")),"x","")</f>
        <v/>
      </c>
      <c r="M64" s="91" t="str">
        <f>IF(AND($B64&gt;='1111'!$N$10,$B64&lt;='1111'!$O$10,OR($J64=$M$7,$K64=$M$7)),"x","")</f>
        <v/>
      </c>
      <c r="N64" s="91" t="str">
        <f>IF(AND($J64=$M$7,$B64&lt;'1111'!$N$10),"x","")</f>
        <v/>
      </c>
      <c r="O64" s="91" t="str">
        <f>IF(AND($K64=$M$7,$B64&lt;'1111'!$N$10),"x","")</f>
        <v/>
      </c>
      <c r="P64" s="91" t="str">
        <f>IF(AND($B64&gt;='1121'!$N$9,$B64&lt;='1121'!$O$9,OR($J64=$P$7,$K64=$P$7)),"x","")</f>
        <v/>
      </c>
      <c r="Q64" s="91" t="str">
        <f>IF(AND($J64=$P$7,$B64&lt;'1121'!$N$9),"x","")</f>
        <v/>
      </c>
      <c r="R64" s="91" t="str">
        <f>IF(AND($K64=$P$7,$B64&lt;'1121'!$N$9),"x","")</f>
        <v/>
      </c>
      <c r="S64" s="91" t="str">
        <f>IF(OR(TH!J64=TH!$S$7,K64=TH!$S$7),"x","")</f>
        <v/>
      </c>
      <c r="T64" s="91" t="str">
        <f t="shared" si="4"/>
        <v>2</v>
      </c>
    </row>
    <row r="65" spans="1:20" s="78" customFormat="1" ht="15.75" customHeight="1">
      <c r="A65" s="157" t="str">
        <f>IF(B65&lt;&gt;"",IF(AND(B65&gt;=_TM1,B65&lt;=_TM2,OR(TH!J65="1111",TH!K65="1111")),TH!D65,""),"")</f>
        <v/>
      </c>
      <c r="B65" s="63">
        <f t="shared" si="3"/>
        <v>5</v>
      </c>
      <c r="C65" s="76">
        <v>40686</v>
      </c>
      <c r="D65" s="64" t="s">
        <v>43</v>
      </c>
      <c r="E65" s="64">
        <v>40686</v>
      </c>
      <c r="F65" s="67" t="s">
        <v>259</v>
      </c>
      <c r="G65" s="347"/>
      <c r="H65" s="81" t="s">
        <v>277</v>
      </c>
      <c r="I65" s="65">
        <v>100000000</v>
      </c>
      <c r="J65" s="68" t="s">
        <v>23</v>
      </c>
      <c r="K65" s="66" t="s">
        <v>79</v>
      </c>
      <c r="L65" s="91" t="str">
        <f>IF(AND('331-CT'!$E$7=TH!H65,OR(J65="331",K65="331")),"x","")</f>
        <v/>
      </c>
      <c r="M65" s="91" t="str">
        <f>IF(AND($B65&gt;='1111'!$N$10,$B65&lt;='1111'!$O$10,OR($J65=$M$7,$K65=$M$7)),"x","")</f>
        <v/>
      </c>
      <c r="N65" s="91" t="str">
        <f>IF(AND($J65=$M$7,$B65&lt;'1111'!$N$10),"x","")</f>
        <v/>
      </c>
      <c r="O65" s="91" t="str">
        <f>IF(AND($K65=$M$7,$B65&lt;'1111'!$N$10),"x","")</f>
        <v/>
      </c>
      <c r="P65" s="91" t="str">
        <f>IF(AND($B65&gt;='1121'!$N$9,$B65&lt;='1121'!$O$9,OR($J65=$P$7,$K65=$P$7)),"x","")</f>
        <v/>
      </c>
      <c r="Q65" s="91" t="str">
        <f>IF(AND($J65=$P$7,$B65&lt;'1121'!$N$9),"x","")</f>
        <v/>
      </c>
      <c r="R65" s="91" t="str">
        <f>IF(AND($K65=$P$7,$B65&lt;'1121'!$N$9),"x","")</f>
        <v/>
      </c>
      <c r="S65" s="91" t="str">
        <f>IF(OR(TH!J65=TH!$S$7,K65=TH!$S$7),"x","")</f>
        <v>x</v>
      </c>
      <c r="T65" s="91" t="str">
        <f t="shared" si="4"/>
        <v>2</v>
      </c>
    </row>
    <row r="66" spans="1:20" s="78" customFormat="1" ht="15.75" customHeight="1">
      <c r="A66" s="157" t="str">
        <f>IF(B66&lt;&gt;"",IF(AND(B66&gt;=_TM1,B66&lt;=_TM2,OR(TH!J66="1111",TH!K66="1111")),TH!D66,""),"")</f>
        <v/>
      </c>
      <c r="B66" s="63">
        <f t="shared" si="3"/>
        <v>5</v>
      </c>
      <c r="C66" s="64">
        <v>40686</v>
      </c>
      <c r="D66" s="64" t="s">
        <v>11</v>
      </c>
      <c r="E66" s="64">
        <v>40686</v>
      </c>
      <c r="F66" s="67" t="s">
        <v>260</v>
      </c>
      <c r="G66" s="347"/>
      <c r="H66" s="81" t="s">
        <v>277</v>
      </c>
      <c r="I66" s="65">
        <v>100000000</v>
      </c>
      <c r="J66" s="66" t="s">
        <v>32</v>
      </c>
      <c r="K66" s="66" t="s">
        <v>23</v>
      </c>
      <c r="L66" s="91" t="str">
        <f>IF(AND('331-CT'!$E$7=TH!H66,OR(J66="331",K66="331")),"x","")</f>
        <v/>
      </c>
      <c r="M66" s="91" t="str">
        <f>IF(AND($B66&gt;='1111'!$N$10,$B66&lt;='1111'!$O$10,OR($J66=$M$7,$K66=$M$7)),"x","")</f>
        <v/>
      </c>
      <c r="N66" s="91" t="str">
        <f>IF(AND($J66=$M$7,$B66&lt;'1111'!$N$10),"x","")</f>
        <v/>
      </c>
      <c r="O66" s="91" t="str">
        <f>IF(AND($K66=$M$7,$B66&lt;'1111'!$N$10),"x","")</f>
        <v/>
      </c>
      <c r="P66" s="91" t="str">
        <f>IF(AND($B66&gt;='1121'!$N$9,$B66&lt;='1121'!$O$9,OR($J66=$P$7,$K66=$P$7)),"x","")</f>
        <v/>
      </c>
      <c r="Q66" s="91" t="str">
        <f>IF(AND($J66=$P$7,$B66&lt;'1121'!$N$9),"x","")</f>
        <v/>
      </c>
      <c r="R66" s="91" t="str">
        <f>IF(AND($K66=$P$7,$B66&lt;'1121'!$N$9),"x","")</f>
        <v/>
      </c>
      <c r="S66" s="91" t="str">
        <f>IF(OR(TH!J66=TH!$S$7,K66=TH!$S$7),"x","")</f>
        <v>x</v>
      </c>
      <c r="T66" s="91" t="str">
        <f t="shared" si="4"/>
        <v>2</v>
      </c>
    </row>
    <row r="67" spans="1:20" s="78" customFormat="1" ht="15.75" customHeight="1">
      <c r="A67" s="157" t="str">
        <f>IF(B67&lt;&gt;"",IF(AND(B67&gt;=_TM1,B67&lt;=_TM2,OR(TH!J67="1111",TH!K67="1111")),TH!D67,""),"")</f>
        <v/>
      </c>
      <c r="B67" s="63">
        <f t="shared" si="3"/>
        <v>5</v>
      </c>
      <c r="C67" s="64">
        <v>40686</v>
      </c>
      <c r="D67" s="64" t="s">
        <v>8</v>
      </c>
      <c r="E67" s="64">
        <v>40686</v>
      </c>
      <c r="F67" s="67" t="s">
        <v>254</v>
      </c>
      <c r="G67" s="347"/>
      <c r="H67" s="81" t="s">
        <v>53</v>
      </c>
      <c r="I67" s="65">
        <v>100000000</v>
      </c>
      <c r="J67" s="66" t="s">
        <v>9</v>
      </c>
      <c r="K67" s="66" t="s">
        <v>32</v>
      </c>
      <c r="L67" s="91" t="str">
        <f>IF(AND('331-CT'!$E$7=TH!H67,OR(J67="331",K67="331")),"x","")</f>
        <v/>
      </c>
      <c r="M67" s="91" t="str">
        <f>IF(AND($B67&gt;='1111'!$N$10,$B67&lt;='1111'!$O$10,OR($J67=$M$7,$K67=$M$7)),"x","")</f>
        <v/>
      </c>
      <c r="N67" s="91" t="str">
        <f>IF(AND($J67=$M$7,$B67&lt;'1111'!$N$10),"x","")</f>
        <v/>
      </c>
      <c r="O67" s="91" t="str">
        <f>IF(AND($K67=$M$7,$B67&lt;'1111'!$N$10),"x","")</f>
        <v/>
      </c>
      <c r="P67" s="91" t="str">
        <f>IF(AND($B67&gt;='1121'!$N$9,$B67&lt;='1121'!$O$9,OR($J67=$P$7,$K67=$P$7)),"x","")</f>
        <v/>
      </c>
      <c r="Q67" s="91" t="str">
        <f>IF(AND($J67=$P$7,$B67&lt;'1121'!$N$9),"x","")</f>
        <v/>
      </c>
      <c r="R67" s="91" t="str">
        <f>IF(AND($K67=$P$7,$B67&lt;'1121'!$N$9),"x","")</f>
        <v/>
      </c>
      <c r="S67" s="91" t="str">
        <f>IF(OR(TH!J67=TH!$S$7,K67=TH!$S$7),"x","")</f>
        <v/>
      </c>
      <c r="T67" s="91" t="str">
        <f t="shared" si="4"/>
        <v>2</v>
      </c>
    </row>
    <row r="68" spans="1:20" s="78" customFormat="1" ht="15.75" customHeight="1">
      <c r="A68" s="157" t="str">
        <f>IF(B68&lt;&gt;"",IF(AND(B68&gt;=_TM1,B68&lt;=_TM2,OR(TH!J68="1111",TH!K68="1111")),TH!D68,""),"")</f>
        <v/>
      </c>
      <c r="B68" s="63">
        <f t="shared" si="3"/>
        <v>5</v>
      </c>
      <c r="C68" s="76">
        <v>40686</v>
      </c>
      <c r="D68" s="64" t="s">
        <v>8</v>
      </c>
      <c r="E68" s="64">
        <v>40686</v>
      </c>
      <c r="F68" s="67" t="s">
        <v>21</v>
      </c>
      <c r="G68" s="347"/>
      <c r="H68" s="81"/>
      <c r="I68" s="65">
        <v>50000</v>
      </c>
      <c r="J68" s="66" t="s">
        <v>118</v>
      </c>
      <c r="K68" s="66" t="s">
        <v>32</v>
      </c>
      <c r="L68" s="91" t="str">
        <f>IF(AND('331-CT'!$E$7=TH!H68,OR(J68="331",K68="331")),"x","")</f>
        <v/>
      </c>
      <c r="M68" s="91" t="str">
        <f>IF(AND($B68&gt;='1111'!$N$10,$B68&lt;='1111'!$O$10,OR($J68=$M$7,$K68=$M$7)),"x","")</f>
        <v/>
      </c>
      <c r="N68" s="91" t="str">
        <f>IF(AND($J68=$M$7,$B68&lt;'1111'!$N$10),"x","")</f>
        <v/>
      </c>
      <c r="O68" s="91" t="str">
        <f>IF(AND($K68=$M$7,$B68&lt;'1111'!$N$10),"x","")</f>
        <v/>
      </c>
      <c r="P68" s="91" t="str">
        <f>IF(AND($B68&gt;='1121'!$N$9,$B68&lt;='1121'!$O$9,OR($J68=$P$7,$K68=$P$7)),"x","")</f>
        <v/>
      </c>
      <c r="Q68" s="91" t="str">
        <f>IF(AND($J68=$P$7,$B68&lt;'1121'!$N$9),"x","")</f>
        <v/>
      </c>
      <c r="R68" s="91" t="str">
        <f>IF(AND($K68=$P$7,$B68&lt;'1121'!$N$9),"x","")</f>
        <v/>
      </c>
      <c r="S68" s="91" t="str">
        <f>IF(OR(TH!J68=TH!$S$7,K68=TH!$S$7),"x","")</f>
        <v/>
      </c>
      <c r="T68" s="91" t="str">
        <f t="shared" si="4"/>
        <v>2</v>
      </c>
    </row>
    <row r="69" spans="1:20" s="78" customFormat="1" ht="15.75" customHeight="1">
      <c r="A69" s="157" t="str">
        <f>IF(B69&lt;&gt;"",IF(AND(B69&gt;=_TM1,B69&lt;=_TM2,OR(TH!J69="1111",TH!K69="1111")),TH!D69,""),"")</f>
        <v/>
      </c>
      <c r="B69" s="63">
        <f t="shared" si="3"/>
        <v>5</v>
      </c>
      <c r="C69" s="76">
        <v>40686</v>
      </c>
      <c r="D69" s="64" t="s">
        <v>8</v>
      </c>
      <c r="E69" s="64">
        <v>40686</v>
      </c>
      <c r="F69" s="67" t="s">
        <v>263</v>
      </c>
      <c r="G69" s="347"/>
      <c r="H69" s="81"/>
      <c r="I69" s="65">
        <v>5000</v>
      </c>
      <c r="J69" s="66" t="s">
        <v>118</v>
      </c>
      <c r="K69" s="66" t="s">
        <v>32</v>
      </c>
      <c r="L69" s="91" t="str">
        <f>IF(AND('331-CT'!$E$7=TH!H69,OR(J69="331",K69="331")),"x","")</f>
        <v/>
      </c>
      <c r="M69" s="91" t="str">
        <f>IF(AND($B69&gt;='1111'!$N$10,$B69&lt;='1111'!$O$10,OR($J69=$M$7,$K69=$M$7)),"x","")</f>
        <v/>
      </c>
      <c r="N69" s="91" t="str">
        <f>IF(AND($J69=$M$7,$B69&lt;'1111'!$N$10),"x","")</f>
        <v/>
      </c>
      <c r="O69" s="91" t="str">
        <f>IF(AND($K69=$M$7,$B69&lt;'1111'!$N$10),"x","")</f>
        <v/>
      </c>
      <c r="P69" s="91" t="str">
        <f>IF(AND($B69&gt;='1121'!$N$9,$B69&lt;='1121'!$O$9,OR($J69=$P$7,$K69=$P$7)),"x","")</f>
        <v/>
      </c>
      <c r="Q69" s="91" t="str">
        <f>IF(AND($J69=$P$7,$B69&lt;'1121'!$N$9),"x","")</f>
        <v/>
      </c>
      <c r="R69" s="91" t="str">
        <f>IF(AND($K69=$P$7,$B69&lt;'1121'!$N$9),"x","")</f>
        <v/>
      </c>
      <c r="S69" s="91" t="str">
        <f>IF(OR(TH!J69=TH!$S$7,K69=TH!$S$7),"x","")</f>
        <v/>
      </c>
      <c r="T69" s="91" t="str">
        <f t="shared" si="4"/>
        <v>2</v>
      </c>
    </row>
    <row r="70" spans="1:20" s="78" customFormat="1" ht="15.75" customHeight="1">
      <c r="A70" s="157" t="str">
        <f>IF(B70&lt;&gt;"",IF(AND(B70&gt;=_TM1,B70&lt;=_TM2,OR(TH!J70="1111",TH!K70="1111")),TH!D70,""),"")</f>
        <v/>
      </c>
      <c r="B70" s="63">
        <f t="shared" si="3"/>
        <v>5</v>
      </c>
      <c r="C70" s="64">
        <v>40690</v>
      </c>
      <c r="D70" s="64" t="s">
        <v>54</v>
      </c>
      <c r="E70" s="64">
        <v>40690</v>
      </c>
      <c r="F70" s="67" t="s">
        <v>162</v>
      </c>
      <c r="G70" s="347"/>
      <c r="H70" s="81" t="s">
        <v>278</v>
      </c>
      <c r="I70" s="65">
        <v>50000000</v>
      </c>
      <c r="J70" s="66" t="s">
        <v>32</v>
      </c>
      <c r="K70" s="66" t="s">
        <v>79</v>
      </c>
      <c r="L70" s="91" t="str">
        <f>IF(AND('331-CT'!$E$7=TH!H70,OR(J70="331",K70="331")),"x","")</f>
        <v/>
      </c>
      <c r="M70" s="91" t="str">
        <f>IF(AND($B70&gt;='1111'!$N$10,$B70&lt;='1111'!$O$10,OR($J70=$M$7,$K70=$M$7)),"x","")</f>
        <v/>
      </c>
      <c r="N70" s="91" t="str">
        <f>IF(AND($J70=$M$7,$B70&lt;'1111'!$N$10),"x","")</f>
        <v/>
      </c>
      <c r="O70" s="91" t="str">
        <f>IF(AND($K70=$M$7,$B70&lt;'1111'!$N$10),"x","")</f>
        <v/>
      </c>
      <c r="P70" s="91" t="str">
        <f>IF(AND($B70&gt;='1121'!$N$9,$B70&lt;='1121'!$O$9,OR($J70=$P$7,$K70=$P$7)),"x","")</f>
        <v/>
      </c>
      <c r="Q70" s="91" t="str">
        <f>IF(AND($J70=$P$7,$B70&lt;'1121'!$N$9),"x","")</f>
        <v/>
      </c>
      <c r="R70" s="91" t="str">
        <f>IF(AND($K70=$P$7,$B70&lt;'1121'!$N$9),"x","")</f>
        <v/>
      </c>
      <c r="S70" s="91" t="str">
        <f>IF(OR(TH!J70=TH!$S$7,K70=TH!$S$7),"x","")</f>
        <v/>
      </c>
      <c r="T70" s="91" t="str">
        <f t="shared" si="4"/>
        <v>2</v>
      </c>
    </row>
    <row r="71" spans="1:20" s="78" customFormat="1" ht="15.75" customHeight="1">
      <c r="A71" s="157" t="str">
        <f>IF(B71&lt;&gt;"",IF(AND(B71&gt;=_TM1,B71&lt;=_TM2,OR(TH!J71="1111",TH!K71="1111")),TH!D71,""),"")</f>
        <v/>
      </c>
      <c r="B71" s="63">
        <f t="shared" si="3"/>
        <v>5</v>
      </c>
      <c r="C71" s="64">
        <v>40690</v>
      </c>
      <c r="D71" s="64" t="s">
        <v>8</v>
      </c>
      <c r="E71" s="64">
        <v>40690</v>
      </c>
      <c r="F71" s="67" t="s">
        <v>254</v>
      </c>
      <c r="G71" s="347"/>
      <c r="H71" s="81" t="s">
        <v>53</v>
      </c>
      <c r="I71" s="65">
        <v>50000000</v>
      </c>
      <c r="J71" s="66" t="s">
        <v>9</v>
      </c>
      <c r="K71" s="66" t="s">
        <v>32</v>
      </c>
      <c r="L71" s="91" t="str">
        <f>IF(AND('331-CT'!$E$7=TH!H71,OR(J71="331",K71="331")),"x","")</f>
        <v/>
      </c>
      <c r="M71" s="91" t="str">
        <f>IF(AND($B71&gt;='1111'!$N$10,$B71&lt;='1111'!$O$10,OR($J71=$M$7,$K71=$M$7)),"x","")</f>
        <v/>
      </c>
      <c r="N71" s="91" t="str">
        <f>IF(AND($J71=$M$7,$B71&lt;'1111'!$N$10),"x","")</f>
        <v/>
      </c>
      <c r="O71" s="91" t="str">
        <f>IF(AND($K71=$M$7,$B71&lt;'1111'!$N$10),"x","")</f>
        <v/>
      </c>
      <c r="P71" s="91" t="str">
        <f>IF(AND($B71&gt;='1121'!$N$9,$B71&lt;='1121'!$O$9,OR($J71=$P$7,$K71=$P$7)),"x","")</f>
        <v/>
      </c>
      <c r="Q71" s="91" t="str">
        <f>IF(AND($J71=$P$7,$B71&lt;'1121'!$N$9),"x","")</f>
        <v/>
      </c>
      <c r="R71" s="91" t="str">
        <f>IF(AND($K71=$P$7,$B71&lt;'1121'!$N$9),"x","")</f>
        <v/>
      </c>
      <c r="S71" s="91" t="str">
        <f>IF(OR(TH!J71=TH!$S$7,K71=TH!$S$7),"x","")</f>
        <v/>
      </c>
      <c r="T71" s="91" t="str">
        <f t="shared" si="4"/>
        <v>2</v>
      </c>
    </row>
    <row r="72" spans="1:20" s="78" customFormat="1" ht="15.75" customHeight="1">
      <c r="A72" s="157" t="str">
        <f>IF(B72&lt;&gt;"",IF(AND(B72&gt;=_TM1,B72&lt;=_TM2,OR(TH!J72="1111",TH!K72="1111")),TH!D72,""),"")</f>
        <v/>
      </c>
      <c r="B72" s="63">
        <f t="shared" si="3"/>
        <v>5</v>
      </c>
      <c r="C72" s="64">
        <v>40690</v>
      </c>
      <c r="D72" s="64" t="s">
        <v>8</v>
      </c>
      <c r="E72" s="64">
        <v>40690</v>
      </c>
      <c r="F72" s="67" t="s">
        <v>21</v>
      </c>
      <c r="G72" s="357"/>
      <c r="H72" s="81"/>
      <c r="I72" s="65">
        <v>25000</v>
      </c>
      <c r="J72" s="66" t="s">
        <v>118</v>
      </c>
      <c r="K72" s="66" t="s">
        <v>32</v>
      </c>
      <c r="L72" s="91" t="str">
        <f>IF(AND('331-CT'!$E$7=TH!H72,OR(J72="331",K72="331")),"x","")</f>
        <v/>
      </c>
      <c r="M72" s="91" t="str">
        <f>IF(AND($B72&gt;='1111'!$N$10,$B72&lt;='1111'!$O$10,OR($J72=$M$7,$K72=$M$7)),"x","")</f>
        <v/>
      </c>
      <c r="N72" s="91" t="str">
        <f>IF(AND($J72=$M$7,$B72&lt;'1111'!$N$10),"x","")</f>
        <v/>
      </c>
      <c r="O72" s="91" t="str">
        <f>IF(AND($K72=$M$7,$B72&lt;'1111'!$N$10),"x","")</f>
        <v/>
      </c>
      <c r="P72" s="91" t="str">
        <f>IF(AND($B72&gt;='1121'!$N$9,$B72&lt;='1121'!$O$9,OR($J72=$P$7,$K72=$P$7)),"x","")</f>
        <v/>
      </c>
      <c r="Q72" s="91" t="str">
        <f>IF(AND($J72=$P$7,$B72&lt;'1121'!$N$9),"x","")</f>
        <v/>
      </c>
      <c r="R72" s="91" t="str">
        <f>IF(AND($K72=$P$7,$B72&lt;'1121'!$N$9),"x","")</f>
        <v/>
      </c>
      <c r="S72" s="91" t="str">
        <f>IF(OR(TH!J72=TH!$S$7,K72=TH!$S$7),"x","")</f>
        <v/>
      </c>
      <c r="T72" s="91" t="str">
        <f t="shared" si="4"/>
        <v>2</v>
      </c>
    </row>
    <row r="73" spans="1:20" s="78" customFormat="1" ht="15.75" customHeight="1">
      <c r="A73" s="157" t="str">
        <f>IF(B73&lt;&gt;"",IF(AND(B73&gt;=_TM1,B73&lt;=_TM2,OR(TH!J73="1111",TH!K73="1111")),TH!D73,""),"")</f>
        <v/>
      </c>
      <c r="B73" s="63">
        <f t="shared" si="3"/>
        <v>5</v>
      </c>
      <c r="C73" s="64">
        <v>40690</v>
      </c>
      <c r="D73" s="64" t="s">
        <v>8</v>
      </c>
      <c r="E73" s="64">
        <v>40690</v>
      </c>
      <c r="F73" s="67" t="s">
        <v>255</v>
      </c>
      <c r="G73" s="357"/>
      <c r="H73" s="81"/>
      <c r="I73" s="65">
        <v>2500</v>
      </c>
      <c r="J73" s="66" t="s">
        <v>118</v>
      </c>
      <c r="K73" s="66" t="s">
        <v>32</v>
      </c>
      <c r="L73" s="91" t="str">
        <f>IF(AND('331-CT'!$E$7=TH!H73,OR(J73="331",K73="331")),"x","")</f>
        <v/>
      </c>
      <c r="M73" s="91" t="str">
        <f>IF(AND($B73&gt;='1111'!$N$10,$B73&lt;='1111'!$O$10,OR($J73=$M$7,$K73=$M$7)),"x","")</f>
        <v/>
      </c>
      <c r="N73" s="91" t="str">
        <f>IF(AND($J73=$M$7,$B73&lt;'1111'!$N$10),"x","")</f>
        <v/>
      </c>
      <c r="O73" s="91" t="str">
        <f>IF(AND($K73=$M$7,$B73&lt;'1111'!$N$10),"x","")</f>
        <v/>
      </c>
      <c r="P73" s="91" t="str">
        <f>IF(AND($B73&gt;='1121'!$N$9,$B73&lt;='1121'!$O$9,OR($J73=$P$7,$K73=$P$7)),"x","")</f>
        <v/>
      </c>
      <c r="Q73" s="91" t="str">
        <f>IF(AND($J73=$P$7,$B73&lt;'1121'!$N$9),"x","")</f>
        <v/>
      </c>
      <c r="R73" s="91" t="str">
        <f>IF(AND($K73=$P$7,$B73&lt;'1121'!$N$9),"x","")</f>
        <v/>
      </c>
      <c r="S73" s="91" t="str">
        <f>IF(OR(TH!J73=TH!$S$7,K73=TH!$S$7),"x","")</f>
        <v/>
      </c>
      <c r="T73" s="91" t="str">
        <f t="shared" si="4"/>
        <v>2</v>
      </c>
    </row>
    <row r="74" spans="1:20" s="78" customFormat="1" ht="15.75" customHeight="1">
      <c r="A74" s="157" t="str">
        <f>IF(B74&lt;&gt;"",IF(AND(B74&gt;=_TM1,B74&lt;=_TM2,OR(TH!J74="1111",TH!K74="1111")),TH!D74,""),"")</f>
        <v/>
      </c>
      <c r="B74" s="63">
        <f t="shared" si="3"/>
        <v>5</v>
      </c>
      <c r="C74" s="76">
        <v>40690</v>
      </c>
      <c r="D74" s="64" t="s">
        <v>8</v>
      </c>
      <c r="E74" s="64">
        <v>40690</v>
      </c>
      <c r="F74" s="67" t="s">
        <v>263</v>
      </c>
      <c r="G74" s="347"/>
      <c r="H74" s="81"/>
      <c r="I74" s="65">
        <v>14907</v>
      </c>
      <c r="J74" s="66" t="s">
        <v>118</v>
      </c>
      <c r="K74" s="66" t="s">
        <v>32</v>
      </c>
      <c r="L74" s="91" t="str">
        <f>IF(AND('331-CT'!$E$7=TH!H74,OR(J74="331",K74="331")),"x","")</f>
        <v/>
      </c>
      <c r="M74" s="91" t="str">
        <f>IF(AND($B74&gt;='1111'!$N$10,$B74&lt;='1111'!$O$10,OR($J74=$M$7,$K74=$M$7)),"x","")</f>
        <v/>
      </c>
      <c r="N74" s="91" t="str">
        <f>IF(AND($J74=$M$7,$B74&lt;'1111'!$N$10),"x","")</f>
        <v/>
      </c>
      <c r="O74" s="91" t="str">
        <f>IF(AND($K74=$M$7,$B74&lt;'1111'!$N$10),"x","")</f>
        <v/>
      </c>
      <c r="P74" s="91" t="str">
        <f>IF(AND($B74&gt;='1121'!$N$9,$B74&lt;='1121'!$O$9,OR($J74=$P$7,$K74=$P$7)),"x","")</f>
        <v/>
      </c>
      <c r="Q74" s="91" t="str">
        <f>IF(AND($J74=$P$7,$B74&lt;'1121'!$N$9),"x","")</f>
        <v/>
      </c>
      <c r="R74" s="91" t="str">
        <f>IF(AND($K74=$P$7,$B74&lt;'1121'!$N$9),"x","")</f>
        <v/>
      </c>
      <c r="S74" s="91" t="str">
        <f>IF(OR(TH!J74=TH!$S$7,K74=TH!$S$7),"x","")</f>
        <v/>
      </c>
      <c r="T74" s="91" t="str">
        <f t="shared" si="4"/>
        <v>2</v>
      </c>
    </row>
    <row r="75" spans="1:20" s="78" customFormat="1" ht="15.75" customHeight="1">
      <c r="A75" s="157" t="str">
        <f>IF(B75&lt;&gt;"",IF(AND(B75&gt;=_TM1,B75&lt;=_TM2,OR(TH!J75="1111",TH!K75="1111")),TH!D75,""),"")</f>
        <v/>
      </c>
      <c r="B75" s="63">
        <f t="shared" si="3"/>
        <v>5</v>
      </c>
      <c r="C75" s="64">
        <v>40690</v>
      </c>
      <c r="D75" s="64" t="s">
        <v>8</v>
      </c>
      <c r="E75" s="64">
        <v>40690</v>
      </c>
      <c r="F75" s="67" t="s">
        <v>269</v>
      </c>
      <c r="G75" s="347"/>
      <c r="H75" s="81"/>
      <c r="I75" s="65">
        <v>1491</v>
      </c>
      <c r="J75" s="66" t="s">
        <v>118</v>
      </c>
      <c r="K75" s="66" t="s">
        <v>32</v>
      </c>
      <c r="L75" s="91" t="str">
        <f>IF(AND('331-CT'!$E$7=TH!H75,OR(J75="331",K75="331")),"x","")</f>
        <v/>
      </c>
      <c r="M75" s="91" t="str">
        <f>IF(AND($B75&gt;='1111'!$N$10,$B75&lt;='1111'!$O$10,OR($J75=$M$7,$K75=$M$7)),"x","")</f>
        <v/>
      </c>
      <c r="N75" s="91" t="str">
        <f>IF(AND($J75=$M$7,$B75&lt;'1111'!$N$10),"x","")</f>
        <v/>
      </c>
      <c r="O75" s="91" t="str">
        <f>IF(AND($K75=$M$7,$B75&lt;'1111'!$N$10),"x","")</f>
        <v/>
      </c>
      <c r="P75" s="91" t="str">
        <f>IF(AND($B75&gt;='1121'!$N$9,$B75&lt;='1121'!$O$9,OR($J75=$P$7,$K75=$P$7)),"x","")</f>
        <v/>
      </c>
      <c r="Q75" s="91" t="str">
        <f>IF(AND($J75=$P$7,$B75&lt;'1121'!$N$9),"x","")</f>
        <v/>
      </c>
      <c r="R75" s="91" t="str">
        <f>IF(AND($K75=$P$7,$B75&lt;'1121'!$N$9),"x","")</f>
        <v/>
      </c>
      <c r="S75" s="91" t="str">
        <f>IF(OR(TH!J75=TH!$S$7,K75=TH!$S$7),"x","")</f>
        <v/>
      </c>
      <c r="T75" s="91" t="str">
        <f t="shared" si="4"/>
        <v>2</v>
      </c>
    </row>
    <row r="76" spans="1:20" s="78" customFormat="1" ht="15.75" customHeight="1">
      <c r="A76" s="157" t="str">
        <f>IF(B76&lt;&gt;"",IF(AND(B76&gt;=_TM1,B76&lt;=_TM2,OR(TH!J76="1111",TH!K76="1111")),TH!D76,""),"")</f>
        <v/>
      </c>
      <c r="B76" s="63">
        <f t="shared" si="3"/>
        <v>6</v>
      </c>
      <c r="C76" s="64">
        <v>40710</v>
      </c>
      <c r="D76" s="64" t="s">
        <v>8</v>
      </c>
      <c r="E76" s="64">
        <v>40710</v>
      </c>
      <c r="F76" s="67" t="s">
        <v>265</v>
      </c>
      <c r="G76" s="347"/>
      <c r="H76" s="81"/>
      <c r="I76" s="65">
        <v>5500</v>
      </c>
      <c r="J76" s="66" t="s">
        <v>118</v>
      </c>
      <c r="K76" s="66" t="s">
        <v>32</v>
      </c>
      <c r="L76" s="91" t="str">
        <f>IF(AND('331-CT'!$E$7=TH!H76,OR(J76="331",K76="331")),"x","")</f>
        <v/>
      </c>
      <c r="M76" s="91" t="str">
        <f>IF(AND($B76&gt;='1111'!$N$10,$B76&lt;='1111'!$O$10,OR($J76=$M$7,$K76=$M$7)),"x","")</f>
        <v/>
      </c>
      <c r="N76" s="91" t="str">
        <f>IF(AND($J76=$M$7,$B76&lt;'1111'!$N$10),"x","")</f>
        <v/>
      </c>
      <c r="O76" s="91" t="str">
        <f>IF(AND($K76=$M$7,$B76&lt;'1111'!$N$10),"x","")</f>
        <v/>
      </c>
      <c r="P76" s="91" t="str">
        <f>IF(AND($B76&gt;='1121'!$N$9,$B76&lt;='1121'!$O$9,OR($J76=$P$7,$K76=$P$7)),"x","")</f>
        <v/>
      </c>
      <c r="Q76" s="91" t="str">
        <f>IF(AND($J76=$P$7,$B76&lt;'1121'!$N$9),"x","")</f>
        <v/>
      </c>
      <c r="R76" s="91" t="str">
        <f>IF(AND($K76=$P$7,$B76&lt;'1121'!$N$9),"x","")</f>
        <v/>
      </c>
      <c r="S76" s="91" t="str">
        <f>IF(OR(TH!J76=TH!$S$7,K76=TH!$S$7),"x","")</f>
        <v/>
      </c>
      <c r="T76" s="91" t="str">
        <f t="shared" si="4"/>
        <v>2</v>
      </c>
    </row>
    <row r="77" spans="1:20" s="78" customFormat="1" ht="15.75" customHeight="1">
      <c r="A77" s="157" t="str">
        <f>IF(B77&lt;&gt;"",IF(AND(B77&gt;=_TM1,B77&lt;=_TM2,OR(TH!J77="1111",TH!K77="1111")),TH!D77,""),"")</f>
        <v/>
      </c>
      <c r="B77" s="63">
        <f t="shared" si="3"/>
        <v>6</v>
      </c>
      <c r="C77" s="64">
        <v>40711</v>
      </c>
      <c r="D77" s="64" t="s">
        <v>8</v>
      </c>
      <c r="E77" s="64">
        <v>40711</v>
      </c>
      <c r="F77" s="67" t="s">
        <v>265</v>
      </c>
      <c r="G77" s="357"/>
      <c r="H77" s="81"/>
      <c r="I77" s="65">
        <v>5500</v>
      </c>
      <c r="J77" s="66" t="s">
        <v>118</v>
      </c>
      <c r="K77" s="66" t="s">
        <v>32</v>
      </c>
      <c r="L77" s="91" t="str">
        <f>IF(AND('331-CT'!$E$7=TH!H77,OR(J77="331",K77="331")),"x","")</f>
        <v/>
      </c>
      <c r="M77" s="91" t="str">
        <f>IF(AND($B77&gt;='1111'!$N$10,$B77&lt;='1111'!$O$10,OR($J77=$M$7,$K77=$M$7)),"x","")</f>
        <v/>
      </c>
      <c r="N77" s="91" t="str">
        <f>IF(AND($J77=$M$7,$B77&lt;'1111'!$N$10),"x","")</f>
        <v/>
      </c>
      <c r="O77" s="91" t="str">
        <f>IF(AND($K77=$M$7,$B77&lt;'1111'!$N$10),"x","")</f>
        <v/>
      </c>
      <c r="P77" s="91" t="str">
        <f>IF(AND($B77&gt;='1121'!$N$9,$B77&lt;='1121'!$O$9,OR($J77=$P$7,$K77=$P$7)),"x","")</f>
        <v/>
      </c>
      <c r="Q77" s="91" t="str">
        <f>IF(AND($J77=$P$7,$B77&lt;'1121'!$N$9),"x","")</f>
        <v/>
      </c>
      <c r="R77" s="91" t="str">
        <f>IF(AND($K77=$P$7,$B77&lt;'1121'!$N$9),"x","")</f>
        <v/>
      </c>
      <c r="S77" s="91" t="str">
        <f>IF(OR(TH!J77=TH!$S$7,K77=TH!$S$7),"x","")</f>
        <v/>
      </c>
      <c r="T77" s="91" t="str">
        <f t="shared" si="4"/>
        <v>2</v>
      </c>
    </row>
    <row r="78" spans="1:20" s="78" customFormat="1" ht="15.75" customHeight="1">
      <c r="A78" s="157" t="str">
        <f>IF(B78&lt;&gt;"",IF(AND(B78&gt;=_TM1,B78&lt;=_TM2,OR(TH!J78="1111",TH!K78="1111")),TH!D78,""),"")</f>
        <v/>
      </c>
      <c r="B78" s="63">
        <f t="shared" si="3"/>
        <v>6</v>
      </c>
      <c r="C78" s="64">
        <v>40724</v>
      </c>
      <c r="D78" s="64" t="s">
        <v>55</v>
      </c>
      <c r="E78" s="64">
        <v>40724</v>
      </c>
      <c r="F78" s="67" t="s">
        <v>162</v>
      </c>
      <c r="G78" s="357"/>
      <c r="H78" s="81" t="s">
        <v>279</v>
      </c>
      <c r="I78" s="65">
        <v>100000000</v>
      </c>
      <c r="J78" s="66" t="s">
        <v>32</v>
      </c>
      <c r="K78" s="66" t="s">
        <v>79</v>
      </c>
      <c r="L78" s="91" t="str">
        <f>IF(AND('331-CT'!$E$7=TH!H78,OR(J78="331",K78="331")),"x","")</f>
        <v/>
      </c>
      <c r="M78" s="91" t="str">
        <f>IF(AND($B78&gt;='1111'!$N$10,$B78&lt;='1111'!$O$10,OR($J78=$M$7,$K78=$M$7)),"x","")</f>
        <v/>
      </c>
      <c r="N78" s="91" t="str">
        <f>IF(AND($J78=$M$7,$B78&lt;'1111'!$N$10),"x","")</f>
        <v/>
      </c>
      <c r="O78" s="91" t="str">
        <f>IF(AND($K78=$M$7,$B78&lt;'1111'!$N$10),"x","")</f>
        <v/>
      </c>
      <c r="P78" s="91" t="str">
        <f>IF(AND($B78&gt;='1121'!$N$9,$B78&lt;='1121'!$O$9,OR($J78=$P$7,$K78=$P$7)),"x","")</f>
        <v/>
      </c>
      <c r="Q78" s="91" t="str">
        <f>IF(AND($J78=$P$7,$B78&lt;'1121'!$N$9),"x","")</f>
        <v/>
      </c>
      <c r="R78" s="91" t="str">
        <f>IF(AND($K78=$P$7,$B78&lt;'1121'!$N$9),"x","")</f>
        <v/>
      </c>
      <c r="S78" s="91" t="str">
        <f>IF(OR(TH!J78=TH!$S$7,K78=TH!$S$7),"x","")</f>
        <v/>
      </c>
      <c r="T78" s="91" t="str">
        <f t="shared" si="4"/>
        <v>2</v>
      </c>
    </row>
    <row r="79" spans="1:20" s="78" customFormat="1" ht="15.75" customHeight="1">
      <c r="A79" s="157" t="str">
        <f>IF(B79&lt;&gt;"",IF(AND(B79&gt;=_TM1,B79&lt;=_TM2,OR(TH!J79="1111",TH!K79="1111")),TH!D79,""),"")</f>
        <v/>
      </c>
      <c r="B79" s="63">
        <f t="shared" ref="B79:B112" si="5">IF(C79&lt;&gt;"",MONTH(C79),"")</f>
        <v>6</v>
      </c>
      <c r="C79" s="64">
        <v>40724</v>
      </c>
      <c r="D79" s="64" t="s">
        <v>8</v>
      </c>
      <c r="E79" s="64">
        <v>40724</v>
      </c>
      <c r="F79" s="67" t="s">
        <v>254</v>
      </c>
      <c r="G79" s="357"/>
      <c r="H79" s="81" t="s">
        <v>53</v>
      </c>
      <c r="I79" s="65">
        <v>100000000</v>
      </c>
      <c r="J79" s="66" t="s">
        <v>9</v>
      </c>
      <c r="K79" s="66" t="s">
        <v>32</v>
      </c>
      <c r="L79" s="91" t="str">
        <f>IF(AND('331-CT'!$E$7=TH!H79,OR(J79="331",K79="331")),"x","")</f>
        <v/>
      </c>
      <c r="M79" s="91" t="str">
        <f>IF(AND($B79&gt;='1111'!$N$10,$B79&lt;='1111'!$O$10,OR($J79=$M$7,$K79=$M$7)),"x","")</f>
        <v/>
      </c>
      <c r="N79" s="91" t="str">
        <f>IF(AND($J79=$M$7,$B79&lt;'1111'!$N$10),"x","")</f>
        <v/>
      </c>
      <c r="O79" s="91" t="str">
        <f>IF(AND($K79=$M$7,$B79&lt;'1111'!$N$10),"x","")</f>
        <v/>
      </c>
      <c r="P79" s="91" t="str">
        <f>IF(AND($B79&gt;='1121'!$N$9,$B79&lt;='1121'!$O$9,OR($J79=$P$7,$K79=$P$7)),"x","")</f>
        <v/>
      </c>
      <c r="Q79" s="91" t="str">
        <f>IF(AND($J79=$P$7,$B79&lt;'1121'!$N$9),"x","")</f>
        <v/>
      </c>
      <c r="R79" s="91" t="str">
        <f>IF(AND($K79=$P$7,$B79&lt;'1121'!$N$9),"x","")</f>
        <v/>
      </c>
      <c r="S79" s="91" t="str">
        <f>IF(OR(TH!J79=TH!$S$7,K79=TH!$S$7),"x","")</f>
        <v/>
      </c>
      <c r="T79" s="91" t="str">
        <f t="shared" si="4"/>
        <v>2</v>
      </c>
    </row>
    <row r="80" spans="1:20" s="78" customFormat="1" ht="15.75" customHeight="1">
      <c r="A80" s="157" t="str">
        <f>IF(B80&lt;&gt;"",IF(AND(B80&gt;=_TM1,B80&lt;=_TM2,OR(TH!J80="1111",TH!K80="1111")),TH!D80,""),"")</f>
        <v/>
      </c>
      <c r="B80" s="63">
        <f t="shared" si="5"/>
        <v>6</v>
      </c>
      <c r="C80" s="64">
        <v>40724</v>
      </c>
      <c r="D80" s="64" t="s">
        <v>8</v>
      </c>
      <c r="E80" s="64">
        <v>40724</v>
      </c>
      <c r="F80" s="67" t="s">
        <v>21</v>
      </c>
      <c r="G80" s="357"/>
      <c r="H80" s="81"/>
      <c r="I80" s="65">
        <v>50000</v>
      </c>
      <c r="J80" s="66" t="s">
        <v>118</v>
      </c>
      <c r="K80" s="66" t="s">
        <v>32</v>
      </c>
      <c r="L80" s="91" t="str">
        <f>IF(AND('331-CT'!$E$7=TH!H80,OR(J80="331",K80="331")),"x","")</f>
        <v/>
      </c>
      <c r="M80" s="91" t="str">
        <f>IF(AND($B80&gt;='1111'!$N$10,$B80&lt;='1111'!$O$10,OR($J80=$M$7,$K80=$M$7)),"x","")</f>
        <v/>
      </c>
      <c r="N80" s="91" t="str">
        <f>IF(AND($J80=$M$7,$B80&lt;'1111'!$N$10),"x","")</f>
        <v/>
      </c>
      <c r="O80" s="91" t="str">
        <f>IF(AND($K80=$M$7,$B80&lt;'1111'!$N$10),"x","")</f>
        <v/>
      </c>
      <c r="P80" s="91" t="str">
        <f>IF(AND($B80&gt;='1121'!$N$9,$B80&lt;='1121'!$O$9,OR($J80=$P$7,$K80=$P$7)),"x","")</f>
        <v/>
      </c>
      <c r="Q80" s="91" t="str">
        <f>IF(AND($J80=$P$7,$B80&lt;'1121'!$N$9),"x","")</f>
        <v/>
      </c>
      <c r="R80" s="91" t="str">
        <f>IF(AND($K80=$P$7,$B80&lt;'1121'!$N$9),"x","")</f>
        <v/>
      </c>
      <c r="S80" s="91" t="str">
        <f>IF(OR(TH!J80=TH!$S$7,K80=TH!$S$7),"x","")</f>
        <v/>
      </c>
      <c r="T80" s="91" t="str">
        <f t="shared" si="4"/>
        <v>2</v>
      </c>
    </row>
    <row r="81" spans="1:20" s="78" customFormat="1" ht="15.75" customHeight="1">
      <c r="A81" s="157" t="str">
        <f>IF(B81&lt;&gt;"",IF(AND(B81&gt;=_TM1,B81&lt;=_TM2,OR(TH!J81="1111",TH!K81="1111")),TH!D81,""),"")</f>
        <v/>
      </c>
      <c r="B81" s="63">
        <f t="shared" si="5"/>
        <v>6</v>
      </c>
      <c r="C81" s="76">
        <v>40724</v>
      </c>
      <c r="D81" s="64" t="s">
        <v>8</v>
      </c>
      <c r="E81" s="64">
        <v>40724</v>
      </c>
      <c r="F81" s="67" t="s">
        <v>255</v>
      </c>
      <c r="G81" s="347"/>
      <c r="H81" s="81"/>
      <c r="I81" s="65">
        <v>29923</v>
      </c>
      <c r="J81" s="66" t="s">
        <v>118</v>
      </c>
      <c r="K81" s="66" t="s">
        <v>32</v>
      </c>
      <c r="L81" s="91" t="str">
        <f>IF(AND('331-CT'!$E$7=TH!H81,OR(J81="331",K81="331")),"x","")</f>
        <v/>
      </c>
      <c r="M81" s="91" t="str">
        <f>IF(AND($B81&gt;='1111'!$N$10,$B81&lt;='1111'!$O$10,OR($J81=$M$7,$K81=$M$7)),"x","")</f>
        <v/>
      </c>
      <c r="N81" s="91" t="str">
        <f>IF(AND($J81=$M$7,$B81&lt;'1111'!$N$10),"x","")</f>
        <v/>
      </c>
      <c r="O81" s="91" t="str">
        <f>IF(AND($K81=$M$7,$B81&lt;'1111'!$N$10),"x","")</f>
        <v/>
      </c>
      <c r="P81" s="91" t="str">
        <f>IF(AND($B81&gt;='1121'!$N$9,$B81&lt;='1121'!$O$9,OR($J81=$P$7,$K81=$P$7)),"x","")</f>
        <v/>
      </c>
      <c r="Q81" s="91" t="str">
        <f>IF(AND($J81=$P$7,$B81&lt;'1121'!$N$9),"x","")</f>
        <v/>
      </c>
      <c r="R81" s="91" t="str">
        <f>IF(AND($K81=$P$7,$B81&lt;'1121'!$N$9),"x","")</f>
        <v/>
      </c>
      <c r="S81" s="91" t="str">
        <f>IF(OR(TH!J81=TH!$S$7,K81=TH!$S$7),"x","")</f>
        <v/>
      </c>
      <c r="T81" s="91" t="str">
        <f t="shared" si="4"/>
        <v>2</v>
      </c>
    </row>
    <row r="82" spans="1:20" s="78" customFormat="1" ht="15.75" customHeight="1">
      <c r="A82" s="157" t="str">
        <f>IF(B82&lt;&gt;"",IF(AND(B82&gt;=_TM1,B82&lt;=_TM2,OR(TH!J82="1111",TH!K82="1111")),TH!D82,""),"")</f>
        <v/>
      </c>
      <c r="B82" s="63">
        <f t="shared" si="5"/>
        <v>6</v>
      </c>
      <c r="C82" s="64">
        <v>40724</v>
      </c>
      <c r="D82" s="64" t="s">
        <v>8</v>
      </c>
      <c r="E82" s="64">
        <v>40724</v>
      </c>
      <c r="F82" s="67" t="s">
        <v>263</v>
      </c>
      <c r="G82" s="347"/>
      <c r="H82" s="81"/>
      <c r="I82" s="65">
        <v>5000</v>
      </c>
      <c r="J82" s="66" t="s">
        <v>118</v>
      </c>
      <c r="K82" s="66" t="s">
        <v>32</v>
      </c>
      <c r="L82" s="91" t="str">
        <f>IF(AND('331-CT'!$E$7=TH!H82,OR(J82="331",K82="331")),"x","")</f>
        <v/>
      </c>
      <c r="M82" s="91" t="str">
        <f>IF(AND($B82&gt;='1111'!$N$10,$B82&lt;='1111'!$O$10,OR($J82=$M$7,$K82=$M$7)),"x","")</f>
        <v/>
      </c>
      <c r="N82" s="91" t="str">
        <f>IF(AND($J82=$M$7,$B82&lt;'1111'!$N$10),"x","")</f>
        <v/>
      </c>
      <c r="O82" s="91" t="str">
        <f>IF(AND($K82=$M$7,$B82&lt;'1111'!$N$10),"x","")</f>
        <v/>
      </c>
      <c r="P82" s="91" t="str">
        <f>IF(AND($B82&gt;='1121'!$N$9,$B82&lt;='1121'!$O$9,OR($J82=$P$7,$K82=$P$7)),"x","")</f>
        <v/>
      </c>
      <c r="Q82" s="91" t="str">
        <f>IF(AND($J82=$P$7,$B82&lt;'1121'!$N$9),"x","")</f>
        <v/>
      </c>
      <c r="R82" s="91" t="str">
        <f>IF(AND($K82=$P$7,$B82&lt;'1121'!$N$9),"x","")</f>
        <v/>
      </c>
      <c r="S82" s="91" t="str">
        <f>IF(OR(TH!J82=TH!$S$7,K82=TH!$S$7),"x","")</f>
        <v/>
      </c>
      <c r="T82" s="91" t="str">
        <f t="shared" ref="T82:T112" si="6">IF(AND(1&lt;=$B82,$B82&lt;=3),"1",IF(AND(4&lt;=$B82,$B82&lt;=6),"2",IF(AND(7&lt;=$B82,$B82&lt;=9),"3",IF(AND(10&lt;=$B82,$B82&lt;=12),"4",""))))</f>
        <v>2</v>
      </c>
    </row>
    <row r="83" spans="1:20" s="78" customFormat="1" ht="15.75" customHeight="1">
      <c r="A83" s="157" t="str">
        <f>IF(B83&lt;&gt;"",IF(AND(B83&gt;=_TM1,B83&lt;=_TM2,OR(TH!J83="1111",TH!K83="1111")),TH!D83,""),"")</f>
        <v/>
      </c>
      <c r="B83" s="63">
        <f t="shared" si="5"/>
        <v>6</v>
      </c>
      <c r="C83" s="64">
        <v>40724</v>
      </c>
      <c r="D83" s="64" t="s">
        <v>8</v>
      </c>
      <c r="E83" s="64">
        <v>40724</v>
      </c>
      <c r="F83" s="67" t="s">
        <v>269</v>
      </c>
      <c r="G83" s="347"/>
      <c r="H83" s="81"/>
      <c r="I83" s="65">
        <v>2992</v>
      </c>
      <c r="J83" s="66" t="s">
        <v>118</v>
      </c>
      <c r="K83" s="66" t="s">
        <v>32</v>
      </c>
      <c r="L83" s="91" t="str">
        <f>IF(AND('331-CT'!$E$7=TH!H83,OR(J83="331",K83="331")),"x","")</f>
        <v/>
      </c>
      <c r="M83" s="91" t="str">
        <f>IF(AND($B83&gt;='1111'!$N$10,$B83&lt;='1111'!$O$10,OR($J83=$M$7,$K83=$M$7)),"x","")</f>
        <v/>
      </c>
      <c r="N83" s="91" t="str">
        <f>IF(AND($J83=$M$7,$B83&lt;'1111'!$N$10),"x","")</f>
        <v/>
      </c>
      <c r="O83" s="91" t="str">
        <f>IF(AND($K83=$M$7,$B83&lt;'1111'!$N$10),"x","")</f>
        <v/>
      </c>
      <c r="P83" s="91" t="str">
        <f>IF(AND($B83&gt;='1121'!$N$9,$B83&lt;='1121'!$O$9,OR($J83=$P$7,$K83=$P$7)),"x","")</f>
        <v/>
      </c>
      <c r="Q83" s="91" t="str">
        <f>IF(AND($J83=$P$7,$B83&lt;'1121'!$N$9),"x","")</f>
        <v/>
      </c>
      <c r="R83" s="91" t="str">
        <f>IF(AND($K83=$P$7,$B83&lt;'1121'!$N$9),"x","")</f>
        <v/>
      </c>
      <c r="S83" s="91" t="str">
        <f>IF(OR(TH!J83=TH!$S$7,K83=TH!$S$7),"x","")</f>
        <v/>
      </c>
      <c r="T83" s="91" t="str">
        <f t="shared" si="6"/>
        <v>2</v>
      </c>
    </row>
    <row r="84" spans="1:20" s="78" customFormat="1" ht="15.75" customHeight="1">
      <c r="A84" s="157" t="str">
        <f>IF(B84&lt;&gt;"",IF(AND(B84&gt;=_TM1,B84&lt;=_TM2,OR(TH!J84="1111",TH!K84="1111")),TH!D84,""),"")</f>
        <v/>
      </c>
      <c r="B84" s="63">
        <f t="shared" si="5"/>
        <v>7</v>
      </c>
      <c r="C84" s="64">
        <v>40740</v>
      </c>
      <c r="D84" s="64" t="s">
        <v>8</v>
      </c>
      <c r="E84" s="64">
        <v>40740</v>
      </c>
      <c r="F84" s="67" t="s">
        <v>265</v>
      </c>
      <c r="G84" s="357"/>
      <c r="H84" s="81"/>
      <c r="I84" s="65">
        <v>5500</v>
      </c>
      <c r="J84" s="66" t="s">
        <v>118</v>
      </c>
      <c r="K84" s="66" t="s">
        <v>32</v>
      </c>
      <c r="L84" s="91" t="str">
        <f>IF(AND('331-CT'!$E$7=TH!H84,OR(J84="331",K84="331")),"x","")</f>
        <v/>
      </c>
      <c r="M84" s="91" t="str">
        <f>IF(AND($B84&gt;='1111'!$N$10,$B84&lt;='1111'!$O$10,OR($J84=$M$7,$K84=$M$7)),"x","")</f>
        <v/>
      </c>
      <c r="N84" s="91" t="str">
        <f>IF(AND($J84=$M$7,$B84&lt;'1111'!$N$10),"x","")</f>
        <v/>
      </c>
      <c r="O84" s="91" t="str">
        <f>IF(AND($K84=$M$7,$B84&lt;'1111'!$N$10),"x","")</f>
        <v/>
      </c>
      <c r="P84" s="91" t="str">
        <f>IF(AND($B84&gt;='1121'!$N$9,$B84&lt;='1121'!$O$9,OR($J84=$P$7,$K84=$P$7)),"x","")</f>
        <v/>
      </c>
      <c r="Q84" s="91" t="str">
        <f>IF(AND($J84=$P$7,$B84&lt;'1121'!$N$9),"x","")</f>
        <v/>
      </c>
      <c r="R84" s="91" t="str">
        <f>IF(AND($K84=$P$7,$B84&lt;'1121'!$N$9),"x","")</f>
        <v/>
      </c>
      <c r="S84" s="91" t="str">
        <f>IF(OR(TH!J84=TH!$S$7,K84=TH!$S$7),"x","")</f>
        <v/>
      </c>
      <c r="T84" s="91" t="str">
        <f t="shared" si="6"/>
        <v>3</v>
      </c>
    </row>
    <row r="85" spans="1:20" s="78" customFormat="1" ht="15.75" customHeight="1">
      <c r="A85" s="157" t="str">
        <f>IF(B85&lt;&gt;"",IF(AND(B85&gt;=_TM1,B85&lt;=_TM2,OR(TH!J85="1111",TH!K85="1111")),TH!D85,""),"")</f>
        <v/>
      </c>
      <c r="B85" s="63">
        <f t="shared" si="5"/>
        <v>7</v>
      </c>
      <c r="C85" s="64">
        <v>40742</v>
      </c>
      <c r="D85" s="64" t="s">
        <v>8</v>
      </c>
      <c r="E85" s="64">
        <v>40742</v>
      </c>
      <c r="F85" s="67" t="s">
        <v>265</v>
      </c>
      <c r="G85" s="357"/>
      <c r="H85" s="81"/>
      <c r="I85" s="65">
        <v>5500</v>
      </c>
      <c r="J85" s="66" t="s">
        <v>118</v>
      </c>
      <c r="K85" s="66" t="s">
        <v>32</v>
      </c>
      <c r="L85" s="91" t="str">
        <f>IF(AND('331-CT'!$E$7=TH!H85,OR(J85="331",K85="331")),"x","")</f>
        <v/>
      </c>
      <c r="M85" s="91" t="str">
        <f>IF(AND($B85&gt;='1111'!$N$10,$B85&lt;='1111'!$O$10,OR($J85=$M$7,$K85=$M$7)),"x","")</f>
        <v/>
      </c>
      <c r="N85" s="91" t="str">
        <f>IF(AND($J85=$M$7,$B85&lt;'1111'!$N$10),"x","")</f>
        <v/>
      </c>
      <c r="O85" s="91" t="str">
        <f>IF(AND($K85=$M$7,$B85&lt;'1111'!$N$10),"x","")</f>
        <v/>
      </c>
      <c r="P85" s="91" t="str">
        <f>IF(AND($B85&gt;='1121'!$N$9,$B85&lt;='1121'!$O$9,OR($J85=$P$7,$K85=$P$7)),"x","")</f>
        <v/>
      </c>
      <c r="Q85" s="91" t="str">
        <f>IF(AND($J85=$P$7,$B85&lt;'1121'!$N$9),"x","")</f>
        <v/>
      </c>
      <c r="R85" s="91" t="str">
        <f>IF(AND($K85=$P$7,$B85&lt;'1121'!$N$9),"x","")</f>
        <v/>
      </c>
      <c r="S85" s="91" t="str">
        <f>IF(OR(TH!J85=TH!$S$7,K85=TH!$S$7),"x","")</f>
        <v/>
      </c>
      <c r="T85" s="91" t="str">
        <f t="shared" si="6"/>
        <v>3</v>
      </c>
    </row>
    <row r="86" spans="1:20" s="78" customFormat="1" ht="15.75" customHeight="1">
      <c r="A86" s="157" t="str">
        <f>IF(B86&lt;&gt;"",IF(AND(B86&gt;=_TM1,B86&lt;=_TM2,OR(TH!J86="1111",TH!K86="1111")),TH!D86,""),"")</f>
        <v/>
      </c>
      <c r="B86" s="63">
        <f t="shared" si="5"/>
        <v>8</v>
      </c>
      <c r="C86" s="64">
        <v>40771</v>
      </c>
      <c r="D86" s="64" t="s">
        <v>8</v>
      </c>
      <c r="E86" s="64">
        <v>40771</v>
      </c>
      <c r="F86" s="67" t="s">
        <v>265</v>
      </c>
      <c r="G86" s="347"/>
      <c r="H86" s="81"/>
      <c r="I86" s="65">
        <v>5500</v>
      </c>
      <c r="J86" s="66" t="s">
        <v>118</v>
      </c>
      <c r="K86" s="66" t="s">
        <v>32</v>
      </c>
      <c r="L86" s="91" t="str">
        <f>IF(AND('331-CT'!$E$7=TH!H86,OR(J86="331",K86="331")),"x","")</f>
        <v/>
      </c>
      <c r="M86" s="91" t="str">
        <f>IF(AND($B86&gt;='1111'!$N$10,$B86&lt;='1111'!$O$10,OR($J86=$M$7,$K86=$M$7)),"x","")</f>
        <v/>
      </c>
      <c r="N86" s="91" t="str">
        <f>IF(AND($J86=$M$7,$B86&lt;'1111'!$N$10),"x","")</f>
        <v/>
      </c>
      <c r="O86" s="91" t="str">
        <f>IF(AND($K86=$M$7,$B86&lt;'1111'!$N$10),"x","")</f>
        <v/>
      </c>
      <c r="P86" s="91" t="str">
        <f>IF(AND($B86&gt;='1121'!$N$9,$B86&lt;='1121'!$O$9,OR($J86=$P$7,$K86=$P$7)),"x","")</f>
        <v/>
      </c>
      <c r="Q86" s="91" t="str">
        <f>IF(AND($J86=$P$7,$B86&lt;'1121'!$N$9),"x","")</f>
        <v/>
      </c>
      <c r="R86" s="91" t="str">
        <f>IF(AND($K86=$P$7,$B86&lt;'1121'!$N$9),"x","")</f>
        <v/>
      </c>
      <c r="S86" s="91" t="str">
        <f>IF(OR(TH!J86=TH!$S$7,K86=TH!$S$7),"x","")</f>
        <v/>
      </c>
      <c r="T86" s="91" t="str">
        <f t="shared" si="6"/>
        <v>3</v>
      </c>
    </row>
    <row r="87" spans="1:20" s="92" customFormat="1" ht="15.75" customHeight="1">
      <c r="A87" s="157" t="str">
        <f>IF(B87&lt;&gt;"",IF(AND(B87&gt;=_TM1,B87&lt;=_TM2,OR(TH!J87="1111",TH!K87="1111")),TH!D87,""),"")</f>
        <v/>
      </c>
      <c r="B87" s="63">
        <f t="shared" si="5"/>
        <v>8</v>
      </c>
      <c r="C87" s="64">
        <v>40772</v>
      </c>
      <c r="D87" s="64" t="s">
        <v>8</v>
      </c>
      <c r="E87" s="64">
        <v>40772</v>
      </c>
      <c r="F87" s="67" t="s">
        <v>265</v>
      </c>
      <c r="G87" s="347"/>
      <c r="H87" s="81"/>
      <c r="I87" s="65">
        <v>5500</v>
      </c>
      <c r="J87" s="66" t="s">
        <v>118</v>
      </c>
      <c r="K87" s="66" t="s">
        <v>32</v>
      </c>
      <c r="L87" s="91" t="str">
        <f>IF(AND('331-CT'!$E$7=TH!H87,OR(J87="331",K87="331")),"x","")</f>
        <v/>
      </c>
      <c r="M87" s="91" t="str">
        <f>IF(AND($B87&gt;='1111'!$N$10,$B87&lt;='1111'!$O$10,OR($J87=$M$7,$K87=$M$7)),"x","")</f>
        <v/>
      </c>
      <c r="N87" s="91" t="str">
        <f>IF(AND($J87=$M$7,$B87&lt;'1111'!$N$10),"x","")</f>
        <v/>
      </c>
      <c r="O87" s="91" t="str">
        <f>IF(AND($K87=$M$7,$B87&lt;'1111'!$N$10),"x","")</f>
        <v/>
      </c>
      <c r="P87" s="91" t="str">
        <f>IF(AND($B87&gt;='1121'!$N$9,$B87&lt;='1121'!$O$9,OR($J87=$P$7,$K87=$P$7)),"x","")</f>
        <v/>
      </c>
      <c r="Q87" s="91" t="str">
        <f>IF(AND($J87=$P$7,$B87&lt;'1121'!$N$9),"x","")</f>
        <v/>
      </c>
      <c r="R87" s="91" t="str">
        <f>IF(AND($K87=$P$7,$B87&lt;'1121'!$N$9),"x","")</f>
        <v/>
      </c>
      <c r="S87" s="91" t="str">
        <f>IF(OR(TH!J87=TH!$S$7,K87=TH!$S$7),"x","")</f>
        <v/>
      </c>
      <c r="T87" s="91" t="str">
        <f t="shared" si="6"/>
        <v>3</v>
      </c>
    </row>
    <row r="88" spans="1:20" s="92" customFormat="1" ht="15.75" customHeight="1">
      <c r="A88" s="157" t="str">
        <f>IF(B88&lt;&gt;"",IF(AND(B88&gt;=_TM1,B88&lt;=_TM2,OR(TH!J88="1111",TH!K88="1111")),TH!D88,""),"")</f>
        <v/>
      </c>
      <c r="B88" s="63">
        <f t="shared" si="5"/>
        <v>9</v>
      </c>
      <c r="C88" s="64">
        <v>40802</v>
      </c>
      <c r="D88" s="64" t="s">
        <v>8</v>
      </c>
      <c r="E88" s="64">
        <v>40802</v>
      </c>
      <c r="F88" s="67" t="s">
        <v>26</v>
      </c>
      <c r="G88" s="347"/>
      <c r="H88" s="81"/>
      <c r="I88" s="65">
        <v>24000</v>
      </c>
      <c r="J88" s="66" t="s">
        <v>118</v>
      </c>
      <c r="K88" s="66" t="s">
        <v>32</v>
      </c>
      <c r="L88" s="91" t="str">
        <f>IF(AND('331-CT'!$E$7=TH!H88,OR(J88="331",K88="331")),"x","")</f>
        <v/>
      </c>
      <c r="M88" s="91" t="str">
        <f>IF(AND($B88&gt;='1111'!$N$10,$B88&lt;='1111'!$O$10,OR($J88=$M$7,$K88=$M$7)),"x","")</f>
        <v/>
      </c>
      <c r="N88" s="91" t="str">
        <f>IF(AND($J88=$M$7,$B88&lt;'1111'!$N$10),"x","")</f>
        <v/>
      </c>
      <c r="O88" s="91" t="str">
        <f>IF(AND($K88=$M$7,$B88&lt;'1111'!$N$10),"x","")</f>
        <v/>
      </c>
      <c r="P88" s="91" t="str">
        <f>IF(AND($B88&gt;='1121'!$N$9,$B88&lt;='1121'!$O$9,OR($J88=$P$7,$K88=$P$7)),"x","")</f>
        <v/>
      </c>
      <c r="Q88" s="91" t="str">
        <f>IF(AND($J88=$P$7,$B88&lt;'1121'!$N$9),"x","")</f>
        <v/>
      </c>
      <c r="R88" s="91" t="str">
        <f>IF(AND($K88=$P$7,$B88&lt;'1121'!$N$9),"x","")</f>
        <v/>
      </c>
      <c r="S88" s="91" t="str">
        <f>IF(OR(TH!J88=TH!$S$7,K88=TH!$S$7),"x","")</f>
        <v/>
      </c>
      <c r="T88" s="91" t="str">
        <f t="shared" si="6"/>
        <v>3</v>
      </c>
    </row>
    <row r="89" spans="1:20" s="78" customFormat="1" ht="15.75" customHeight="1">
      <c r="A89" s="157" t="str">
        <f>IF(B89&lt;&gt;"",IF(AND(B89&gt;=_TM1,B89&lt;=_TM2,OR(TH!J89="1111",TH!K89="1111")),TH!D89,""),"")</f>
        <v/>
      </c>
      <c r="B89" s="63">
        <f t="shared" si="5"/>
        <v>9</v>
      </c>
      <c r="C89" s="64">
        <v>40802</v>
      </c>
      <c r="D89" s="64" t="s">
        <v>8</v>
      </c>
      <c r="E89" s="64">
        <v>40802</v>
      </c>
      <c r="F89" s="67" t="s">
        <v>270</v>
      </c>
      <c r="G89" s="347"/>
      <c r="H89" s="81"/>
      <c r="I89" s="65">
        <v>2400</v>
      </c>
      <c r="J89" s="66" t="s">
        <v>118</v>
      </c>
      <c r="K89" s="66" t="s">
        <v>32</v>
      </c>
      <c r="L89" s="91" t="str">
        <f>IF(AND('331-CT'!$E$7=TH!H89,OR(J89="331",K89="331")),"x","")</f>
        <v/>
      </c>
      <c r="M89" s="91" t="str">
        <f>IF(AND($B89&gt;='1111'!$N$10,$B89&lt;='1111'!$O$10,OR($J89=$M$7,$K89=$M$7)),"x","")</f>
        <v/>
      </c>
      <c r="N89" s="91" t="str">
        <f>IF(AND($J89=$M$7,$B89&lt;'1111'!$N$10),"x","")</f>
        <v/>
      </c>
      <c r="O89" s="91" t="str">
        <f>IF(AND($K89=$M$7,$B89&lt;'1111'!$N$10),"x","")</f>
        <v/>
      </c>
      <c r="P89" s="91" t="str">
        <f>IF(AND($B89&gt;='1121'!$N$9,$B89&lt;='1121'!$O$9,OR($J89=$P$7,$K89=$P$7)),"x","")</f>
        <v/>
      </c>
      <c r="Q89" s="91" t="str">
        <f>IF(AND($J89=$P$7,$B89&lt;'1121'!$N$9),"x","")</f>
        <v/>
      </c>
      <c r="R89" s="91" t="str">
        <f>IF(AND($K89=$P$7,$B89&lt;'1121'!$N$9),"x","")</f>
        <v/>
      </c>
      <c r="S89" s="91" t="str">
        <f>IF(OR(TH!J89=TH!$S$7,K89=TH!$S$7),"x","")</f>
        <v/>
      </c>
      <c r="T89" s="91" t="str">
        <f t="shared" si="6"/>
        <v>3</v>
      </c>
    </row>
    <row r="90" spans="1:20" s="78" customFormat="1" ht="15.75" customHeight="1">
      <c r="A90" s="157" t="str">
        <f>IF(B90&lt;&gt;"",IF(AND(B90&gt;=_TM1,B90&lt;=_TM2,OR(TH!J90="1111",TH!K90="1111")),TH!D90,""),"")</f>
        <v/>
      </c>
      <c r="B90" s="63">
        <f t="shared" si="5"/>
        <v>9</v>
      </c>
      <c r="C90" s="64">
        <v>40802</v>
      </c>
      <c r="D90" s="64" t="s">
        <v>8</v>
      </c>
      <c r="E90" s="64">
        <v>40802</v>
      </c>
      <c r="F90" s="67" t="s">
        <v>271</v>
      </c>
      <c r="G90" s="347"/>
      <c r="H90" s="81"/>
      <c r="I90" s="65">
        <v>24000</v>
      </c>
      <c r="J90" s="66" t="s">
        <v>118</v>
      </c>
      <c r="K90" s="66" t="s">
        <v>32</v>
      </c>
      <c r="L90" s="91" t="str">
        <f>IF(AND('331-CT'!$E$7=TH!H90,OR(J90="331",K90="331")),"x","")</f>
        <v/>
      </c>
      <c r="M90" s="91" t="str">
        <f>IF(AND($B90&gt;='1111'!$N$10,$B90&lt;='1111'!$O$10,OR($J90=$M$7,$K90=$M$7)),"x","")</f>
        <v/>
      </c>
      <c r="N90" s="91" t="str">
        <f>IF(AND($J90=$M$7,$B90&lt;'1111'!$N$10),"x","")</f>
        <v/>
      </c>
      <c r="O90" s="91" t="str">
        <f>IF(AND($K90=$M$7,$B90&lt;'1111'!$N$10),"x","")</f>
        <v/>
      </c>
      <c r="P90" s="91" t="str">
        <f>IF(AND($B90&gt;='1121'!$N$9,$B90&lt;='1121'!$O$9,OR($J90=$P$7,$K90=$P$7)),"x","")</f>
        <v/>
      </c>
      <c r="Q90" s="91" t="str">
        <f>IF(AND($J90=$P$7,$B90&lt;'1121'!$N$9),"x","")</f>
        <v/>
      </c>
      <c r="R90" s="91" t="str">
        <f>IF(AND($K90=$P$7,$B90&lt;'1121'!$N$9),"x","")</f>
        <v/>
      </c>
      <c r="S90" s="91" t="str">
        <f>IF(OR(TH!J90=TH!$S$7,K90=TH!$S$7),"x","")</f>
        <v/>
      </c>
      <c r="T90" s="91" t="str">
        <f t="shared" si="6"/>
        <v>3</v>
      </c>
    </row>
    <row r="91" spans="1:20" s="78" customFormat="1" ht="15.75" customHeight="1">
      <c r="A91" s="157" t="str">
        <f>IF(B91&lt;&gt;"",IF(AND(B91&gt;=_TM1,B91&lt;=_TM2,OR(TH!J91="1111",TH!K91="1111")),TH!D91,""),"")</f>
        <v/>
      </c>
      <c r="B91" s="63">
        <f t="shared" si="5"/>
        <v>9</v>
      </c>
      <c r="C91" s="64">
        <v>40802</v>
      </c>
      <c r="D91" s="64" t="s">
        <v>8</v>
      </c>
      <c r="E91" s="64">
        <v>40802</v>
      </c>
      <c r="F91" s="67" t="s">
        <v>270</v>
      </c>
      <c r="G91" s="347"/>
      <c r="H91" s="81"/>
      <c r="I91" s="65">
        <v>2400</v>
      </c>
      <c r="J91" s="66" t="s">
        <v>118</v>
      </c>
      <c r="K91" s="66" t="s">
        <v>32</v>
      </c>
      <c r="L91" s="91" t="str">
        <f>IF(AND('331-CT'!$E$7=TH!H91,OR(J91="331",K91="331")),"x","")</f>
        <v/>
      </c>
      <c r="M91" s="91" t="str">
        <f>IF(AND($B91&gt;='1111'!$N$10,$B91&lt;='1111'!$O$10,OR($J91=$M$7,$K91=$M$7)),"x","")</f>
        <v/>
      </c>
      <c r="N91" s="91" t="str">
        <f>IF(AND($J91=$M$7,$B91&lt;'1111'!$N$10),"x","")</f>
        <v/>
      </c>
      <c r="O91" s="91" t="str">
        <f>IF(AND($K91=$M$7,$B91&lt;'1111'!$N$10),"x","")</f>
        <v/>
      </c>
      <c r="P91" s="91" t="str">
        <f>IF(AND($B91&gt;='1121'!$N$9,$B91&lt;='1121'!$O$9,OR($J91=$P$7,$K91=$P$7)),"x","")</f>
        <v/>
      </c>
      <c r="Q91" s="91" t="str">
        <f>IF(AND($J91=$P$7,$B91&lt;'1121'!$N$9),"x","")</f>
        <v/>
      </c>
      <c r="R91" s="91" t="str">
        <f>IF(AND($K91=$P$7,$B91&lt;'1121'!$N$9),"x","")</f>
        <v/>
      </c>
      <c r="S91" s="91" t="str">
        <f>IF(OR(TH!J91=TH!$S$7,K91=TH!$S$7),"x","")</f>
        <v/>
      </c>
      <c r="T91" s="91" t="str">
        <f t="shared" si="6"/>
        <v>3</v>
      </c>
    </row>
    <row r="92" spans="1:20" s="78" customFormat="1" ht="15.75" customHeight="1">
      <c r="A92" s="157" t="str">
        <f>IF(B92&lt;&gt;"",IF(AND(B92&gt;=_TM1,B92&lt;=_TM2,OR(TH!J92="1111",TH!K92="1111")),TH!D92,""),"")</f>
        <v/>
      </c>
      <c r="B92" s="63">
        <f t="shared" si="5"/>
        <v>9</v>
      </c>
      <c r="C92" s="64">
        <v>40802</v>
      </c>
      <c r="D92" s="64" t="s">
        <v>8</v>
      </c>
      <c r="E92" s="64">
        <v>40802</v>
      </c>
      <c r="F92" s="70" t="s">
        <v>27</v>
      </c>
      <c r="G92" s="347"/>
      <c r="H92" s="81"/>
      <c r="I92" s="65">
        <v>24000</v>
      </c>
      <c r="J92" s="66" t="s">
        <v>118</v>
      </c>
      <c r="K92" s="66" t="s">
        <v>32</v>
      </c>
      <c r="L92" s="91" t="str">
        <f>IF(AND('331-CT'!$E$7=TH!H92,OR(J92="331",K92="331")),"x","")</f>
        <v/>
      </c>
      <c r="M92" s="91" t="str">
        <f>IF(AND($B92&gt;='1111'!$N$10,$B92&lt;='1111'!$O$10,OR($J92=$M$7,$K92=$M$7)),"x","")</f>
        <v/>
      </c>
      <c r="N92" s="91" t="str">
        <f>IF(AND($J92=$M$7,$B92&lt;'1111'!$N$10),"x","")</f>
        <v/>
      </c>
      <c r="O92" s="91" t="str">
        <f>IF(AND($K92=$M$7,$B92&lt;'1111'!$N$10),"x","")</f>
        <v/>
      </c>
      <c r="P92" s="91" t="str">
        <f>IF(AND($B92&gt;='1121'!$N$9,$B92&lt;='1121'!$O$9,OR($J92=$P$7,$K92=$P$7)),"x","")</f>
        <v/>
      </c>
      <c r="Q92" s="91" t="str">
        <f>IF(AND($J92=$P$7,$B92&lt;'1121'!$N$9),"x","")</f>
        <v/>
      </c>
      <c r="R92" s="91" t="str">
        <f>IF(AND($K92=$P$7,$B92&lt;'1121'!$N$9),"x","")</f>
        <v/>
      </c>
      <c r="S92" s="91" t="str">
        <f>IF(OR(TH!J92=TH!$S$7,K92=TH!$S$7),"x","")</f>
        <v/>
      </c>
      <c r="T92" s="91" t="str">
        <f t="shared" si="6"/>
        <v>3</v>
      </c>
    </row>
    <row r="93" spans="1:20" s="78" customFormat="1" ht="15.75" customHeight="1">
      <c r="A93" s="157" t="str">
        <f>IF(B93&lt;&gt;"",IF(AND(B93&gt;=_TM1,B93&lt;=_TM2,OR(TH!J93="1111",TH!K93="1111")),TH!D93,""),"")</f>
        <v/>
      </c>
      <c r="B93" s="63">
        <f t="shared" si="5"/>
        <v>9</v>
      </c>
      <c r="C93" s="76">
        <v>40802</v>
      </c>
      <c r="D93" s="64" t="s">
        <v>8</v>
      </c>
      <c r="E93" s="64">
        <v>40802</v>
      </c>
      <c r="F93" s="67" t="s">
        <v>270</v>
      </c>
      <c r="G93" s="347"/>
      <c r="H93" s="81"/>
      <c r="I93" s="65">
        <v>2400</v>
      </c>
      <c r="J93" s="66" t="s">
        <v>118</v>
      </c>
      <c r="K93" s="66" t="s">
        <v>32</v>
      </c>
      <c r="L93" s="91" t="str">
        <f>IF(AND('331-CT'!$E$7=TH!H93,OR(J93="331",K93="331")),"x","")</f>
        <v/>
      </c>
      <c r="M93" s="91" t="str">
        <f>IF(AND($B93&gt;='1111'!$N$10,$B93&lt;='1111'!$O$10,OR($J93=$M$7,$K93=$M$7)),"x","")</f>
        <v/>
      </c>
      <c r="N93" s="91" t="str">
        <f>IF(AND($J93=$M$7,$B93&lt;'1111'!$N$10),"x","")</f>
        <v/>
      </c>
      <c r="O93" s="91" t="str">
        <f>IF(AND($K93=$M$7,$B93&lt;'1111'!$N$10),"x","")</f>
        <v/>
      </c>
      <c r="P93" s="91" t="str">
        <f>IF(AND($B93&gt;='1121'!$N$9,$B93&lt;='1121'!$O$9,OR($J93=$P$7,$K93=$P$7)),"x","")</f>
        <v/>
      </c>
      <c r="Q93" s="91" t="str">
        <f>IF(AND($J93=$P$7,$B93&lt;'1121'!$N$9),"x","")</f>
        <v/>
      </c>
      <c r="R93" s="91" t="str">
        <f>IF(AND($K93=$P$7,$B93&lt;'1121'!$N$9),"x","")</f>
        <v/>
      </c>
      <c r="S93" s="91" t="str">
        <f>IF(OR(TH!J93=TH!$S$7,K93=TH!$S$7),"x","")</f>
        <v/>
      </c>
      <c r="T93" s="91" t="str">
        <f t="shared" si="6"/>
        <v>3</v>
      </c>
    </row>
    <row r="94" spans="1:20" s="78" customFormat="1" ht="15.75" customHeight="1">
      <c r="A94" s="157" t="str">
        <f>IF(B94&lt;&gt;"",IF(AND(B94&gt;=_TM1,B94&lt;=_TM2,OR(TH!J94="1111",TH!K94="1111")),TH!D94,""),"")</f>
        <v/>
      </c>
      <c r="B94" s="86">
        <f t="shared" si="5"/>
        <v>9</v>
      </c>
      <c r="C94" s="87">
        <v>40803</v>
      </c>
      <c r="D94" s="87" t="s">
        <v>8</v>
      </c>
      <c r="E94" s="87">
        <v>40803</v>
      </c>
      <c r="F94" s="88" t="s">
        <v>272</v>
      </c>
      <c r="G94" s="365"/>
      <c r="H94" s="89"/>
      <c r="I94" s="90">
        <v>24000</v>
      </c>
      <c r="J94" s="66" t="s">
        <v>118</v>
      </c>
      <c r="K94" s="91" t="s">
        <v>32</v>
      </c>
      <c r="L94" s="91" t="str">
        <f>IF(AND('331-CT'!$E$7=TH!H94,OR(J94="331",K94="331")),"x","")</f>
        <v/>
      </c>
      <c r="M94" s="91" t="str">
        <f>IF(AND($B94&gt;='1111'!$N$10,$B94&lt;='1111'!$O$10,OR($J94=$M$7,$K94=$M$7)),"x","")</f>
        <v/>
      </c>
      <c r="N94" s="91" t="str">
        <f>IF(AND($J94=$M$7,$B94&lt;'1111'!$N$10),"x","")</f>
        <v/>
      </c>
      <c r="O94" s="91" t="str">
        <f>IF(AND($K94=$M$7,$B94&lt;'1111'!$N$10),"x","")</f>
        <v/>
      </c>
      <c r="P94" s="91" t="str">
        <f>IF(AND($B94&gt;='1121'!$N$9,$B94&lt;='1121'!$O$9,OR($J94=$P$7,$K94=$P$7)),"x","")</f>
        <v/>
      </c>
      <c r="Q94" s="91" t="str">
        <f>IF(AND($J94=$P$7,$B94&lt;'1121'!$N$9),"x","")</f>
        <v/>
      </c>
      <c r="R94" s="91" t="str">
        <f>IF(AND($K94=$P$7,$B94&lt;'1121'!$N$9),"x","")</f>
        <v/>
      </c>
      <c r="S94" s="91" t="str">
        <f>IF(OR(TH!J94=TH!$S$7,K94=TH!$S$7),"x","")</f>
        <v/>
      </c>
      <c r="T94" s="91" t="str">
        <f t="shared" si="6"/>
        <v>3</v>
      </c>
    </row>
    <row r="95" spans="1:20" s="78" customFormat="1" ht="15.75" customHeight="1">
      <c r="A95" s="157" t="str">
        <f>IF(B95&lt;&gt;"",IF(AND(B95&gt;=_TM1,B95&lt;=_TM2,OR(TH!J95="1111",TH!K95="1111")),TH!D95,""),"")</f>
        <v/>
      </c>
      <c r="B95" s="86">
        <f t="shared" si="5"/>
        <v>9</v>
      </c>
      <c r="C95" s="87">
        <v>40803</v>
      </c>
      <c r="D95" s="87" t="s">
        <v>8</v>
      </c>
      <c r="E95" s="87">
        <v>40803</v>
      </c>
      <c r="F95" s="88" t="s">
        <v>270</v>
      </c>
      <c r="G95" s="365"/>
      <c r="H95" s="89"/>
      <c r="I95" s="90">
        <v>2400</v>
      </c>
      <c r="J95" s="66" t="s">
        <v>118</v>
      </c>
      <c r="K95" s="91" t="s">
        <v>32</v>
      </c>
      <c r="L95" s="91" t="str">
        <f>IF(AND('331-CT'!$E$7=TH!H95,OR(J95="331",K95="331")),"x","")</f>
        <v/>
      </c>
      <c r="M95" s="91" t="str">
        <f>IF(AND($B95&gt;='1111'!$N$10,$B95&lt;='1111'!$O$10,OR($J95=$M$7,$K95=$M$7)),"x","")</f>
        <v/>
      </c>
      <c r="N95" s="91" t="str">
        <f>IF(AND($J95=$M$7,$B95&lt;'1111'!$N$10),"x","")</f>
        <v/>
      </c>
      <c r="O95" s="91" t="str">
        <f>IF(AND($K95=$M$7,$B95&lt;'1111'!$N$10),"x","")</f>
        <v/>
      </c>
      <c r="P95" s="91" t="str">
        <f>IF(AND($B95&gt;='1121'!$N$9,$B95&lt;='1121'!$O$9,OR($J95=$P$7,$K95=$P$7)),"x","")</f>
        <v/>
      </c>
      <c r="Q95" s="91" t="str">
        <f>IF(AND($J95=$P$7,$B95&lt;'1121'!$N$9),"x","")</f>
        <v/>
      </c>
      <c r="R95" s="91" t="str">
        <f>IF(AND($K95=$P$7,$B95&lt;'1121'!$N$9),"x","")</f>
        <v/>
      </c>
      <c r="S95" s="91" t="str">
        <f>IF(OR(TH!J95=TH!$S$7,K95=TH!$S$7),"x","")</f>
        <v/>
      </c>
      <c r="T95" s="91" t="str">
        <f t="shared" si="6"/>
        <v>3</v>
      </c>
    </row>
    <row r="96" spans="1:20" s="78" customFormat="1" ht="15.75" customHeight="1">
      <c r="A96" s="157" t="str">
        <f>IF(B96&lt;&gt;"",IF(AND(B96&gt;=_TM1,B96&lt;=_TM2,OR(TH!J96="1111",TH!K96="1111")),TH!D96,""),"")</f>
        <v/>
      </c>
      <c r="B96" s="63">
        <f t="shared" si="5"/>
        <v>9</v>
      </c>
      <c r="C96" s="76">
        <v>40803</v>
      </c>
      <c r="D96" s="64" t="s">
        <v>8</v>
      </c>
      <c r="E96" s="64">
        <v>40803</v>
      </c>
      <c r="F96" s="67" t="s">
        <v>255</v>
      </c>
      <c r="G96" s="347"/>
      <c r="H96" s="81"/>
      <c r="I96" s="65">
        <v>12746</v>
      </c>
      <c r="J96" s="66" t="s">
        <v>118</v>
      </c>
      <c r="K96" s="66" t="s">
        <v>32</v>
      </c>
      <c r="L96" s="91" t="str">
        <f>IF(AND('331-CT'!$E$7=TH!H96,OR(J96="331",K96="331")),"x","")</f>
        <v/>
      </c>
      <c r="M96" s="91" t="str">
        <f>IF(AND($B96&gt;='1111'!$N$10,$B96&lt;='1111'!$O$10,OR($J96=$M$7,$K96=$M$7)),"x","")</f>
        <v/>
      </c>
      <c r="N96" s="91" t="str">
        <f>IF(AND($J96=$M$7,$B96&lt;'1111'!$N$10),"x","")</f>
        <v/>
      </c>
      <c r="O96" s="91" t="str">
        <f>IF(AND($K96=$M$7,$B96&lt;'1111'!$N$10),"x","")</f>
        <v/>
      </c>
      <c r="P96" s="91" t="str">
        <f>IF(AND($B96&gt;='1121'!$N$9,$B96&lt;='1121'!$O$9,OR($J96=$P$7,$K96=$P$7)),"x","")</f>
        <v/>
      </c>
      <c r="Q96" s="91" t="str">
        <f>IF(AND($J96=$P$7,$B96&lt;'1121'!$N$9),"x","")</f>
        <v/>
      </c>
      <c r="R96" s="91" t="str">
        <f>IF(AND($K96=$P$7,$B96&lt;'1121'!$N$9),"x","")</f>
        <v/>
      </c>
      <c r="S96" s="91" t="str">
        <f>IF(OR(TH!J96=TH!$S$7,K96=TH!$S$7),"x","")</f>
        <v/>
      </c>
      <c r="T96" s="91" t="str">
        <f t="shared" si="6"/>
        <v>3</v>
      </c>
    </row>
    <row r="97" spans="1:20" s="78" customFormat="1" ht="15.75" customHeight="1">
      <c r="A97" s="157" t="str">
        <f>IF(B97&lt;&gt;"",IF(AND(B97&gt;=_TM1,B97&lt;=_TM2,OR(TH!J97="1111",TH!K97="1111")),TH!D97,""),"")</f>
        <v/>
      </c>
      <c r="B97" s="63">
        <f t="shared" si="5"/>
        <v>9</v>
      </c>
      <c r="C97" s="64">
        <v>40803</v>
      </c>
      <c r="D97" s="64" t="s">
        <v>8</v>
      </c>
      <c r="E97" s="64">
        <v>40803</v>
      </c>
      <c r="F97" s="67" t="s">
        <v>269</v>
      </c>
      <c r="G97" s="347"/>
      <c r="H97" s="81"/>
      <c r="I97" s="65">
        <v>1275</v>
      </c>
      <c r="J97" s="66" t="s">
        <v>118</v>
      </c>
      <c r="K97" s="66" t="s">
        <v>32</v>
      </c>
      <c r="L97" s="91" t="str">
        <f>IF(AND('331-CT'!$E$7=TH!H97,OR(J97="331",K97="331")),"x","")</f>
        <v/>
      </c>
      <c r="M97" s="91" t="str">
        <f>IF(AND($B97&gt;='1111'!$N$10,$B97&lt;='1111'!$O$10,OR($J97=$M$7,$K97=$M$7)),"x","")</f>
        <v/>
      </c>
      <c r="N97" s="91" t="str">
        <f>IF(AND($J97=$M$7,$B97&lt;'1111'!$N$10),"x","")</f>
        <v/>
      </c>
      <c r="O97" s="91" t="str">
        <f>IF(AND($K97=$M$7,$B97&lt;'1111'!$N$10),"x","")</f>
        <v/>
      </c>
      <c r="P97" s="91" t="str">
        <f>IF(AND($B97&gt;='1121'!$N$9,$B97&lt;='1121'!$O$9,OR($J97=$P$7,$K97=$P$7)),"x","")</f>
        <v/>
      </c>
      <c r="Q97" s="91" t="str">
        <f>IF(AND($J97=$P$7,$B97&lt;'1121'!$N$9),"x","")</f>
        <v/>
      </c>
      <c r="R97" s="91" t="str">
        <f>IF(AND($K97=$P$7,$B97&lt;'1121'!$N$9),"x","")</f>
        <v/>
      </c>
      <c r="S97" s="91" t="str">
        <f>IF(OR(TH!J97=TH!$S$7,K97=TH!$S$7),"x","")</f>
        <v/>
      </c>
      <c r="T97" s="91" t="str">
        <f t="shared" si="6"/>
        <v>3</v>
      </c>
    </row>
    <row r="98" spans="1:20" s="78" customFormat="1" ht="15.75" customHeight="1">
      <c r="A98" s="157" t="str">
        <f>IF(B98&lt;&gt;"",IF(AND(B98&gt;=_TM1,B98&lt;=_TM2,OR(TH!J98="1111",TH!K98="1111")),TH!D98,""),"")</f>
        <v/>
      </c>
      <c r="B98" s="63">
        <f t="shared" si="5"/>
        <v>9</v>
      </c>
      <c r="C98" s="76">
        <v>40803</v>
      </c>
      <c r="D98" s="64" t="s">
        <v>8</v>
      </c>
      <c r="E98" s="64">
        <v>40803</v>
      </c>
      <c r="F98" s="67" t="s">
        <v>265</v>
      </c>
      <c r="G98" s="347"/>
      <c r="H98" s="81"/>
      <c r="I98" s="65">
        <v>14021</v>
      </c>
      <c r="J98" s="66" t="s">
        <v>118</v>
      </c>
      <c r="K98" s="66" t="s">
        <v>32</v>
      </c>
      <c r="L98" s="91" t="str">
        <f>IF(AND('331-CT'!$E$7=TH!H98,OR(J98="331",K98="331")),"x","")</f>
        <v/>
      </c>
      <c r="M98" s="91" t="str">
        <f>IF(AND($B98&gt;='1111'!$N$10,$B98&lt;='1111'!$O$10,OR($J98=$M$7,$K98=$M$7)),"x","")</f>
        <v/>
      </c>
      <c r="N98" s="91" t="str">
        <f>IF(AND($J98=$M$7,$B98&lt;'1111'!$N$10),"x","")</f>
        <v/>
      </c>
      <c r="O98" s="91" t="str">
        <f>IF(AND($K98=$M$7,$B98&lt;'1111'!$N$10),"x","")</f>
        <v/>
      </c>
      <c r="P98" s="91" t="str">
        <f>IF(AND($B98&gt;='1121'!$N$9,$B98&lt;='1121'!$O$9,OR($J98=$P$7,$K98=$P$7)),"x","")</f>
        <v/>
      </c>
      <c r="Q98" s="91" t="str">
        <f>IF(AND($J98=$P$7,$B98&lt;'1121'!$N$9),"x","")</f>
        <v/>
      </c>
      <c r="R98" s="91" t="str">
        <f>IF(AND($K98=$P$7,$B98&lt;'1121'!$N$9),"x","")</f>
        <v/>
      </c>
      <c r="S98" s="91" t="str">
        <f>IF(OR(TH!J98=TH!$S$7,K98=TH!$S$7),"x","")</f>
        <v/>
      </c>
      <c r="T98" s="91" t="str">
        <f t="shared" si="6"/>
        <v>3</v>
      </c>
    </row>
    <row r="99" spans="1:20" s="78" customFormat="1" ht="15.75" customHeight="1">
      <c r="A99" s="157" t="str">
        <f>IF(B99&lt;&gt;"",IF(AND(B99&gt;=_TM1,B99&lt;=_TM2,OR(TH!J99="1111",TH!K99="1111")),TH!D99,""),"")</f>
        <v/>
      </c>
      <c r="B99" s="63">
        <f t="shared" si="5"/>
        <v>9</v>
      </c>
      <c r="C99" s="64">
        <v>40803</v>
      </c>
      <c r="D99" s="64" t="s">
        <v>8</v>
      </c>
      <c r="E99" s="64">
        <v>40803</v>
      </c>
      <c r="F99" s="67" t="s">
        <v>265</v>
      </c>
      <c r="G99" s="347"/>
      <c r="H99" s="81"/>
      <c r="I99" s="65">
        <v>12379</v>
      </c>
      <c r="J99" s="66" t="s">
        <v>118</v>
      </c>
      <c r="K99" s="66" t="s">
        <v>32</v>
      </c>
      <c r="L99" s="91" t="str">
        <f>IF(AND('331-CT'!$E$7=TH!H99,OR(J99="331",K99="331")),"x","")</f>
        <v/>
      </c>
      <c r="M99" s="91" t="str">
        <f>IF(AND($B99&gt;='1111'!$N$10,$B99&lt;='1111'!$O$10,OR($J99=$M$7,$K99=$M$7)),"x","")</f>
        <v/>
      </c>
      <c r="N99" s="91" t="str">
        <f>IF(AND($J99=$M$7,$B99&lt;'1111'!$N$10),"x","")</f>
        <v/>
      </c>
      <c r="O99" s="91" t="str">
        <f>IF(AND($K99=$M$7,$B99&lt;'1111'!$N$10),"x","")</f>
        <v/>
      </c>
      <c r="P99" s="91" t="str">
        <f>IF(AND($B99&gt;='1121'!$N$9,$B99&lt;='1121'!$O$9,OR($J99=$P$7,$K99=$P$7)),"x","")</f>
        <v/>
      </c>
      <c r="Q99" s="91" t="str">
        <f>IF(AND($J99=$P$7,$B99&lt;'1121'!$N$9),"x","")</f>
        <v/>
      </c>
      <c r="R99" s="91" t="str">
        <f>IF(AND($K99=$P$7,$B99&lt;'1121'!$N$9),"x","")</f>
        <v/>
      </c>
      <c r="S99" s="91" t="str">
        <f>IF(OR(TH!J99=TH!$S$7,K99=TH!$S$7),"x","")</f>
        <v/>
      </c>
      <c r="T99" s="91" t="str">
        <f t="shared" si="6"/>
        <v>3</v>
      </c>
    </row>
    <row r="100" spans="1:20" s="78" customFormat="1" ht="15.75" customHeight="1">
      <c r="A100" s="157" t="str">
        <f>IF(B100&lt;&gt;"",IF(AND(B100&gt;=_TM1,B100&lt;=_TM2,OR(TH!J100="1111",TH!K100="1111")),TH!D100,""),"")</f>
        <v>C01</v>
      </c>
      <c r="B100" s="63">
        <f t="shared" si="5"/>
        <v>11</v>
      </c>
      <c r="C100" s="64">
        <v>40872</v>
      </c>
      <c r="D100" s="64" t="s">
        <v>43</v>
      </c>
      <c r="E100" s="64">
        <v>40872</v>
      </c>
      <c r="F100" s="67" t="s">
        <v>264</v>
      </c>
      <c r="G100" s="347"/>
      <c r="H100" s="81" t="s">
        <v>277</v>
      </c>
      <c r="I100" s="65">
        <v>30000000</v>
      </c>
      <c r="J100" s="66" t="s">
        <v>23</v>
      </c>
      <c r="K100" s="66" t="s">
        <v>79</v>
      </c>
      <c r="L100" s="91" t="str">
        <f>IF(AND('331-CT'!$E$7=TH!H100,OR(J100="331",K100="331")),"x","")</f>
        <v/>
      </c>
      <c r="M100" s="91" t="str">
        <f>IF(AND($B100&gt;='1111'!$N$10,$B100&lt;='1111'!$O$10,OR($J100=$M$7,$K100=$M$7)),"x","")</f>
        <v/>
      </c>
      <c r="N100" s="91" t="str">
        <f>IF(AND($J100=$M$7,$B100&lt;'1111'!$N$10),"x","")</f>
        <v/>
      </c>
      <c r="O100" s="91" t="str">
        <f>IF(AND($K100=$M$7,$B100&lt;'1111'!$N$10),"x","")</f>
        <v/>
      </c>
      <c r="P100" s="91" t="str">
        <f>IF(AND($B100&gt;='1121'!$N$9,$B100&lt;='1121'!$O$9,OR($J100=$P$7,$K100=$P$7)),"x","")</f>
        <v/>
      </c>
      <c r="Q100" s="91" t="str">
        <f>IF(AND($J100=$P$7,$B100&lt;'1121'!$N$9),"x","")</f>
        <v/>
      </c>
      <c r="R100" s="91" t="str">
        <f>IF(AND($K100=$P$7,$B100&lt;'1121'!$N$9),"x","")</f>
        <v/>
      </c>
      <c r="S100" s="91" t="str">
        <f>IF(OR(TH!J100=TH!$S$7,K100=TH!$S$7),"x","")</f>
        <v>x</v>
      </c>
      <c r="T100" s="91" t="str">
        <f t="shared" si="6"/>
        <v>4</v>
      </c>
    </row>
    <row r="101" spans="1:20" s="78" customFormat="1" ht="15.75" customHeight="1">
      <c r="A101" s="157" t="str">
        <f>IF(B101&lt;&gt;"",IF(AND(B101&gt;=_TM1,B101&lt;=_TM2,OR(TH!J101="1111",TH!K101="1111")),TH!D101,""),"")</f>
        <v/>
      </c>
      <c r="B101" s="63">
        <f t="shared" si="5"/>
        <v>11</v>
      </c>
      <c r="C101" s="64">
        <v>40872</v>
      </c>
      <c r="D101" s="64" t="s">
        <v>11</v>
      </c>
      <c r="E101" s="64">
        <v>40872</v>
      </c>
      <c r="F101" s="67" t="s">
        <v>262</v>
      </c>
      <c r="G101" s="347"/>
      <c r="H101" s="81" t="s">
        <v>277</v>
      </c>
      <c r="I101" s="65">
        <v>30000000</v>
      </c>
      <c r="J101" s="66" t="s">
        <v>32</v>
      </c>
      <c r="K101" s="66" t="s">
        <v>23</v>
      </c>
      <c r="L101" s="91" t="str">
        <f>IF(AND('331-CT'!$E$7=TH!H101,OR(J101="331",K101="331")),"x","")</f>
        <v/>
      </c>
      <c r="M101" s="91" t="str">
        <f>IF(AND($B101&gt;='1111'!$N$10,$B101&lt;='1111'!$O$10,OR($J101=$M$7,$K101=$M$7)),"x","")</f>
        <v/>
      </c>
      <c r="N101" s="91" t="str">
        <f>IF(AND($J101=$M$7,$B101&lt;'1111'!$N$10),"x","")</f>
        <v/>
      </c>
      <c r="O101" s="91" t="str">
        <f>IF(AND($K101=$M$7,$B101&lt;'1111'!$N$10),"x","")</f>
        <v/>
      </c>
      <c r="P101" s="91" t="str">
        <f>IF(AND($B101&gt;='1121'!$N$9,$B101&lt;='1121'!$O$9,OR($J101=$P$7,$K101=$P$7)),"x","")</f>
        <v/>
      </c>
      <c r="Q101" s="91" t="str">
        <f>IF(AND($J101=$P$7,$B101&lt;'1121'!$N$9),"x","")</f>
        <v/>
      </c>
      <c r="R101" s="91" t="str">
        <f>IF(AND($K101=$P$7,$B101&lt;'1121'!$N$9),"x","")</f>
        <v/>
      </c>
      <c r="S101" s="91" t="str">
        <f>IF(OR(TH!J101=TH!$S$7,K101=TH!$S$7),"x","")</f>
        <v>x</v>
      </c>
      <c r="T101" s="91" t="str">
        <f t="shared" si="6"/>
        <v>4</v>
      </c>
    </row>
    <row r="102" spans="1:20" s="78" customFormat="1" ht="15.75" customHeight="1">
      <c r="A102" s="157" t="str">
        <f>IF(B102&lt;&gt;"",IF(AND(B102&gt;=_TM1,B102&lt;=_TM2,OR(TH!J102="1111",TH!K102="1111")),TH!D102,""),"")</f>
        <v/>
      </c>
      <c r="B102" s="63">
        <f t="shared" si="5"/>
        <v>11</v>
      </c>
      <c r="C102" s="76">
        <v>40872</v>
      </c>
      <c r="D102" s="64" t="s">
        <v>8</v>
      </c>
      <c r="E102" s="64">
        <v>40872</v>
      </c>
      <c r="F102" s="67" t="s">
        <v>273</v>
      </c>
      <c r="G102" s="347"/>
      <c r="H102" s="81" t="s">
        <v>52</v>
      </c>
      <c r="I102" s="65">
        <v>29920000</v>
      </c>
      <c r="J102" s="66" t="s">
        <v>9</v>
      </c>
      <c r="K102" s="66" t="s">
        <v>32</v>
      </c>
      <c r="L102" s="91" t="str">
        <f>IF(AND('331-CT'!$E$7=TH!H102,OR(J102="331",K102="331")),"x","")</f>
        <v>x</v>
      </c>
      <c r="M102" s="91" t="str">
        <f>IF(AND($B102&gt;='1111'!$N$10,$B102&lt;='1111'!$O$10,OR($J102=$M$7,$K102=$M$7)),"x","")</f>
        <v/>
      </c>
      <c r="N102" s="91" t="str">
        <f>IF(AND($J102=$M$7,$B102&lt;'1111'!$N$10),"x","")</f>
        <v/>
      </c>
      <c r="O102" s="91" t="str">
        <f>IF(AND($K102=$M$7,$B102&lt;'1111'!$N$10),"x","")</f>
        <v/>
      </c>
      <c r="P102" s="91" t="str">
        <f>IF(AND($B102&gt;='1121'!$N$9,$B102&lt;='1121'!$O$9,OR($J102=$P$7,$K102=$P$7)),"x","")</f>
        <v/>
      </c>
      <c r="Q102" s="91" t="str">
        <f>IF(AND($J102=$P$7,$B102&lt;'1121'!$N$9),"x","")</f>
        <v/>
      </c>
      <c r="R102" s="91" t="str">
        <f>IF(AND($K102=$P$7,$B102&lt;'1121'!$N$9),"x","")</f>
        <v/>
      </c>
      <c r="S102" s="91" t="str">
        <f>IF(OR(TH!J102=TH!$S$7,K102=TH!$S$7),"x","")</f>
        <v/>
      </c>
      <c r="T102" s="91" t="str">
        <f t="shared" si="6"/>
        <v>4</v>
      </c>
    </row>
    <row r="103" spans="1:20" s="78" customFormat="1" ht="15.75" customHeight="1">
      <c r="A103" s="157" t="str">
        <f>IF(B103&lt;&gt;"",IF(AND(B103&gt;=_TM1,B103&lt;=_TM2,OR(TH!J103="1111",TH!K103="1111")),TH!D103,""),"")</f>
        <v/>
      </c>
      <c r="B103" s="63">
        <f t="shared" si="5"/>
        <v>11</v>
      </c>
      <c r="C103" s="76">
        <v>40872</v>
      </c>
      <c r="D103" s="64" t="s">
        <v>8</v>
      </c>
      <c r="E103" s="64">
        <v>40872</v>
      </c>
      <c r="F103" s="67" t="s">
        <v>21</v>
      </c>
      <c r="G103" s="347"/>
      <c r="H103" s="82"/>
      <c r="I103" s="65">
        <v>20000</v>
      </c>
      <c r="J103" s="66" t="s">
        <v>118</v>
      </c>
      <c r="K103" s="66" t="s">
        <v>32</v>
      </c>
      <c r="L103" s="91" t="str">
        <f>IF(AND('331-CT'!$E$7=TH!H103,OR(J103="331",K103="331")),"x","")</f>
        <v/>
      </c>
      <c r="M103" s="91" t="str">
        <f>IF(AND($B103&gt;='1111'!$N$10,$B103&lt;='1111'!$O$10,OR($J103=$M$7,$K103=$M$7)),"x","")</f>
        <v/>
      </c>
      <c r="N103" s="91" t="str">
        <f>IF(AND($J103=$M$7,$B103&lt;'1111'!$N$10),"x","")</f>
        <v/>
      </c>
      <c r="O103" s="91" t="str">
        <f>IF(AND($K103=$M$7,$B103&lt;'1111'!$N$10),"x","")</f>
        <v/>
      </c>
      <c r="P103" s="91" t="str">
        <f>IF(AND($B103&gt;='1121'!$N$9,$B103&lt;='1121'!$O$9,OR($J103=$P$7,$K103=$P$7)),"x","")</f>
        <v/>
      </c>
      <c r="Q103" s="91" t="str">
        <f>IF(AND($J103=$P$7,$B103&lt;'1121'!$N$9),"x","")</f>
        <v/>
      </c>
      <c r="R103" s="91" t="str">
        <f>IF(AND($K103=$P$7,$B103&lt;'1121'!$N$9),"x","")</f>
        <v/>
      </c>
      <c r="S103" s="91" t="str">
        <f>IF(OR(TH!J103=TH!$S$7,K103=TH!$S$7),"x","")</f>
        <v/>
      </c>
      <c r="T103" s="91" t="str">
        <f t="shared" si="6"/>
        <v>4</v>
      </c>
    </row>
    <row r="104" spans="1:20" s="78" customFormat="1" ht="15.75" customHeight="1">
      <c r="A104" s="157" t="str">
        <f>IF(B104&lt;&gt;"",IF(AND(B104&gt;=_TM1,B104&lt;=_TM2,OR(TH!J104="1111",TH!K104="1111")),TH!D104,""),"")</f>
        <v/>
      </c>
      <c r="B104" s="63">
        <f t="shared" si="5"/>
        <v>11</v>
      </c>
      <c r="C104" s="64">
        <v>40872</v>
      </c>
      <c r="D104" s="64" t="s">
        <v>8</v>
      </c>
      <c r="E104" s="64">
        <v>40872</v>
      </c>
      <c r="F104" s="67" t="s">
        <v>263</v>
      </c>
      <c r="G104" s="347"/>
      <c r="H104" s="81"/>
      <c r="I104" s="65">
        <v>2000</v>
      </c>
      <c r="J104" s="66" t="s">
        <v>118</v>
      </c>
      <c r="K104" s="66" t="s">
        <v>32</v>
      </c>
      <c r="L104" s="91" t="str">
        <f>IF(AND('331-CT'!$E$7=TH!H104,OR(J104="331",K104="331")),"x","")</f>
        <v/>
      </c>
      <c r="M104" s="91" t="str">
        <f>IF(AND($B104&gt;='1111'!$N$10,$B104&lt;='1111'!$O$10,OR($J104=$M$7,$K104=$M$7)),"x","")</f>
        <v/>
      </c>
      <c r="N104" s="91" t="str">
        <f>IF(AND($J104=$M$7,$B104&lt;'1111'!$N$10),"x","")</f>
        <v/>
      </c>
      <c r="O104" s="91" t="str">
        <f>IF(AND($K104=$M$7,$B104&lt;'1111'!$N$10),"x","")</f>
        <v/>
      </c>
      <c r="P104" s="91" t="str">
        <f>IF(AND($B104&gt;='1121'!$N$9,$B104&lt;='1121'!$O$9,OR($J104=$P$7,$K104=$P$7)),"x","")</f>
        <v/>
      </c>
      <c r="Q104" s="91" t="str">
        <f>IF(AND($J104=$P$7,$B104&lt;'1121'!$N$9),"x","")</f>
        <v/>
      </c>
      <c r="R104" s="91" t="str">
        <f>IF(AND($K104=$P$7,$B104&lt;'1121'!$N$9),"x","")</f>
        <v/>
      </c>
      <c r="S104" s="91" t="str">
        <f>IF(OR(TH!J104=TH!$S$7,K104=TH!$S$7),"x","")</f>
        <v/>
      </c>
      <c r="T104" s="91" t="str">
        <f t="shared" si="6"/>
        <v>4</v>
      </c>
    </row>
    <row r="105" spans="1:20" s="78" customFormat="1" ht="15.75" customHeight="1">
      <c r="A105" s="157" t="str">
        <f>IF(B105&lt;&gt;"",IF(AND(B105&gt;=_TM1,B105&lt;=_TM2,OR(TH!J105="1111",TH!K105="1111")),TH!D105,""),"")</f>
        <v/>
      </c>
      <c r="B105" s="63">
        <f t="shared" si="5"/>
        <v>11</v>
      </c>
      <c r="C105" s="64">
        <v>40875</v>
      </c>
      <c r="D105" s="64" t="s">
        <v>47</v>
      </c>
      <c r="E105" s="64">
        <v>40875</v>
      </c>
      <c r="F105" s="67" t="s">
        <v>275</v>
      </c>
      <c r="G105" s="357" t="s">
        <v>274</v>
      </c>
      <c r="H105" s="81" t="s">
        <v>52</v>
      </c>
      <c r="I105" s="65">
        <v>29920000</v>
      </c>
      <c r="J105" s="66" t="s">
        <v>118</v>
      </c>
      <c r="K105" s="66" t="s">
        <v>9</v>
      </c>
      <c r="L105" s="91" t="str">
        <f>IF(AND('331-CT'!$E$7=TH!H105,OR(J105="331",K105="331")),"x","")</f>
        <v>x</v>
      </c>
      <c r="M105" s="91" t="str">
        <f>IF(AND($B105&gt;='1111'!$N$10,$B105&lt;='1111'!$O$10,OR($J105=$M$7,$K105=$M$7)),"x","")</f>
        <v/>
      </c>
      <c r="N105" s="91" t="str">
        <f>IF(AND($J105=$M$7,$B105&lt;'1111'!$N$10),"x","")</f>
        <v/>
      </c>
      <c r="O105" s="91" t="str">
        <f>IF(AND($K105=$M$7,$B105&lt;'1111'!$N$10),"x","")</f>
        <v/>
      </c>
      <c r="P105" s="91" t="str">
        <f>IF(AND($B105&gt;='1121'!$N$9,$B105&lt;='1121'!$O$9,OR($J105=$P$7,$K105=$P$7)),"x","")</f>
        <v/>
      </c>
      <c r="Q105" s="91" t="str">
        <f>IF(AND($J105=$P$7,$B105&lt;'1121'!$N$9),"x","")</f>
        <v/>
      </c>
      <c r="R105" s="91" t="str">
        <f>IF(AND($K105=$P$7,$B105&lt;'1121'!$N$9),"x","")</f>
        <v/>
      </c>
      <c r="S105" s="91" t="str">
        <f>IF(OR(TH!J105=TH!$S$7,K105=TH!$S$7),"x","")</f>
        <v/>
      </c>
      <c r="T105" s="91" t="str">
        <f t="shared" si="6"/>
        <v>4</v>
      </c>
    </row>
    <row r="106" spans="1:20" s="78" customFormat="1" ht="15.75" customHeight="1">
      <c r="A106" s="157" t="str">
        <f>IF(B106&lt;&gt;"",IF(AND(B106&gt;=_TM1,B106&lt;=_TM2,OR(TH!J106="1111",TH!K106="1111")),TH!D106,""),"")</f>
        <v/>
      </c>
      <c r="B106" s="63">
        <f t="shared" si="5"/>
        <v>12</v>
      </c>
      <c r="C106" s="76">
        <v>40893</v>
      </c>
      <c r="D106" s="64" t="s">
        <v>8</v>
      </c>
      <c r="E106" s="64">
        <v>40893</v>
      </c>
      <c r="F106" s="67" t="s">
        <v>272</v>
      </c>
      <c r="G106" s="347"/>
      <c r="H106" s="82"/>
      <c r="I106" s="65">
        <v>24000</v>
      </c>
      <c r="J106" s="66" t="s">
        <v>118</v>
      </c>
      <c r="K106" s="66" t="s">
        <v>32</v>
      </c>
      <c r="L106" s="91" t="str">
        <f>IF(AND('331-CT'!$E$7=TH!H106,OR(J106="331",K106="331")),"x","")</f>
        <v/>
      </c>
      <c r="M106" s="91" t="str">
        <f>IF(AND($B106&gt;='1111'!$N$10,$B106&lt;='1111'!$O$10,OR($J106=$M$7,$K106=$M$7)),"x","")</f>
        <v/>
      </c>
      <c r="N106" s="91" t="str">
        <f>IF(AND($J106=$M$7,$B106&lt;'1111'!$N$10),"x","")</f>
        <v/>
      </c>
      <c r="O106" s="91" t="str">
        <f>IF(AND($K106=$M$7,$B106&lt;'1111'!$N$10),"x","")</f>
        <v/>
      </c>
      <c r="P106" s="91" t="str">
        <f>IF(AND($B106&gt;='1121'!$N$9,$B106&lt;='1121'!$O$9,OR($J106=$P$7,$K106=$P$7)),"x","")</f>
        <v/>
      </c>
      <c r="Q106" s="91" t="str">
        <f>IF(AND($J106=$P$7,$B106&lt;'1121'!$N$9),"x","")</f>
        <v/>
      </c>
      <c r="R106" s="91" t="str">
        <f>IF(AND($K106=$P$7,$B106&lt;'1121'!$N$9),"x","")</f>
        <v/>
      </c>
      <c r="S106" s="91" t="str">
        <f>IF(OR(TH!J106=TH!$S$7,K106=TH!$S$7),"x","")</f>
        <v/>
      </c>
      <c r="T106" s="91" t="str">
        <f t="shared" si="6"/>
        <v>4</v>
      </c>
    </row>
    <row r="107" spans="1:20" s="78" customFormat="1" ht="15.75" customHeight="1">
      <c r="A107" s="157" t="str">
        <f>IF(B107&lt;&gt;"",IF(AND(B107&gt;=_TM1,B107&lt;=_TM2,OR(TH!J107="1111",TH!K107="1111")),TH!D107,""),"")</f>
        <v/>
      </c>
      <c r="B107" s="63">
        <f t="shared" si="5"/>
        <v>12</v>
      </c>
      <c r="C107" s="64">
        <v>40893</v>
      </c>
      <c r="D107" s="64" t="s">
        <v>8</v>
      </c>
      <c r="E107" s="64">
        <v>40893</v>
      </c>
      <c r="F107" s="67" t="s">
        <v>270</v>
      </c>
      <c r="G107" s="347"/>
      <c r="H107" s="82"/>
      <c r="I107" s="65">
        <v>2400</v>
      </c>
      <c r="J107" s="66" t="s">
        <v>118</v>
      </c>
      <c r="K107" s="66" t="s">
        <v>32</v>
      </c>
      <c r="L107" s="91" t="str">
        <f>IF(AND('331-CT'!$E$7=TH!H107,OR(J107="331",K107="331")),"x","")</f>
        <v/>
      </c>
      <c r="M107" s="91" t="str">
        <f>IF(AND($B107&gt;='1111'!$N$10,$B107&lt;='1111'!$O$10,OR($J107=$M$7,$K107=$M$7)),"x","")</f>
        <v/>
      </c>
      <c r="N107" s="91" t="str">
        <f>IF(AND($J107=$M$7,$B107&lt;'1111'!$N$10),"x","")</f>
        <v/>
      </c>
      <c r="O107" s="91" t="str">
        <f>IF(AND($K107=$M$7,$B107&lt;'1111'!$N$10),"x","")</f>
        <v/>
      </c>
      <c r="P107" s="91" t="str">
        <f>IF(AND($B107&gt;='1121'!$N$9,$B107&lt;='1121'!$O$9,OR($J107=$P$7,$K107=$P$7)),"x","")</f>
        <v/>
      </c>
      <c r="Q107" s="91" t="str">
        <f>IF(AND($J107=$P$7,$B107&lt;'1121'!$N$9),"x","")</f>
        <v/>
      </c>
      <c r="R107" s="91" t="str">
        <f>IF(AND($K107=$P$7,$B107&lt;'1121'!$N$9),"x","")</f>
        <v/>
      </c>
      <c r="S107" s="91" t="str">
        <f>IF(OR(TH!J107=TH!$S$7,K107=TH!$S$7),"x","")</f>
        <v/>
      </c>
      <c r="T107" s="91" t="str">
        <f t="shared" si="6"/>
        <v>4</v>
      </c>
    </row>
    <row r="108" spans="1:20" s="78" customFormat="1" ht="15.75" customHeight="1">
      <c r="A108" s="157" t="str">
        <f>IF(B108&lt;&gt;"",IF(AND(B108&gt;=_TM1,B108&lt;=_TM2,OR(TH!J108="1111",TH!K108="1111")),TH!D108,""),"")</f>
        <v/>
      </c>
      <c r="B108" s="63">
        <f t="shared" si="5"/>
        <v>12</v>
      </c>
      <c r="C108" s="64">
        <v>40893</v>
      </c>
      <c r="D108" s="64" t="s">
        <v>8</v>
      </c>
      <c r="E108" s="64">
        <v>40893</v>
      </c>
      <c r="F108" s="67" t="s">
        <v>272</v>
      </c>
      <c r="G108" s="347"/>
      <c r="H108" s="82"/>
      <c r="I108" s="65">
        <v>24000</v>
      </c>
      <c r="J108" s="66" t="s">
        <v>118</v>
      </c>
      <c r="K108" s="66" t="s">
        <v>32</v>
      </c>
      <c r="L108" s="91" t="str">
        <f>IF(AND('331-CT'!$E$7=TH!H108,OR(J108="331",K108="331")),"x","")</f>
        <v/>
      </c>
      <c r="M108" s="91" t="str">
        <f>IF(AND($B108&gt;='1111'!$N$10,$B108&lt;='1111'!$O$10,OR($J108=$M$7,$K108=$M$7)),"x","")</f>
        <v/>
      </c>
      <c r="N108" s="91" t="str">
        <f>IF(AND($J108=$M$7,$B108&lt;'1111'!$N$10),"x","")</f>
        <v/>
      </c>
      <c r="O108" s="91" t="str">
        <f>IF(AND($K108=$M$7,$B108&lt;'1111'!$N$10),"x","")</f>
        <v/>
      </c>
      <c r="P108" s="91" t="str">
        <f>IF(AND($B108&gt;='1121'!$N$9,$B108&lt;='1121'!$O$9,OR($J108=$P$7,$K108=$P$7)),"x","")</f>
        <v/>
      </c>
      <c r="Q108" s="91" t="str">
        <f>IF(AND($J108=$P$7,$B108&lt;'1121'!$N$9),"x","")</f>
        <v/>
      </c>
      <c r="R108" s="91" t="str">
        <f>IF(AND($K108=$P$7,$B108&lt;'1121'!$N$9),"x","")</f>
        <v/>
      </c>
      <c r="S108" s="91" t="str">
        <f>IF(OR(TH!J108=TH!$S$7,K108=TH!$S$7),"x","")</f>
        <v/>
      </c>
      <c r="T108" s="91" t="str">
        <f t="shared" si="6"/>
        <v>4</v>
      </c>
    </row>
    <row r="109" spans="1:20" s="78" customFormat="1" ht="15.75" customHeight="1">
      <c r="A109" s="157" t="str">
        <f>IF(B109&lt;&gt;"",IF(AND(B109&gt;=_TM1,B109&lt;=_TM2,OR(TH!J109="1111",TH!K109="1111")),TH!D109,""),"")</f>
        <v/>
      </c>
      <c r="B109" s="63">
        <f t="shared" si="5"/>
        <v>12</v>
      </c>
      <c r="C109" s="64">
        <v>40893</v>
      </c>
      <c r="D109" s="64" t="s">
        <v>8</v>
      </c>
      <c r="E109" s="64">
        <v>40893</v>
      </c>
      <c r="F109" s="67" t="s">
        <v>270</v>
      </c>
      <c r="G109" s="357"/>
      <c r="H109" s="7"/>
      <c r="I109" s="65">
        <v>2400</v>
      </c>
      <c r="J109" s="66" t="s">
        <v>118</v>
      </c>
      <c r="K109" s="93" t="s">
        <v>32</v>
      </c>
      <c r="L109" s="91" t="str">
        <f>IF(AND('331-CT'!$E$7=TH!H109,OR(J109="331",K109="331")),"x","")</f>
        <v/>
      </c>
      <c r="M109" s="91" t="str">
        <f>IF(AND($B109&gt;='1111'!$N$10,$B109&lt;='1111'!$O$10,OR($J109=$M$7,$K109=$M$7)),"x","")</f>
        <v/>
      </c>
      <c r="N109" s="91" t="str">
        <f>IF(AND($J109=$M$7,$B109&lt;'1111'!$N$10),"x","")</f>
        <v/>
      </c>
      <c r="O109" s="91" t="str">
        <f>IF(AND($K109=$M$7,$B109&lt;'1111'!$N$10),"x","")</f>
        <v/>
      </c>
      <c r="P109" s="91" t="str">
        <f>IF(AND($B109&gt;='1121'!$N$9,$B109&lt;='1121'!$O$9,OR($J109=$P$7,$K109=$P$7)),"x","")</f>
        <v/>
      </c>
      <c r="Q109" s="91" t="str">
        <f>IF(AND($J109=$P$7,$B109&lt;'1121'!$N$9),"x","")</f>
        <v/>
      </c>
      <c r="R109" s="91" t="str">
        <f>IF(AND($K109=$P$7,$B109&lt;'1121'!$N$9),"x","")</f>
        <v/>
      </c>
      <c r="S109" s="91" t="str">
        <f>IF(OR(TH!J109=TH!$S$7,K109=TH!$S$7),"x","")</f>
        <v/>
      </c>
      <c r="T109" s="91" t="str">
        <f t="shared" si="6"/>
        <v>4</v>
      </c>
    </row>
    <row r="110" spans="1:20" s="78" customFormat="1" ht="15.75" customHeight="1">
      <c r="A110" s="157" t="str">
        <f>IF(B110&lt;&gt;"",IF(AND(B110&gt;=_TM1,B110&lt;=_TM2,OR(TH!J110="1111",TH!K110="1111")),TH!D110,""),"")</f>
        <v/>
      </c>
      <c r="B110" s="63">
        <f t="shared" si="5"/>
        <v>12</v>
      </c>
      <c r="C110" s="76">
        <v>40893</v>
      </c>
      <c r="D110" s="64" t="s">
        <v>8</v>
      </c>
      <c r="E110" s="64">
        <v>40893</v>
      </c>
      <c r="F110" s="67" t="s">
        <v>255</v>
      </c>
      <c r="G110" s="347"/>
      <c r="H110" s="81"/>
      <c r="I110" s="65">
        <v>4727</v>
      </c>
      <c r="J110" s="66" t="s">
        <v>118</v>
      </c>
      <c r="K110" s="66" t="s">
        <v>32</v>
      </c>
      <c r="L110" s="91" t="str">
        <f>IF(AND('331-CT'!$E$7=TH!H110,OR(J110="331",K110="331")),"x","")</f>
        <v/>
      </c>
      <c r="M110" s="91" t="str">
        <f>IF(AND($B110&gt;='1111'!$N$10,$B110&lt;='1111'!$O$10,OR($J110=$M$7,$K110=$M$7)),"x","")</f>
        <v/>
      </c>
      <c r="N110" s="91" t="str">
        <f>IF(AND($J110=$M$7,$B110&lt;'1111'!$N$10),"x","")</f>
        <v/>
      </c>
      <c r="O110" s="91" t="str">
        <f>IF(AND($K110=$M$7,$B110&lt;'1111'!$N$10),"x","")</f>
        <v/>
      </c>
      <c r="P110" s="91" t="str">
        <f>IF(AND($B110&gt;='1121'!$N$9,$B110&lt;='1121'!$O$9,OR($J110=$P$7,$K110=$P$7)),"x","")</f>
        <v/>
      </c>
      <c r="Q110" s="91" t="str">
        <f>IF(AND($J110=$P$7,$B110&lt;'1121'!$N$9),"x","")</f>
        <v/>
      </c>
      <c r="R110" s="91" t="str">
        <f>IF(AND($K110=$P$7,$B110&lt;'1121'!$N$9),"x","")</f>
        <v/>
      </c>
      <c r="S110" s="91" t="str">
        <f>IF(OR(TH!J110=TH!$S$7,K110=TH!$S$7),"x","")</f>
        <v/>
      </c>
      <c r="T110" s="91" t="str">
        <f t="shared" si="6"/>
        <v>4</v>
      </c>
    </row>
    <row r="111" spans="1:20" s="78" customFormat="1" ht="15.75" customHeight="1">
      <c r="A111" s="157" t="str">
        <f>IF(B111&lt;&gt;"",IF(AND(B111&gt;=_TM1,B111&lt;=_TM2,OR(TH!J111="1111",TH!K111="1111")),TH!D111,""),"")</f>
        <v/>
      </c>
      <c r="B111" s="63">
        <f t="shared" si="5"/>
        <v>12</v>
      </c>
      <c r="C111" s="64">
        <v>40893</v>
      </c>
      <c r="D111" s="64" t="s">
        <v>8</v>
      </c>
      <c r="E111" s="64">
        <v>40893</v>
      </c>
      <c r="F111" s="67" t="s">
        <v>269</v>
      </c>
      <c r="G111" s="347"/>
      <c r="H111" s="81"/>
      <c r="I111" s="65">
        <v>473</v>
      </c>
      <c r="J111" s="66" t="s">
        <v>118</v>
      </c>
      <c r="K111" s="66" t="s">
        <v>32</v>
      </c>
      <c r="L111" s="91" t="str">
        <f>IF(AND('331-CT'!$E$7=TH!H111,OR(J111="331",K111="331")),"x","")</f>
        <v/>
      </c>
      <c r="M111" s="91" t="str">
        <f>IF(AND($B111&gt;='1111'!$N$10,$B111&lt;='1111'!$O$10,OR($J111=$M$7,$K111=$M$7)),"x","")</f>
        <v/>
      </c>
      <c r="N111" s="91" t="str">
        <f>IF(AND($J111=$M$7,$B111&lt;'1111'!$N$10),"x","")</f>
        <v/>
      </c>
      <c r="O111" s="91" t="str">
        <f>IF(AND($K111=$M$7,$B111&lt;'1111'!$N$10),"x","")</f>
        <v/>
      </c>
      <c r="P111" s="91" t="str">
        <f>IF(AND($B111&gt;='1121'!$N$9,$B111&lt;='1121'!$O$9,OR($J111=$P$7,$K111=$P$7)),"x","")</f>
        <v/>
      </c>
      <c r="Q111" s="91" t="str">
        <f>IF(AND($J111=$P$7,$B111&lt;'1121'!$N$9),"x","")</f>
        <v/>
      </c>
      <c r="R111" s="91" t="str">
        <f>IF(AND($K111=$P$7,$B111&lt;'1121'!$N$9),"x","")</f>
        <v/>
      </c>
      <c r="S111" s="91" t="str">
        <f>IF(OR(TH!J111=TH!$S$7,K111=TH!$S$7),"x","")</f>
        <v/>
      </c>
      <c r="T111" s="91" t="str">
        <f t="shared" si="6"/>
        <v>4</v>
      </c>
    </row>
    <row r="112" spans="1:20" s="78" customFormat="1" ht="15.75" customHeight="1">
      <c r="A112" s="157" t="str">
        <f>IF(B112&lt;&gt;"",IF(AND(B112&gt;=_TM1,B112&lt;=_TM2,OR(TH!J112="1111",TH!K112="1111")),TH!D112,""),"")</f>
        <v>C02</v>
      </c>
      <c r="B112" s="63">
        <f t="shared" si="5"/>
        <v>12</v>
      </c>
      <c r="C112" s="64">
        <v>40896</v>
      </c>
      <c r="D112" s="64" t="s">
        <v>54</v>
      </c>
      <c r="E112" s="64">
        <v>40896</v>
      </c>
      <c r="F112" s="67" t="s">
        <v>276</v>
      </c>
      <c r="G112" s="347"/>
      <c r="H112" s="81"/>
      <c r="I112" s="65">
        <v>150000</v>
      </c>
      <c r="J112" s="66" t="s">
        <v>118</v>
      </c>
      <c r="K112" s="66" t="s">
        <v>79</v>
      </c>
      <c r="L112" s="91" t="str">
        <f>IF(AND('331-CT'!$E$7=TH!H112,OR(J112="331",K112="331")),"x","")</f>
        <v/>
      </c>
      <c r="M112" s="91" t="str">
        <f>IF(AND($B112&gt;='1111'!$N$10,$B112&lt;='1111'!$O$10,OR($J112=$M$7,$K112=$M$7)),"x","")</f>
        <v/>
      </c>
      <c r="N112" s="91" t="str">
        <f>IF(AND($J112=$M$7,$B112&lt;'1111'!$N$10),"x","")</f>
        <v/>
      </c>
      <c r="O112" s="91" t="str">
        <f>IF(AND($K112=$M$7,$B112&lt;'1111'!$N$10),"x","")</f>
        <v/>
      </c>
      <c r="P112" s="91" t="str">
        <f>IF(AND($B112&gt;='1121'!$N$9,$B112&lt;='1121'!$O$9,OR($J112=$P$7,$K112=$P$7)),"x","")</f>
        <v/>
      </c>
      <c r="Q112" s="91" t="str">
        <f>IF(AND($J112=$P$7,$B112&lt;'1121'!$N$9),"x","")</f>
        <v/>
      </c>
      <c r="R112" s="91" t="str">
        <f>IF(AND($K112=$P$7,$B112&lt;'1121'!$N$9),"x","")</f>
        <v/>
      </c>
      <c r="S112" s="91" t="str">
        <f>IF(OR(TH!J112=TH!$S$7,K112=TH!$S$7),"x","")</f>
        <v/>
      </c>
      <c r="T112" s="91" t="str">
        <f t="shared" si="6"/>
        <v>4</v>
      </c>
    </row>
    <row r="113" spans="1:20" ht="15.75" customHeight="1">
      <c r="A113" s="157" t="str">
        <f>IF(B113&lt;&gt;"",IF(AND(B113&gt;=_TM1,B113&lt;=_TM2,OR(TH!J113="1111",TH!K113="1111")),TH!D113,""),"")</f>
        <v/>
      </c>
      <c r="B113" s="63" t="str">
        <f t="shared" ref="B113:B130" si="7">IF(C113&lt;&gt;"",MONTH(C113),"")</f>
        <v/>
      </c>
      <c r="C113" s="64"/>
      <c r="D113" s="64"/>
      <c r="E113" s="64"/>
      <c r="F113" s="67"/>
      <c r="G113" s="347"/>
      <c r="H113" s="81"/>
      <c r="I113" s="65"/>
      <c r="J113" s="66"/>
      <c r="K113" s="66"/>
      <c r="L113" s="91" t="str">
        <f>IF(AND('331-CT'!$E$7=TH!H113,OR(J113="331",K113="331")),"x","")</f>
        <v/>
      </c>
      <c r="M113" s="91" t="str">
        <f>IF(AND($B113&gt;='1111'!$N$10,$B113&lt;='1111'!$O$10,OR($J113=$M$7,$K113=$M$7)),"x","")</f>
        <v/>
      </c>
      <c r="N113" s="91" t="str">
        <f>IF(AND($J113=$M$7,$B113&lt;'1111'!$N$10),"x","")</f>
        <v/>
      </c>
      <c r="O113" s="91" t="str">
        <f>IF(AND($K113=$M$7,$B113&lt;'1111'!$N$10),"x","")</f>
        <v/>
      </c>
      <c r="P113" s="91" t="str">
        <f>IF(AND($B113&gt;='1121'!$N$9,$B113&lt;='1121'!$O$9,OR($J113=$P$7,$K113=$P$7)),"x","")</f>
        <v/>
      </c>
      <c r="Q113" s="91" t="str">
        <f>IF(AND($J113=$P$7,$B113&lt;'1121'!$N$9),"x","")</f>
        <v/>
      </c>
      <c r="R113" s="91" t="str">
        <f>IF(AND($K113=$P$7,$B113&lt;'1121'!$N$9),"x","")</f>
        <v/>
      </c>
      <c r="S113" s="91" t="str">
        <f>IF(OR(TH!J113=TH!$S$7,K113=TH!$S$7),"x","")</f>
        <v/>
      </c>
      <c r="T113" s="91" t="str">
        <f t="shared" ref="T113:T130" si="8">IF(AND(1&lt;=$B113,$B113&lt;=3),"1",IF(AND(4&lt;=$B113,$B113&lt;=6),"2",IF(AND(7&lt;=$B113,$B113&lt;=9),"3",IF(AND(10&lt;=$B113,$B113&lt;=12),"4",""))))</f>
        <v/>
      </c>
    </row>
    <row r="114" spans="1:20" ht="15.75" customHeight="1">
      <c r="A114" s="157" t="str">
        <f>IF(B114&lt;&gt;"",IF(AND(B114&gt;=_TM1,B114&lt;=_TM2,OR(TH!J114="1111",TH!K114="1111")),TH!D114,""),"")</f>
        <v/>
      </c>
      <c r="B114" s="63" t="str">
        <f t="shared" si="7"/>
        <v/>
      </c>
      <c r="C114" s="64"/>
      <c r="D114" s="64"/>
      <c r="E114" s="64"/>
      <c r="F114" s="67"/>
      <c r="G114" s="347"/>
      <c r="H114" s="81"/>
      <c r="I114" s="65"/>
      <c r="J114" s="66"/>
      <c r="K114" s="66"/>
      <c r="L114" s="91" t="str">
        <f>IF(AND('331-CT'!$E$7=TH!H114,OR(J114="331",K114="331")),"x","")</f>
        <v/>
      </c>
      <c r="M114" s="91" t="str">
        <f>IF(AND($B114&gt;='1111'!$N$10,$B114&lt;='1111'!$O$10,OR($J114=$M$7,$K114=$M$7)),"x","")</f>
        <v/>
      </c>
      <c r="N114" s="91" t="str">
        <f>IF(AND($J114=$M$7,$B114&lt;'1111'!$N$10),"x","")</f>
        <v/>
      </c>
      <c r="O114" s="91" t="str">
        <f>IF(AND($K114=$M$7,$B114&lt;'1111'!$N$10),"x","")</f>
        <v/>
      </c>
      <c r="P114" s="91" t="str">
        <f>IF(AND($B114&gt;='1121'!$N$9,$B114&lt;='1121'!$O$9,OR($J114=$P$7,$K114=$P$7)),"x","")</f>
        <v/>
      </c>
      <c r="Q114" s="91" t="str">
        <f>IF(AND($J114=$P$7,$B114&lt;'1121'!$N$9),"x","")</f>
        <v/>
      </c>
      <c r="R114" s="91" t="str">
        <f>IF(AND($K114=$P$7,$B114&lt;'1121'!$N$9),"x","")</f>
        <v/>
      </c>
      <c r="S114" s="91" t="str">
        <f>IF(OR(TH!J114=TH!$S$7,K114=TH!$S$7),"x","")</f>
        <v/>
      </c>
      <c r="T114" s="91" t="str">
        <f t="shared" si="8"/>
        <v/>
      </c>
    </row>
    <row r="115" spans="1:20" ht="15.75" customHeight="1">
      <c r="A115" s="157" t="str">
        <f>IF(B115&lt;&gt;"",IF(AND(B115&gt;=_TM1,B115&lt;=_TM2,OR(TH!J115="1111",TH!K115="1111")),TH!D115,""),"")</f>
        <v/>
      </c>
      <c r="B115" s="63" t="str">
        <f t="shared" si="7"/>
        <v/>
      </c>
      <c r="C115" s="64"/>
      <c r="D115" s="64"/>
      <c r="E115" s="64"/>
      <c r="F115" s="67"/>
      <c r="G115" s="347"/>
      <c r="H115" s="81"/>
      <c r="I115" s="65"/>
      <c r="J115" s="66"/>
      <c r="K115" s="66"/>
      <c r="L115" s="91" t="str">
        <f>IF(AND('331-CT'!$E$7=TH!H115,OR(J115="331",K115="331")),"x","")</f>
        <v/>
      </c>
      <c r="M115" s="91" t="str">
        <f>IF(AND($B115&gt;='1111'!$N$10,$B115&lt;='1111'!$O$10,OR($J115=$M$7,$K115=$M$7)),"x","")</f>
        <v/>
      </c>
      <c r="N115" s="91" t="str">
        <f>IF(AND($J115=$M$7,$B115&lt;'1111'!$N$10),"x","")</f>
        <v/>
      </c>
      <c r="O115" s="91" t="str">
        <f>IF(AND($K115=$M$7,$B115&lt;'1111'!$N$10),"x","")</f>
        <v/>
      </c>
      <c r="P115" s="91" t="str">
        <f>IF(AND($B115&gt;='1121'!$N$9,$B115&lt;='1121'!$O$9,OR($J115=$P$7,$K115=$P$7)),"x","")</f>
        <v/>
      </c>
      <c r="Q115" s="91" t="str">
        <f>IF(AND($J115=$P$7,$B115&lt;'1121'!$N$9),"x","")</f>
        <v/>
      </c>
      <c r="R115" s="91" t="str">
        <f>IF(AND($K115=$P$7,$B115&lt;'1121'!$N$9),"x","")</f>
        <v/>
      </c>
      <c r="S115" s="91" t="str">
        <f>IF(OR(TH!J115=TH!$S$7,K115=TH!$S$7),"x","")</f>
        <v/>
      </c>
      <c r="T115" s="91" t="str">
        <f t="shared" si="8"/>
        <v/>
      </c>
    </row>
    <row r="116" spans="1:20" ht="15.75" customHeight="1">
      <c r="A116" s="157" t="str">
        <f>IF(B116&lt;&gt;"",IF(AND(B116&gt;=_TM1,B116&lt;=_TM2,OR(TH!J116="1111",TH!K116="1111")),TH!D116,""),"")</f>
        <v/>
      </c>
      <c r="B116" s="63" t="str">
        <f t="shared" si="7"/>
        <v/>
      </c>
      <c r="C116" s="64"/>
      <c r="D116" s="64"/>
      <c r="E116" s="64"/>
      <c r="F116" s="67"/>
      <c r="G116" s="347"/>
      <c r="H116" s="81"/>
      <c r="I116" s="65"/>
      <c r="J116" s="66"/>
      <c r="K116" s="66"/>
      <c r="L116" s="91" t="str">
        <f>IF(AND('331-CT'!$E$7=TH!H116,OR(J116="331",K116="331")),"x","")</f>
        <v/>
      </c>
      <c r="M116" s="91" t="str">
        <f>IF(AND($B116&gt;='1111'!$N$10,$B116&lt;='1111'!$O$10,OR($J116=$M$7,$K116=$M$7)),"x","")</f>
        <v/>
      </c>
      <c r="N116" s="91" t="str">
        <f>IF(AND($J116=$M$7,$B116&lt;'1111'!$N$10),"x","")</f>
        <v/>
      </c>
      <c r="O116" s="91" t="str">
        <f>IF(AND($K116=$M$7,$B116&lt;'1111'!$N$10),"x","")</f>
        <v/>
      </c>
      <c r="P116" s="91" t="str">
        <f>IF(AND($B116&gt;='1121'!$N$9,$B116&lt;='1121'!$O$9,OR($J116=$P$7,$K116=$P$7)),"x","")</f>
        <v/>
      </c>
      <c r="Q116" s="91" t="str">
        <f>IF(AND($J116=$P$7,$B116&lt;'1121'!$N$9),"x","")</f>
        <v/>
      </c>
      <c r="R116" s="91" t="str">
        <f>IF(AND($K116=$P$7,$B116&lt;'1121'!$N$9),"x","")</f>
        <v/>
      </c>
      <c r="S116" s="91" t="str">
        <f>IF(OR(TH!J116=TH!$S$7,K116=TH!$S$7),"x","")</f>
        <v/>
      </c>
      <c r="T116" s="91" t="str">
        <f t="shared" si="8"/>
        <v/>
      </c>
    </row>
    <row r="117" spans="1:20" ht="15.75" customHeight="1">
      <c r="A117" s="157" t="str">
        <f>IF(B117&lt;&gt;"",IF(AND(B117&gt;=_TM1,B117&lt;=_TM2,OR(TH!J117="1111",TH!K117="1111")),TH!D117,""),"")</f>
        <v/>
      </c>
      <c r="B117" s="63" t="str">
        <f t="shared" si="7"/>
        <v/>
      </c>
      <c r="C117" s="64"/>
      <c r="D117" s="64"/>
      <c r="E117" s="64"/>
      <c r="F117" s="67"/>
      <c r="G117" s="347"/>
      <c r="H117" s="81"/>
      <c r="I117" s="65"/>
      <c r="J117" s="66"/>
      <c r="K117" s="66"/>
      <c r="L117" s="91" t="str">
        <f>IF(AND('331-CT'!$E$7=TH!H117,OR(J117="331",K117="331")),"x","")</f>
        <v/>
      </c>
      <c r="M117" s="91" t="str">
        <f>IF(AND($B117&gt;='1111'!$N$10,$B117&lt;='1111'!$O$10,OR($J117=$M$7,$K117=$M$7)),"x","")</f>
        <v/>
      </c>
      <c r="N117" s="91" t="str">
        <f>IF(AND($J117=$M$7,$B117&lt;'1111'!$N$10),"x","")</f>
        <v/>
      </c>
      <c r="O117" s="91" t="str">
        <f>IF(AND($K117=$M$7,$B117&lt;'1111'!$N$10),"x","")</f>
        <v/>
      </c>
      <c r="P117" s="91" t="str">
        <f>IF(AND($B117&gt;='1121'!$N$9,$B117&lt;='1121'!$O$9,OR($J117=$P$7,$K117=$P$7)),"x","")</f>
        <v/>
      </c>
      <c r="Q117" s="91" t="str">
        <f>IF(AND($J117=$P$7,$B117&lt;'1121'!$N$9),"x","")</f>
        <v/>
      </c>
      <c r="R117" s="91" t="str">
        <f>IF(AND($K117=$P$7,$B117&lt;'1121'!$N$9),"x","")</f>
        <v/>
      </c>
      <c r="S117" s="91" t="str">
        <f>IF(OR(TH!J117=TH!$S$7,K117=TH!$S$7),"x","")</f>
        <v/>
      </c>
      <c r="T117" s="91" t="str">
        <f t="shared" si="8"/>
        <v/>
      </c>
    </row>
    <row r="118" spans="1:20" ht="15.75" customHeight="1">
      <c r="A118" s="157" t="str">
        <f>IF(B118&lt;&gt;"",IF(AND(B118&gt;=_TM1,B118&lt;=_TM2,OR(TH!J118="1111",TH!K118="1111")),TH!D118,""),"")</f>
        <v/>
      </c>
      <c r="B118" s="63" t="str">
        <f t="shared" si="7"/>
        <v/>
      </c>
      <c r="C118" s="64"/>
      <c r="D118" s="64"/>
      <c r="E118" s="64"/>
      <c r="F118" s="67"/>
      <c r="G118" s="347"/>
      <c r="H118" s="81"/>
      <c r="I118" s="65"/>
      <c r="J118" s="66"/>
      <c r="K118" s="66"/>
      <c r="L118" s="91" t="str">
        <f>IF(AND('331-CT'!$E$7=TH!H118,OR(J118="331",K118="331")),"x","")</f>
        <v/>
      </c>
      <c r="M118" s="91" t="str">
        <f>IF(AND($B118&gt;='1111'!$N$10,$B118&lt;='1111'!$O$10,OR($J118=$M$7,$K118=$M$7)),"x","")</f>
        <v/>
      </c>
      <c r="N118" s="91" t="str">
        <f>IF(AND($J118=$M$7,$B118&lt;'1111'!$N$10),"x","")</f>
        <v/>
      </c>
      <c r="O118" s="91" t="str">
        <f>IF(AND($K118=$M$7,$B118&lt;'1111'!$N$10),"x","")</f>
        <v/>
      </c>
      <c r="P118" s="91" t="str">
        <f>IF(AND($B118&gt;='1121'!$N$9,$B118&lt;='1121'!$O$9,OR($J118=$P$7,$K118=$P$7)),"x","")</f>
        <v/>
      </c>
      <c r="Q118" s="91" t="str">
        <f>IF(AND($J118=$P$7,$B118&lt;'1121'!$N$9),"x","")</f>
        <v/>
      </c>
      <c r="R118" s="91" t="str">
        <f>IF(AND($K118=$P$7,$B118&lt;'1121'!$N$9),"x","")</f>
        <v/>
      </c>
      <c r="S118" s="91" t="str">
        <f>IF(OR(TH!J118=TH!$S$7,K118=TH!$S$7),"x","")</f>
        <v/>
      </c>
      <c r="T118" s="91" t="str">
        <f t="shared" si="8"/>
        <v/>
      </c>
    </row>
    <row r="119" spans="1:20" ht="15.75" customHeight="1">
      <c r="A119" s="157" t="str">
        <f>IF(B119&lt;&gt;"",IF(AND(B119&gt;=_TM1,B119&lt;=_TM2,OR(TH!J119="1111",TH!K119="1111")),TH!D119,""),"")</f>
        <v/>
      </c>
      <c r="B119" s="63" t="str">
        <f t="shared" si="7"/>
        <v/>
      </c>
      <c r="C119" s="64"/>
      <c r="D119" s="64"/>
      <c r="E119" s="64"/>
      <c r="F119" s="67"/>
      <c r="G119" s="347"/>
      <c r="H119" s="81"/>
      <c r="I119" s="65"/>
      <c r="J119" s="66"/>
      <c r="K119" s="66"/>
      <c r="L119" s="91" t="str">
        <f>IF(AND('331-CT'!$E$7=TH!H119,OR(J119="331",K119="331")),"x","")</f>
        <v/>
      </c>
      <c r="M119" s="91" t="str">
        <f>IF(AND($B119&gt;='1111'!$N$10,$B119&lt;='1111'!$O$10,OR($J119=$M$7,$K119=$M$7)),"x","")</f>
        <v/>
      </c>
      <c r="N119" s="91" t="str">
        <f>IF(AND($J119=$M$7,$B119&lt;'1111'!$N$10),"x","")</f>
        <v/>
      </c>
      <c r="O119" s="91" t="str">
        <f>IF(AND($K119=$M$7,$B119&lt;'1111'!$N$10),"x","")</f>
        <v/>
      </c>
      <c r="P119" s="91" t="str">
        <f>IF(AND($B119&gt;='1121'!$N$9,$B119&lt;='1121'!$O$9,OR($J119=$P$7,$K119=$P$7)),"x","")</f>
        <v/>
      </c>
      <c r="Q119" s="91" t="str">
        <f>IF(AND($J119=$P$7,$B119&lt;'1121'!$N$9),"x","")</f>
        <v/>
      </c>
      <c r="R119" s="91" t="str">
        <f>IF(AND($K119=$P$7,$B119&lt;'1121'!$N$9),"x","")</f>
        <v/>
      </c>
      <c r="S119" s="91" t="str">
        <f>IF(OR(TH!J119=TH!$S$7,K119=TH!$S$7),"x","")</f>
        <v/>
      </c>
      <c r="T119" s="91" t="str">
        <f t="shared" si="8"/>
        <v/>
      </c>
    </row>
    <row r="120" spans="1:20" ht="15.75" customHeight="1">
      <c r="A120" s="157" t="str">
        <f>IF(B120&lt;&gt;"",IF(AND(B120&gt;=_TM1,B120&lt;=_TM2,OR(TH!J120="1111",TH!K120="1111")),TH!D120,""),"")</f>
        <v/>
      </c>
      <c r="B120" s="63" t="str">
        <f t="shared" si="7"/>
        <v/>
      </c>
      <c r="C120" s="64"/>
      <c r="D120" s="64"/>
      <c r="E120" s="64"/>
      <c r="F120" s="67"/>
      <c r="G120" s="347"/>
      <c r="H120" s="81"/>
      <c r="I120" s="65"/>
      <c r="J120" s="66"/>
      <c r="K120" s="66"/>
      <c r="L120" s="91" t="str">
        <f>IF(AND('331-CT'!$E$7=TH!H120,OR(J120="331",K120="331")),"x","")</f>
        <v/>
      </c>
      <c r="M120" s="91" t="str">
        <f>IF(AND($B120&gt;='1111'!$N$10,$B120&lt;='1111'!$O$10,OR($J120=$M$7,$K120=$M$7)),"x","")</f>
        <v/>
      </c>
      <c r="N120" s="91" t="str">
        <f>IF(AND($J120=$M$7,$B120&lt;'1111'!$N$10),"x","")</f>
        <v/>
      </c>
      <c r="O120" s="91" t="str">
        <f>IF(AND($K120=$M$7,$B120&lt;'1111'!$N$10),"x","")</f>
        <v/>
      </c>
      <c r="P120" s="91" t="str">
        <f>IF(AND($B120&gt;='1121'!$N$9,$B120&lt;='1121'!$O$9,OR($J120=$P$7,$K120=$P$7)),"x","")</f>
        <v/>
      </c>
      <c r="Q120" s="91" t="str">
        <f>IF(AND($J120=$P$7,$B120&lt;'1121'!$N$9),"x","")</f>
        <v/>
      </c>
      <c r="R120" s="91" t="str">
        <f>IF(AND($K120=$P$7,$B120&lt;'1121'!$N$9),"x","")</f>
        <v/>
      </c>
      <c r="S120" s="91" t="str">
        <f>IF(OR(TH!J120=TH!$S$7,K120=TH!$S$7),"x","")</f>
        <v/>
      </c>
      <c r="T120" s="91" t="str">
        <f t="shared" si="8"/>
        <v/>
      </c>
    </row>
    <row r="121" spans="1:20" ht="15.75" customHeight="1">
      <c r="A121" s="157" t="str">
        <f>IF(B121&lt;&gt;"",IF(AND(B121&gt;=_TM1,B121&lt;=_TM2,OR(TH!J121="1111",TH!K121="1111")),TH!D121,""),"")</f>
        <v/>
      </c>
      <c r="B121" s="63" t="str">
        <f t="shared" si="7"/>
        <v/>
      </c>
      <c r="C121" s="64"/>
      <c r="D121" s="64"/>
      <c r="E121" s="64"/>
      <c r="F121" s="67"/>
      <c r="G121" s="347"/>
      <c r="H121" s="81"/>
      <c r="I121" s="65"/>
      <c r="J121" s="66"/>
      <c r="K121" s="66"/>
      <c r="L121" s="91" t="str">
        <f>IF(AND('331-CT'!$E$7=TH!H121,OR(J121="331",K121="331")),"x","")</f>
        <v/>
      </c>
      <c r="M121" s="91" t="str">
        <f>IF(AND($B121&gt;='1111'!$N$10,$B121&lt;='1111'!$O$10,OR($J121=$M$7,$K121=$M$7)),"x","")</f>
        <v/>
      </c>
      <c r="N121" s="91" t="str">
        <f>IF(AND($J121=$M$7,$B121&lt;'1111'!$N$10),"x","")</f>
        <v/>
      </c>
      <c r="O121" s="91" t="str">
        <f>IF(AND($K121=$M$7,$B121&lt;'1111'!$N$10),"x","")</f>
        <v/>
      </c>
      <c r="P121" s="91" t="str">
        <f>IF(AND($B121&gt;='1121'!$N$9,$B121&lt;='1121'!$O$9,OR($J121=$P$7,$K121=$P$7)),"x","")</f>
        <v/>
      </c>
      <c r="Q121" s="91" t="str">
        <f>IF(AND($J121=$P$7,$B121&lt;'1121'!$N$9),"x","")</f>
        <v/>
      </c>
      <c r="R121" s="91" t="str">
        <f>IF(AND($K121=$P$7,$B121&lt;'1121'!$N$9),"x","")</f>
        <v/>
      </c>
      <c r="S121" s="91" t="str">
        <f>IF(OR(TH!J121=TH!$S$7,K121=TH!$S$7),"x","")</f>
        <v/>
      </c>
      <c r="T121" s="91" t="str">
        <f t="shared" si="8"/>
        <v/>
      </c>
    </row>
    <row r="122" spans="1:20" ht="15.75" customHeight="1">
      <c r="A122" s="157" t="str">
        <f>IF(B122&lt;&gt;"",IF(AND(B122&gt;=_TM1,B122&lt;=_TM2,OR(TH!J122="1111",TH!K122="1111")),TH!D122,""),"")</f>
        <v/>
      </c>
      <c r="B122" s="63" t="str">
        <f t="shared" si="7"/>
        <v/>
      </c>
      <c r="C122" s="64"/>
      <c r="D122" s="64"/>
      <c r="E122" s="64"/>
      <c r="F122" s="67"/>
      <c r="G122" s="347"/>
      <c r="H122" s="81"/>
      <c r="I122" s="65"/>
      <c r="J122" s="66"/>
      <c r="K122" s="66"/>
      <c r="L122" s="91" t="str">
        <f>IF(AND('331-CT'!$E$7=TH!H122,OR(J122="331",K122="331")),"x","")</f>
        <v/>
      </c>
      <c r="M122" s="91" t="str">
        <f>IF(AND($B122&gt;='1111'!$N$10,$B122&lt;='1111'!$O$10,OR($J122=$M$7,$K122=$M$7)),"x","")</f>
        <v/>
      </c>
      <c r="N122" s="91" t="str">
        <f>IF(AND($J122=$M$7,$B122&lt;'1111'!$N$10),"x","")</f>
        <v/>
      </c>
      <c r="O122" s="91" t="str">
        <f>IF(AND($K122=$M$7,$B122&lt;'1111'!$N$10),"x","")</f>
        <v/>
      </c>
      <c r="P122" s="91" t="str">
        <f>IF(AND($B122&gt;='1121'!$N$9,$B122&lt;='1121'!$O$9,OR($J122=$P$7,$K122=$P$7)),"x","")</f>
        <v/>
      </c>
      <c r="Q122" s="91" t="str">
        <f>IF(AND($J122=$P$7,$B122&lt;'1121'!$N$9),"x","")</f>
        <v/>
      </c>
      <c r="R122" s="91" t="str">
        <f>IF(AND($K122=$P$7,$B122&lt;'1121'!$N$9),"x","")</f>
        <v/>
      </c>
      <c r="S122" s="91" t="str">
        <f>IF(OR(TH!J122=TH!$S$7,K122=TH!$S$7),"x","")</f>
        <v/>
      </c>
      <c r="T122" s="91" t="str">
        <f t="shared" si="8"/>
        <v/>
      </c>
    </row>
    <row r="123" spans="1:20" ht="15.75" customHeight="1">
      <c r="A123" s="157" t="str">
        <f>IF(B123&lt;&gt;"",IF(AND(B123&gt;=_TM1,B123&lt;=_TM2,OR(TH!J123="1111",TH!K123="1111")),TH!D123,""),"")</f>
        <v/>
      </c>
      <c r="B123" s="63" t="str">
        <f t="shared" si="7"/>
        <v/>
      </c>
      <c r="C123" s="64"/>
      <c r="D123" s="64"/>
      <c r="E123" s="64"/>
      <c r="F123" s="67"/>
      <c r="G123" s="347"/>
      <c r="H123" s="81"/>
      <c r="I123" s="65"/>
      <c r="J123" s="66"/>
      <c r="K123" s="66"/>
      <c r="L123" s="91" t="str">
        <f>IF(AND('331-CT'!$E$7=TH!H123,OR(J123="331",K123="331")),"x","")</f>
        <v/>
      </c>
      <c r="M123" s="91" t="str">
        <f>IF(AND($B123&gt;='1111'!$N$10,$B123&lt;='1111'!$O$10,OR($J123=$M$7,$K123=$M$7)),"x","")</f>
        <v/>
      </c>
      <c r="N123" s="91" t="str">
        <f>IF(AND($J123=$M$7,$B123&lt;'1111'!$N$10),"x","")</f>
        <v/>
      </c>
      <c r="O123" s="91" t="str">
        <f>IF(AND($K123=$M$7,$B123&lt;'1111'!$N$10),"x","")</f>
        <v/>
      </c>
      <c r="P123" s="91" t="str">
        <f>IF(AND($B123&gt;='1121'!$N$9,$B123&lt;='1121'!$O$9,OR($J123=$P$7,$K123=$P$7)),"x","")</f>
        <v/>
      </c>
      <c r="Q123" s="91" t="str">
        <f>IF(AND($J123=$P$7,$B123&lt;'1121'!$N$9),"x","")</f>
        <v/>
      </c>
      <c r="R123" s="91" t="str">
        <f>IF(AND($K123=$P$7,$B123&lt;'1121'!$N$9),"x","")</f>
        <v/>
      </c>
      <c r="S123" s="91" t="str">
        <f>IF(OR(TH!J123=TH!$S$7,K123=TH!$S$7),"x","")</f>
        <v/>
      </c>
      <c r="T123" s="91" t="str">
        <f t="shared" si="8"/>
        <v/>
      </c>
    </row>
    <row r="124" spans="1:20" ht="15.75" customHeight="1">
      <c r="A124" s="157" t="str">
        <f>IF(B124&lt;&gt;"",IF(AND(B124&gt;=_TM1,B124&lt;=_TM2,OR(TH!J124="1111",TH!K124="1111")),TH!D124,""),"")</f>
        <v/>
      </c>
      <c r="B124" s="63" t="str">
        <f t="shared" si="7"/>
        <v/>
      </c>
      <c r="C124" s="64"/>
      <c r="D124" s="64"/>
      <c r="E124" s="64"/>
      <c r="F124" s="67"/>
      <c r="G124" s="347"/>
      <c r="H124" s="81"/>
      <c r="I124" s="65"/>
      <c r="J124" s="66"/>
      <c r="K124" s="66"/>
      <c r="L124" s="91" t="str">
        <f>IF(AND('331-CT'!$E$7=TH!H124,OR(J124="331",K124="331")),"x","")</f>
        <v/>
      </c>
      <c r="M124" s="91" t="str">
        <f>IF(AND($B124&gt;='1111'!$N$10,$B124&lt;='1111'!$O$10,OR($J124=$M$7,$K124=$M$7)),"x","")</f>
        <v/>
      </c>
      <c r="N124" s="91" t="str">
        <f>IF(AND($J124=$M$7,$B124&lt;'1111'!$N$10),"x","")</f>
        <v/>
      </c>
      <c r="O124" s="91" t="str">
        <f>IF(AND($K124=$M$7,$B124&lt;'1111'!$N$10),"x","")</f>
        <v/>
      </c>
      <c r="P124" s="91" t="str">
        <f>IF(AND($B124&gt;='1121'!$N$9,$B124&lt;='1121'!$O$9,OR($J124=$P$7,$K124=$P$7)),"x","")</f>
        <v/>
      </c>
      <c r="Q124" s="91" t="str">
        <f>IF(AND($J124=$P$7,$B124&lt;'1121'!$N$9),"x","")</f>
        <v/>
      </c>
      <c r="R124" s="91" t="str">
        <f>IF(AND($K124=$P$7,$B124&lt;'1121'!$N$9),"x","")</f>
        <v/>
      </c>
      <c r="S124" s="91" t="str">
        <f>IF(OR(TH!J124=TH!$S$7,K124=TH!$S$7),"x","")</f>
        <v/>
      </c>
      <c r="T124" s="91" t="str">
        <f t="shared" si="8"/>
        <v/>
      </c>
    </row>
    <row r="125" spans="1:20" ht="15.75" customHeight="1">
      <c r="A125" s="157" t="str">
        <f>IF(B125&lt;&gt;"",IF(AND(B125&gt;=_TM1,B125&lt;=_TM2,OR(TH!J125="1111",TH!K125="1111")),TH!D125,""),"")</f>
        <v/>
      </c>
      <c r="B125" s="63" t="str">
        <f t="shared" si="7"/>
        <v/>
      </c>
      <c r="C125" s="64"/>
      <c r="D125" s="64"/>
      <c r="E125" s="64"/>
      <c r="F125" s="67"/>
      <c r="G125" s="347"/>
      <c r="H125" s="81"/>
      <c r="I125" s="65"/>
      <c r="J125" s="66"/>
      <c r="K125" s="66"/>
      <c r="L125" s="91" t="str">
        <f>IF(AND('331-CT'!$E$7=TH!H125,OR(J125="331",K125="331")),"x","")</f>
        <v/>
      </c>
      <c r="M125" s="91" t="str">
        <f>IF(AND($B125&gt;='1111'!$N$10,$B125&lt;='1111'!$O$10,OR($J125=$M$7,$K125=$M$7)),"x","")</f>
        <v/>
      </c>
      <c r="N125" s="91" t="str">
        <f>IF(AND($J125=$M$7,$B125&lt;'1111'!$N$10),"x","")</f>
        <v/>
      </c>
      <c r="O125" s="91" t="str">
        <f>IF(AND($K125=$M$7,$B125&lt;'1111'!$N$10),"x","")</f>
        <v/>
      </c>
      <c r="P125" s="91" t="str">
        <f>IF(AND($B125&gt;='1121'!$N$9,$B125&lt;='1121'!$O$9,OR($J125=$P$7,$K125=$P$7)),"x","")</f>
        <v/>
      </c>
      <c r="Q125" s="91" t="str">
        <f>IF(AND($J125=$P$7,$B125&lt;'1121'!$N$9),"x","")</f>
        <v/>
      </c>
      <c r="R125" s="91" t="str">
        <f>IF(AND($K125=$P$7,$B125&lt;'1121'!$N$9),"x","")</f>
        <v/>
      </c>
      <c r="S125" s="91" t="str">
        <f>IF(OR(TH!J125=TH!$S$7,K125=TH!$S$7),"x","")</f>
        <v/>
      </c>
      <c r="T125" s="91" t="str">
        <f t="shared" si="8"/>
        <v/>
      </c>
    </row>
    <row r="126" spans="1:20" ht="15.75" customHeight="1">
      <c r="A126" s="157" t="str">
        <f>IF(B126&lt;&gt;"",IF(AND(B126&gt;=_TM1,B126&lt;=_TM2,OR(TH!J126="1111",TH!K126="1111")),TH!D126,""),"")</f>
        <v/>
      </c>
      <c r="B126" s="63" t="str">
        <f t="shared" si="7"/>
        <v/>
      </c>
      <c r="C126" s="64"/>
      <c r="D126" s="64"/>
      <c r="E126" s="64"/>
      <c r="F126" s="67"/>
      <c r="G126" s="347"/>
      <c r="H126" s="81"/>
      <c r="I126" s="65"/>
      <c r="J126" s="66"/>
      <c r="K126" s="66"/>
      <c r="L126" s="91" t="str">
        <f>IF(AND('331-CT'!$E$7=TH!H126,OR(J126="331",K126="331")),"x","")</f>
        <v/>
      </c>
      <c r="M126" s="91" t="str">
        <f>IF(AND($B126&gt;='1111'!$N$10,$B126&lt;='1111'!$O$10,OR($J126=$M$7,$K126=$M$7)),"x","")</f>
        <v/>
      </c>
      <c r="N126" s="91" t="str">
        <f>IF(AND($J126=$M$7,$B126&lt;'1111'!$N$10),"x","")</f>
        <v/>
      </c>
      <c r="O126" s="91" t="str">
        <f>IF(AND($K126=$M$7,$B126&lt;'1111'!$N$10),"x","")</f>
        <v/>
      </c>
      <c r="P126" s="91" t="str">
        <f>IF(AND($B126&gt;='1121'!$N$9,$B126&lt;='1121'!$O$9,OR($J126=$P$7,$K126=$P$7)),"x","")</f>
        <v/>
      </c>
      <c r="Q126" s="91" t="str">
        <f>IF(AND($J126=$P$7,$B126&lt;'1121'!$N$9),"x","")</f>
        <v/>
      </c>
      <c r="R126" s="91" t="str">
        <f>IF(AND($K126=$P$7,$B126&lt;'1121'!$N$9),"x","")</f>
        <v/>
      </c>
      <c r="S126" s="91" t="str">
        <f>IF(OR(TH!J126=TH!$S$7,K126=TH!$S$7),"x","")</f>
        <v/>
      </c>
      <c r="T126" s="91" t="str">
        <f t="shared" si="8"/>
        <v/>
      </c>
    </row>
    <row r="127" spans="1:20" ht="15.75" customHeight="1">
      <c r="A127" s="157" t="str">
        <f>IF(B127&lt;&gt;"",IF(AND(B127&gt;=_TM1,B127&lt;=_TM2,OR(TH!J127="1111",TH!K127="1111")),TH!D127,""),"")</f>
        <v/>
      </c>
      <c r="B127" s="63" t="str">
        <f t="shared" si="7"/>
        <v/>
      </c>
      <c r="C127" s="64"/>
      <c r="D127" s="64"/>
      <c r="E127" s="64"/>
      <c r="F127" s="67"/>
      <c r="G127" s="347"/>
      <c r="H127" s="81"/>
      <c r="I127" s="65"/>
      <c r="J127" s="66"/>
      <c r="K127" s="66"/>
      <c r="L127" s="91" t="str">
        <f>IF(AND('331-CT'!$E$7=TH!H127,OR(J127="331",K127="331")),"x","")</f>
        <v/>
      </c>
      <c r="M127" s="91" t="str">
        <f>IF(AND($B127&gt;='1111'!$N$10,$B127&lt;='1111'!$O$10,OR($J127=$M$7,$K127=$M$7)),"x","")</f>
        <v/>
      </c>
      <c r="N127" s="91" t="str">
        <f>IF(AND($J127=$M$7,$B127&lt;'1111'!$N$10),"x","")</f>
        <v/>
      </c>
      <c r="O127" s="91" t="str">
        <f>IF(AND($K127=$M$7,$B127&lt;'1111'!$N$10),"x","")</f>
        <v/>
      </c>
      <c r="P127" s="91" t="str">
        <f>IF(AND($B127&gt;='1121'!$N$9,$B127&lt;='1121'!$O$9,OR($J127=$P$7,$K127=$P$7)),"x","")</f>
        <v/>
      </c>
      <c r="Q127" s="91" t="str">
        <f>IF(AND($J127=$P$7,$B127&lt;'1121'!$N$9),"x","")</f>
        <v/>
      </c>
      <c r="R127" s="91" t="str">
        <f>IF(AND($K127=$P$7,$B127&lt;'1121'!$N$9),"x","")</f>
        <v/>
      </c>
      <c r="S127" s="91" t="str">
        <f>IF(OR(TH!J127=TH!$S$7,K127=TH!$S$7),"x","")</f>
        <v/>
      </c>
      <c r="T127" s="91" t="str">
        <f t="shared" si="8"/>
        <v/>
      </c>
    </row>
    <row r="128" spans="1:20" ht="15.75" customHeight="1">
      <c r="A128" s="157" t="str">
        <f>IF(B128&lt;&gt;"",IF(AND(B128&gt;=_TM1,B128&lt;=_TM2,OR(TH!J128="1111",TH!K128="1111")),TH!D128,""),"")</f>
        <v/>
      </c>
      <c r="B128" s="63" t="str">
        <f t="shared" si="7"/>
        <v/>
      </c>
      <c r="C128" s="64"/>
      <c r="D128" s="64"/>
      <c r="E128" s="64"/>
      <c r="F128" s="67"/>
      <c r="G128" s="347"/>
      <c r="H128" s="81"/>
      <c r="I128" s="65"/>
      <c r="J128" s="66"/>
      <c r="K128" s="66"/>
      <c r="L128" s="91" t="str">
        <f>IF(AND('331-CT'!$E$7=TH!H128,OR(J128="331",K128="331")),"x","")</f>
        <v/>
      </c>
      <c r="M128" s="91" t="str">
        <f>IF(AND($B128&gt;='1111'!$N$10,$B128&lt;='1111'!$O$10,OR($J128=$M$7,$K128=$M$7)),"x","")</f>
        <v/>
      </c>
      <c r="N128" s="91" t="str">
        <f>IF(AND($J128=$M$7,$B128&lt;'1111'!$N$10),"x","")</f>
        <v/>
      </c>
      <c r="O128" s="91" t="str">
        <f>IF(AND($K128=$M$7,$B128&lt;'1111'!$N$10),"x","")</f>
        <v/>
      </c>
      <c r="P128" s="91" t="str">
        <f>IF(AND($B128&gt;='1121'!$N$9,$B128&lt;='1121'!$O$9,OR($J128=$P$7,$K128=$P$7)),"x","")</f>
        <v/>
      </c>
      <c r="Q128" s="91" t="str">
        <f>IF(AND($J128=$P$7,$B128&lt;'1121'!$N$9),"x","")</f>
        <v/>
      </c>
      <c r="R128" s="91" t="str">
        <f>IF(AND($K128=$P$7,$B128&lt;'1121'!$N$9),"x","")</f>
        <v/>
      </c>
      <c r="S128" s="91" t="str">
        <f>IF(OR(TH!J128=TH!$S$7,K128=TH!$S$7),"x","")</f>
        <v/>
      </c>
      <c r="T128" s="91" t="str">
        <f t="shared" si="8"/>
        <v/>
      </c>
    </row>
    <row r="129" spans="1:20" ht="15.75" customHeight="1">
      <c r="A129" s="157" t="str">
        <f>IF(B129&lt;&gt;"",IF(AND(B129&gt;=_TM1,B129&lt;=_TM2,OR(TH!J129="1111",TH!K129="1111")),TH!D129,""),"")</f>
        <v/>
      </c>
      <c r="B129" s="63" t="str">
        <f t="shared" si="7"/>
        <v/>
      </c>
      <c r="C129" s="64"/>
      <c r="D129" s="64"/>
      <c r="E129" s="64"/>
      <c r="F129" s="67"/>
      <c r="G129" s="347"/>
      <c r="H129" s="81"/>
      <c r="I129" s="65"/>
      <c r="J129" s="66"/>
      <c r="K129" s="66"/>
      <c r="L129" s="91" t="str">
        <f>IF(AND('331-CT'!$E$7=TH!H129,OR(J129="331",K129="331")),"x","")</f>
        <v/>
      </c>
      <c r="M129" s="91" t="str">
        <f>IF(AND($B129&gt;='1111'!$N$10,$B129&lt;='1111'!$O$10,OR($J129=$M$7,$K129=$M$7)),"x","")</f>
        <v/>
      </c>
      <c r="N129" s="91" t="str">
        <f>IF(AND($J129=$M$7,$B129&lt;'1111'!$N$10),"x","")</f>
        <v/>
      </c>
      <c r="O129" s="91" t="str">
        <f>IF(AND($K129=$M$7,$B129&lt;'1111'!$N$10),"x","")</f>
        <v/>
      </c>
      <c r="P129" s="91" t="str">
        <f>IF(AND($B129&gt;='1121'!$N$9,$B129&lt;='1121'!$O$9,OR($J129=$P$7,$K129=$P$7)),"x","")</f>
        <v/>
      </c>
      <c r="Q129" s="91" t="str">
        <f>IF(AND($J129=$P$7,$B129&lt;'1121'!$N$9),"x","")</f>
        <v/>
      </c>
      <c r="R129" s="91" t="str">
        <f>IF(AND($K129=$P$7,$B129&lt;'1121'!$N$9),"x","")</f>
        <v/>
      </c>
      <c r="S129" s="91" t="str">
        <f>IF(OR(TH!J129=TH!$S$7,K129=TH!$S$7),"x","")</f>
        <v/>
      </c>
      <c r="T129" s="91" t="str">
        <f t="shared" si="8"/>
        <v/>
      </c>
    </row>
    <row r="130" spans="1:20" ht="15.75" customHeight="1">
      <c r="A130" s="157" t="str">
        <f>IF(B130&lt;&gt;"",IF(AND(B130&gt;=_TM1,B130&lt;=_TM2,OR(TH!J130="1111",TH!K130="1111")),TH!D130,""),"")</f>
        <v/>
      </c>
      <c r="B130" s="63" t="str">
        <f t="shared" si="7"/>
        <v/>
      </c>
      <c r="C130" s="64"/>
      <c r="D130" s="64"/>
      <c r="E130" s="64"/>
      <c r="F130" s="67"/>
      <c r="G130" s="347"/>
      <c r="H130" s="81"/>
      <c r="I130" s="65"/>
      <c r="J130" s="66"/>
      <c r="K130" s="66"/>
      <c r="L130" s="91" t="str">
        <f>IF(AND('331-CT'!$E$7=TH!H130,OR(J130="331",K130="331")),"x","")</f>
        <v/>
      </c>
      <c r="M130" s="91" t="str">
        <f>IF(AND($B130&gt;='1111'!$N$10,$B130&lt;='1111'!$O$10,OR($J130=$M$7,$K130=$M$7)),"x","")</f>
        <v/>
      </c>
      <c r="N130" s="91" t="str">
        <f>IF(AND($J130=$M$7,$B130&lt;'1111'!$N$10),"x","")</f>
        <v/>
      </c>
      <c r="O130" s="91" t="str">
        <f>IF(AND($K130=$M$7,$B130&lt;'1111'!$N$10),"x","")</f>
        <v/>
      </c>
      <c r="P130" s="91" t="str">
        <f>IF(AND($B130&gt;='1121'!$N$9,$B130&lt;='1121'!$O$9,OR($J130=$P$7,$K130=$P$7)),"x","")</f>
        <v/>
      </c>
      <c r="Q130" s="91" t="str">
        <f>IF(AND($J130=$P$7,$B130&lt;'1121'!$N$9),"x","")</f>
        <v/>
      </c>
      <c r="R130" s="91" t="str">
        <f>IF(AND($K130=$P$7,$B130&lt;'1121'!$N$9),"x","")</f>
        <v/>
      </c>
      <c r="S130" s="91" t="str">
        <f>IF(OR(TH!J130=TH!$S$7,K130=TH!$S$7),"x","")</f>
        <v/>
      </c>
      <c r="T130" s="91" t="str">
        <f t="shared" si="8"/>
        <v/>
      </c>
    </row>
  </sheetData>
  <autoFilter ref="A9:P130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6">
    <mergeCell ref="T7:T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S7:S8"/>
    <mergeCell ref="M7:O8"/>
    <mergeCell ref="P7:R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23"/>
  <sheetViews>
    <sheetView topLeftCell="A7" workbookViewId="0">
      <pane xSplit="8" ySplit="5" topLeftCell="AR36" activePane="bottomRight" state="frozen"/>
      <selection activeCell="E170" sqref="E170"/>
      <selection pane="topRight" activeCell="E170" sqref="E170"/>
      <selection pane="bottomLeft" activeCell="E170" sqref="E170"/>
      <selection pane="bottomRight" activeCell="B55" sqref="B55:B61"/>
    </sheetView>
  </sheetViews>
  <sheetFormatPr defaultRowHeight="12.75"/>
  <cols>
    <col min="1" max="1" width="4.85546875" style="278" customWidth="1"/>
    <col min="2" max="2" width="10.42578125" style="278" customWidth="1"/>
    <col min="3" max="3" width="7.42578125" style="278" customWidth="1"/>
    <col min="4" max="4" width="10.85546875" style="278" customWidth="1"/>
    <col min="5" max="5" width="40" style="278" customWidth="1"/>
    <col min="6" max="6" width="14.140625" style="278" customWidth="1"/>
    <col min="7" max="8" width="5.85546875" style="279" customWidth="1"/>
    <col min="9" max="9" width="4.85546875" style="278" customWidth="1"/>
    <col min="10" max="11" width="15.42578125" style="278" customWidth="1"/>
    <col min="12" max="13" width="16.140625" style="278" customWidth="1"/>
    <col min="14" max="14" width="14.7109375" style="278" customWidth="1"/>
    <col min="15" max="15" width="14.5703125" style="278" customWidth="1"/>
    <col min="16" max="16" width="8.140625" style="278" customWidth="1"/>
    <col min="17" max="17" width="7.28515625" style="278" customWidth="1"/>
    <col min="18" max="18" width="14.5703125" style="278" customWidth="1"/>
    <col min="19" max="19" width="7.140625" style="278" customWidth="1"/>
    <col min="20" max="20" width="15.28515625" style="278" customWidth="1"/>
    <col min="21" max="21" width="7.85546875" style="278" customWidth="1"/>
    <col min="22" max="22" width="9.5703125" style="278" customWidth="1"/>
    <col min="23" max="23" width="6" style="278" customWidth="1"/>
    <col min="24" max="24" width="11.28515625" style="278" customWidth="1"/>
    <col min="25" max="25" width="11.5703125" style="278" customWidth="1"/>
    <col min="26" max="26" width="14.140625" style="278" customWidth="1"/>
    <col min="27" max="27" width="13" style="278" customWidth="1"/>
    <col min="28" max="28" width="6.5703125" style="278" customWidth="1"/>
    <col min="29" max="29" width="15.7109375" style="278" customWidth="1"/>
    <col min="30" max="30" width="6.28515625" style="278" customWidth="1"/>
    <col min="31" max="31" width="15" style="278" customWidth="1"/>
    <col min="32" max="41" width="12.5703125" style="278" customWidth="1"/>
    <col min="42" max="42" width="10.140625" style="278" customWidth="1"/>
    <col min="43" max="43" width="11.85546875" style="278" customWidth="1"/>
    <col min="44" max="44" width="9.140625" style="278" customWidth="1"/>
    <col min="45" max="47" width="10.7109375" style="278" customWidth="1"/>
    <col min="48" max="48" width="14.28515625" style="278" customWidth="1"/>
    <col min="49" max="49" width="14.5703125" style="278" customWidth="1"/>
    <col min="50" max="16384" width="9.140625" style="278"/>
  </cols>
  <sheetData>
    <row r="1" spans="1:49" ht="12.75" customHeight="1">
      <c r="A1" s="274"/>
      <c r="B1" s="275" t="s">
        <v>139</v>
      </c>
      <c r="C1" s="276"/>
      <c r="D1" s="276"/>
      <c r="E1" s="277"/>
      <c r="I1" s="276"/>
      <c r="M1" s="389" t="s">
        <v>214</v>
      </c>
      <c r="N1" s="389"/>
      <c r="O1" s="389"/>
      <c r="P1" s="277"/>
      <c r="V1" s="276"/>
      <c r="W1" s="276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6"/>
      <c r="AQ1" s="276"/>
      <c r="AR1" s="276"/>
      <c r="AS1" s="276"/>
      <c r="AT1" s="276"/>
      <c r="AU1" s="276"/>
      <c r="AV1" s="276"/>
      <c r="AW1" s="276"/>
    </row>
    <row r="2" spans="1:49" ht="12.75" customHeight="1">
      <c r="A2" s="274"/>
      <c r="B2" s="275" t="s">
        <v>203</v>
      </c>
      <c r="C2" s="276"/>
      <c r="D2" s="276"/>
      <c r="E2" s="276"/>
      <c r="I2" s="280"/>
      <c r="M2" s="390" t="s">
        <v>215</v>
      </c>
      <c r="N2" s="390"/>
      <c r="O2" s="390"/>
      <c r="P2" s="281"/>
      <c r="V2" s="280"/>
      <c r="W2" s="280"/>
      <c r="X2" s="281"/>
      <c r="Y2" s="281"/>
      <c r="Z2" s="281"/>
      <c r="AA2" s="281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1"/>
      <c r="AM2" s="281"/>
      <c r="AN2" s="281"/>
      <c r="AO2" s="281"/>
      <c r="AP2" s="280"/>
      <c r="AQ2" s="280"/>
      <c r="AR2" s="280"/>
      <c r="AS2" s="280"/>
      <c r="AT2" s="280"/>
      <c r="AU2" s="280"/>
      <c r="AV2" s="280"/>
      <c r="AW2" s="280"/>
    </row>
    <row r="3" spans="1:49" ht="10.5" customHeight="1">
      <c r="A3" s="276"/>
      <c r="B3" s="276"/>
      <c r="C3" s="276"/>
      <c r="D3" s="276"/>
      <c r="E3" s="276"/>
      <c r="F3" s="280"/>
      <c r="G3" s="282"/>
      <c r="H3" s="282"/>
      <c r="I3" s="280"/>
      <c r="M3" s="390"/>
      <c r="N3" s="390"/>
      <c r="O3" s="390"/>
      <c r="P3" s="281"/>
      <c r="V3" s="280"/>
      <c r="W3" s="280"/>
      <c r="X3" s="281"/>
      <c r="Y3" s="281"/>
      <c r="Z3" s="281"/>
      <c r="AA3" s="281"/>
      <c r="AB3" s="281"/>
      <c r="AC3" s="281"/>
      <c r="AD3" s="281"/>
      <c r="AE3" s="281"/>
      <c r="AF3" s="281"/>
      <c r="AG3" s="281"/>
      <c r="AH3" s="281"/>
      <c r="AI3" s="281"/>
      <c r="AJ3" s="281"/>
      <c r="AK3" s="281"/>
      <c r="AL3" s="281"/>
      <c r="AM3" s="281"/>
      <c r="AN3" s="281"/>
      <c r="AO3" s="281"/>
      <c r="AP3" s="280"/>
      <c r="AQ3" s="280"/>
      <c r="AR3" s="280"/>
      <c r="AS3" s="280"/>
      <c r="AT3" s="280"/>
      <c r="AU3" s="280"/>
      <c r="AV3" s="280"/>
      <c r="AW3" s="280"/>
    </row>
    <row r="4" spans="1:49" ht="19.5" customHeight="1">
      <c r="B4" s="391" t="s">
        <v>129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283"/>
      <c r="R4" s="283"/>
      <c r="S4" s="283"/>
      <c r="T4" s="283"/>
      <c r="U4" s="283"/>
      <c r="V4" s="284"/>
      <c r="W4" s="284"/>
      <c r="X4" s="283"/>
      <c r="Y4" s="283"/>
      <c r="Z4" s="283"/>
      <c r="AA4" s="283"/>
      <c r="AB4" s="283"/>
      <c r="AC4" s="283"/>
      <c r="AD4" s="283"/>
      <c r="AE4" s="283"/>
      <c r="AF4" s="283"/>
      <c r="AG4" s="283"/>
      <c r="AH4" s="283"/>
      <c r="AI4" s="283"/>
      <c r="AJ4" s="283"/>
      <c r="AK4" s="283"/>
      <c r="AL4" s="283"/>
      <c r="AM4" s="283"/>
      <c r="AN4" s="283"/>
      <c r="AO4" s="283"/>
      <c r="AP4" s="285"/>
      <c r="AQ4" s="285"/>
      <c r="AR4" s="285"/>
      <c r="AS4" s="285"/>
      <c r="AT4" s="285"/>
      <c r="AU4" s="285"/>
      <c r="AV4" s="285"/>
      <c r="AW4" s="285"/>
    </row>
    <row r="5" spans="1:49" ht="15">
      <c r="B5" s="392" t="s">
        <v>216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6"/>
      <c r="R5" s="286"/>
      <c r="S5" s="286"/>
      <c r="T5" s="286"/>
      <c r="U5" s="286"/>
      <c r="V5" s="287"/>
      <c r="W5" s="287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</row>
    <row r="6" spans="1:49">
      <c r="N6" s="278" t="s">
        <v>169</v>
      </c>
    </row>
    <row r="7" spans="1:49" ht="13.5" customHeight="1">
      <c r="A7" s="393" t="s">
        <v>48</v>
      </c>
      <c r="B7" s="395" t="s">
        <v>28</v>
      </c>
      <c r="C7" s="396" t="s">
        <v>1</v>
      </c>
      <c r="D7" s="397"/>
      <c r="E7" s="395" t="s">
        <v>0</v>
      </c>
      <c r="F7" s="395" t="s">
        <v>130</v>
      </c>
      <c r="G7" s="398" t="s">
        <v>131</v>
      </c>
      <c r="H7" s="398"/>
      <c r="I7" s="399" t="s">
        <v>48</v>
      </c>
      <c r="J7" s="395" t="s">
        <v>217</v>
      </c>
      <c r="K7" s="395"/>
      <c r="L7" s="395" t="s">
        <v>218</v>
      </c>
      <c r="M7" s="395"/>
      <c r="N7" s="395" t="s">
        <v>219</v>
      </c>
      <c r="O7" s="395"/>
      <c r="P7" s="395" t="s">
        <v>220</v>
      </c>
      <c r="Q7" s="395"/>
      <c r="R7" s="395" t="s">
        <v>221</v>
      </c>
      <c r="S7" s="395"/>
      <c r="T7" s="395" t="s">
        <v>222</v>
      </c>
      <c r="U7" s="395"/>
      <c r="V7" s="395" t="s">
        <v>223</v>
      </c>
      <c r="W7" s="395"/>
      <c r="X7" s="395" t="s">
        <v>224</v>
      </c>
      <c r="Y7" s="395"/>
      <c r="Z7" s="395" t="s">
        <v>225</v>
      </c>
      <c r="AA7" s="395"/>
      <c r="AB7" s="395" t="s">
        <v>226</v>
      </c>
      <c r="AC7" s="395"/>
      <c r="AD7" s="395" t="s">
        <v>227</v>
      </c>
      <c r="AE7" s="395"/>
      <c r="AF7" s="395" t="s">
        <v>228</v>
      </c>
      <c r="AG7" s="395"/>
      <c r="AH7" s="395" t="s">
        <v>229</v>
      </c>
      <c r="AI7" s="395"/>
      <c r="AJ7" s="395" t="s">
        <v>230</v>
      </c>
      <c r="AK7" s="395"/>
      <c r="AL7" s="395" t="s">
        <v>231</v>
      </c>
      <c r="AM7" s="395"/>
      <c r="AN7" s="395" t="s">
        <v>232</v>
      </c>
      <c r="AO7" s="395"/>
      <c r="AP7" s="395" t="s">
        <v>233</v>
      </c>
      <c r="AQ7" s="395"/>
      <c r="AR7" s="395" t="s">
        <v>234</v>
      </c>
      <c r="AS7" s="395"/>
      <c r="AT7" s="395" t="s">
        <v>235</v>
      </c>
      <c r="AU7" s="395"/>
      <c r="AV7" s="395" t="s">
        <v>236</v>
      </c>
      <c r="AW7" s="395"/>
    </row>
    <row r="8" spans="1:49" ht="22.5" customHeight="1">
      <c r="A8" s="394"/>
      <c r="B8" s="395"/>
      <c r="C8" s="289" t="s">
        <v>19</v>
      </c>
      <c r="D8" s="288" t="s">
        <v>40</v>
      </c>
      <c r="E8" s="395"/>
      <c r="F8" s="395"/>
      <c r="G8" s="290" t="s">
        <v>30</v>
      </c>
      <c r="H8" s="290" t="s">
        <v>31</v>
      </c>
      <c r="I8" s="399"/>
      <c r="J8" s="288" t="s">
        <v>30</v>
      </c>
      <c r="K8" s="288" t="s">
        <v>31</v>
      </c>
      <c r="L8" s="288" t="s">
        <v>30</v>
      </c>
      <c r="M8" s="288" t="s">
        <v>31</v>
      </c>
      <c r="N8" s="288" t="s">
        <v>30</v>
      </c>
      <c r="O8" s="288" t="s">
        <v>31</v>
      </c>
      <c r="P8" s="288" t="s">
        <v>30</v>
      </c>
      <c r="Q8" s="288" t="s">
        <v>31</v>
      </c>
      <c r="R8" s="288" t="s">
        <v>30</v>
      </c>
      <c r="S8" s="288" t="s">
        <v>31</v>
      </c>
      <c r="T8" s="288" t="s">
        <v>30</v>
      </c>
      <c r="U8" s="288" t="s">
        <v>31</v>
      </c>
      <c r="V8" s="288" t="s">
        <v>30</v>
      </c>
      <c r="W8" s="288" t="s">
        <v>31</v>
      </c>
      <c r="X8" s="288" t="s">
        <v>30</v>
      </c>
      <c r="Y8" s="288" t="s">
        <v>31</v>
      </c>
      <c r="Z8" s="288" t="s">
        <v>30</v>
      </c>
      <c r="AA8" s="288" t="s">
        <v>31</v>
      </c>
      <c r="AB8" s="288" t="s">
        <v>30</v>
      </c>
      <c r="AC8" s="288" t="s">
        <v>31</v>
      </c>
      <c r="AD8" s="288" t="s">
        <v>30</v>
      </c>
      <c r="AE8" s="288" t="s">
        <v>31</v>
      </c>
      <c r="AF8" s="288" t="s">
        <v>30</v>
      </c>
      <c r="AG8" s="288" t="s">
        <v>31</v>
      </c>
      <c r="AH8" s="288" t="s">
        <v>30</v>
      </c>
      <c r="AI8" s="288" t="s">
        <v>31</v>
      </c>
      <c r="AJ8" s="288" t="s">
        <v>30</v>
      </c>
      <c r="AK8" s="288" t="s">
        <v>31</v>
      </c>
      <c r="AL8" s="288" t="s">
        <v>30</v>
      </c>
      <c r="AM8" s="288" t="s">
        <v>31</v>
      </c>
      <c r="AN8" s="288" t="s">
        <v>30</v>
      </c>
      <c r="AO8" s="288" t="s">
        <v>31</v>
      </c>
      <c r="AP8" s="288" t="s">
        <v>30</v>
      </c>
      <c r="AQ8" s="288" t="s">
        <v>31</v>
      </c>
      <c r="AR8" s="288" t="s">
        <v>30</v>
      </c>
      <c r="AS8" s="288" t="s">
        <v>31</v>
      </c>
      <c r="AT8" s="288" t="s">
        <v>30</v>
      </c>
      <c r="AU8" s="288" t="s">
        <v>31</v>
      </c>
      <c r="AV8" s="288" t="s">
        <v>30</v>
      </c>
      <c r="AW8" s="288" t="s">
        <v>31</v>
      </c>
    </row>
    <row r="9" spans="1:49" s="292" customFormat="1" ht="8.25" customHeight="1">
      <c r="A9" s="291">
        <v>1</v>
      </c>
      <c r="B9" s="291">
        <v>2</v>
      </c>
      <c r="C9" s="291">
        <v>3</v>
      </c>
      <c r="D9" s="291">
        <v>4</v>
      </c>
      <c r="E9" s="291">
        <v>5</v>
      </c>
      <c r="F9" s="291">
        <v>6</v>
      </c>
      <c r="G9" s="291">
        <v>7</v>
      </c>
      <c r="H9" s="291">
        <v>8</v>
      </c>
      <c r="I9" s="291">
        <v>9</v>
      </c>
      <c r="J9" s="291">
        <v>10</v>
      </c>
      <c r="K9" s="291">
        <v>11</v>
      </c>
      <c r="L9" s="291">
        <v>12</v>
      </c>
      <c r="M9" s="291">
        <v>13</v>
      </c>
      <c r="N9" s="291">
        <v>14</v>
      </c>
      <c r="O9" s="291">
        <v>15</v>
      </c>
      <c r="P9" s="291">
        <v>16</v>
      </c>
      <c r="Q9" s="291">
        <v>17</v>
      </c>
      <c r="R9" s="291">
        <v>18</v>
      </c>
      <c r="S9" s="291">
        <v>19</v>
      </c>
      <c r="T9" s="291">
        <v>20</v>
      </c>
      <c r="U9" s="291">
        <v>21</v>
      </c>
      <c r="V9" s="291">
        <v>22</v>
      </c>
      <c r="W9" s="291">
        <v>23</v>
      </c>
      <c r="X9" s="291">
        <v>24</v>
      </c>
      <c r="Y9" s="291">
        <v>25</v>
      </c>
      <c r="Z9" s="291">
        <v>26</v>
      </c>
      <c r="AA9" s="291">
        <v>27</v>
      </c>
      <c r="AB9" s="291">
        <v>28</v>
      </c>
      <c r="AC9" s="291">
        <v>29</v>
      </c>
      <c r="AD9" s="291">
        <v>30</v>
      </c>
      <c r="AE9" s="291">
        <v>31</v>
      </c>
      <c r="AF9" s="291">
        <v>32</v>
      </c>
      <c r="AG9" s="291">
        <v>33</v>
      </c>
      <c r="AH9" s="291">
        <v>34</v>
      </c>
      <c r="AI9" s="291">
        <v>35</v>
      </c>
      <c r="AJ9" s="291">
        <v>36</v>
      </c>
      <c r="AK9" s="291">
        <v>37</v>
      </c>
      <c r="AL9" s="291">
        <v>38</v>
      </c>
      <c r="AM9" s="291">
        <v>39</v>
      </c>
      <c r="AN9" s="291">
        <v>40</v>
      </c>
      <c r="AO9" s="291">
        <v>41</v>
      </c>
      <c r="AP9" s="291">
        <v>42</v>
      </c>
      <c r="AQ9" s="291">
        <v>43</v>
      </c>
      <c r="AR9" s="291">
        <v>44</v>
      </c>
      <c r="AS9" s="291">
        <v>45</v>
      </c>
      <c r="AT9" s="291">
        <v>46</v>
      </c>
      <c r="AU9" s="291">
        <v>47</v>
      </c>
      <c r="AV9" s="291">
        <v>48</v>
      </c>
      <c r="AW9" s="291">
        <v>49</v>
      </c>
    </row>
    <row r="10" spans="1:49" s="300" customFormat="1" ht="12.75" customHeight="1">
      <c r="A10" s="63" t="str">
        <f t="array" ref="A10">IF(C10&lt;&gt;0,SUM(($C10:C$16&lt;&gt;0)*1),"")</f>
        <v/>
      </c>
      <c r="B10" s="293"/>
      <c r="C10" s="294"/>
      <c r="D10" s="293"/>
      <c r="E10" s="295" t="s">
        <v>237</v>
      </c>
      <c r="F10" s="296"/>
      <c r="G10" s="297"/>
      <c r="H10" s="297"/>
      <c r="I10" s="298"/>
      <c r="J10" s="299">
        <f>CDPS!C10</f>
        <v>3994790000</v>
      </c>
      <c r="K10" s="299">
        <f>CDPS!D10</f>
        <v>0</v>
      </c>
      <c r="L10" s="299">
        <f>CDPS!C12</f>
        <v>0</v>
      </c>
      <c r="M10" s="299">
        <f>CDPS!D12</f>
        <v>0</v>
      </c>
      <c r="N10" s="299">
        <f>CDPS!C14</f>
        <v>0</v>
      </c>
      <c r="O10" s="299">
        <f>CDPS!D14</f>
        <v>0</v>
      </c>
      <c r="P10" s="299">
        <f>CDPS!C16</f>
        <v>0</v>
      </c>
      <c r="Q10" s="299">
        <f>CDPS!D16</f>
        <v>0</v>
      </c>
      <c r="R10" s="299">
        <f>CDPS!C18</f>
        <v>0</v>
      </c>
      <c r="S10" s="299">
        <f>CDPS!D18</f>
        <v>0</v>
      </c>
      <c r="T10" s="299">
        <f>CDPS!C20</f>
        <v>0</v>
      </c>
      <c r="U10" s="299">
        <f>CDPS!D20</f>
        <v>0</v>
      </c>
      <c r="V10" s="299">
        <f>CDPS!C21</f>
        <v>0</v>
      </c>
      <c r="W10" s="299">
        <f>CDPS!D21</f>
        <v>0</v>
      </c>
      <c r="X10" s="299">
        <f>CDPS!C22</f>
        <v>0</v>
      </c>
      <c r="Y10" s="299">
        <f>CDPS!D22</f>
        <v>0</v>
      </c>
      <c r="Z10" s="299">
        <f>CDPS!C25</f>
        <v>0</v>
      </c>
      <c r="AA10" s="299">
        <f>CDPS!D25</f>
        <v>0</v>
      </c>
      <c r="AB10" s="299">
        <f>CDPS!C27</f>
        <v>0</v>
      </c>
      <c r="AC10" s="299">
        <f>CDPS!D27</f>
        <v>0</v>
      </c>
      <c r="AD10" s="299">
        <f>CDPS!C29</f>
        <v>0</v>
      </c>
      <c r="AE10" s="299">
        <f>CDPS!D29</f>
        <v>4000000000</v>
      </c>
      <c r="AF10" s="299">
        <f>CDPS!C31</f>
        <v>3300000</v>
      </c>
      <c r="AG10" s="299">
        <f>CDPS!D31</f>
        <v>0</v>
      </c>
      <c r="AH10" s="299">
        <f>CDPS!C32</f>
        <v>1910000</v>
      </c>
      <c r="AI10" s="299">
        <f>CDPS!D32</f>
        <v>0</v>
      </c>
      <c r="AJ10" s="299">
        <f>CDPS!C34</f>
        <v>0</v>
      </c>
      <c r="AK10" s="299">
        <f>CDPS!D34</f>
        <v>0</v>
      </c>
      <c r="AL10" s="299">
        <v>0</v>
      </c>
      <c r="AM10" s="299">
        <v>0</v>
      </c>
      <c r="AN10" s="299">
        <v>0</v>
      </c>
      <c r="AO10" s="299">
        <v>0</v>
      </c>
      <c r="AP10" s="299">
        <v>0</v>
      </c>
      <c r="AQ10" s="299">
        <v>0</v>
      </c>
      <c r="AR10" s="299">
        <v>0</v>
      </c>
      <c r="AS10" s="299">
        <v>0</v>
      </c>
      <c r="AT10" s="299">
        <v>0</v>
      </c>
      <c r="AU10" s="299">
        <v>0</v>
      </c>
      <c r="AV10" s="299">
        <v>0</v>
      </c>
      <c r="AW10" s="299">
        <v>0</v>
      </c>
    </row>
    <row r="11" spans="1:49" s="300" customFormat="1" ht="12.75" customHeight="1">
      <c r="A11" s="63">
        <f t="array" aca="1" ref="A11" ca="1">IF(C11&lt;&gt;0,SUM(($C$11:C11&lt;&gt;0)*1),"")</f>
        <v>1</v>
      </c>
      <c r="B11" s="301">
        <f ca="1">IF(ROWS($1:1)&gt;COUNT(Dong6),"",OFFSET(TH!C$1,SMALL(Dong6,ROWS($1:1)),))</f>
        <v>40570</v>
      </c>
      <c r="C11" s="301" t="str">
        <f ca="1">IF(ROWS($1:1)&gt;COUNT(Dong6),"",OFFSET(TH!D$1,SMALL(Dong6,ROWS($1:1)),))</f>
        <v>C01</v>
      </c>
      <c r="D11" s="301">
        <f ca="1">IF(ROWS($1:1)&gt;COUNT(Dong6),"",OFFSET(TH!E$1,SMALL(Dong6,ROWS($1:1)),))</f>
        <v>40570</v>
      </c>
      <c r="E11" s="351" t="str">
        <f ca="1">IF(ROWS($1:1)&gt;COUNT(Dong6),"",OFFSET(TH!F$1,SMALL(Dong6,ROWS($1:1)),))</f>
        <v>Nộp tiền mặt vào tài khoản ngân hàng</v>
      </c>
      <c r="F11" s="352">
        <f ca="1">IF(ROWS($1:1)&gt;COUNT(Dong6),"",OFFSET(TH!I$1,SMALL(Dong6,ROWS($1:1)),))</f>
        <v>100000000</v>
      </c>
      <c r="G11" s="353" t="str">
        <f ca="1">IF(ROWS($1:1)&gt;COUNT(Dong6),"",OFFSET(TH!J$1,SMALL(Dong6,ROWS($1:1)),))</f>
        <v>1121</v>
      </c>
      <c r="H11" s="353" t="str">
        <f ca="1">IF(ROWS($1:1)&gt;COUNT(Dong6),"",OFFSET(TH!K$1,SMALL(Dong6,ROWS($1:1)),))</f>
        <v>1111</v>
      </c>
      <c r="I11" s="63">
        <f t="shared" ref="I11:I34" ca="1" si="0">A11</f>
        <v>1</v>
      </c>
      <c r="J11" s="303">
        <f t="shared" ref="J11:J62" ca="1" si="1">IF($G11="1111",$F11,0)</f>
        <v>0</v>
      </c>
      <c r="K11" s="303">
        <f t="shared" ref="K11:K62" ca="1" si="2">IF($H11="1111",$F11,0)</f>
        <v>100000000</v>
      </c>
      <c r="L11" s="303">
        <f t="shared" ref="L11:L62" ca="1" si="3">IF($G11="1121",$F11,0)</f>
        <v>100000000</v>
      </c>
      <c r="M11" s="303">
        <f t="shared" ref="M11:M62" ca="1" si="4">IF($H11="1121",$F11,0)</f>
        <v>0</v>
      </c>
      <c r="N11" s="303">
        <f t="shared" ref="N11:N62" ca="1" si="5">IF($G11="1331",$F11,0)</f>
        <v>0</v>
      </c>
      <c r="O11" s="303">
        <f t="shared" ref="O11:O62" ca="1" si="6">IF($H11="1331",$F11,0)</f>
        <v>0</v>
      </c>
      <c r="P11" s="303">
        <f t="shared" ref="P11:P62" ca="1" si="7">IF($G11="1388",$F11,0)</f>
        <v>0</v>
      </c>
      <c r="Q11" s="303">
        <f t="shared" ref="Q11:Q62" ca="1" si="8">IF($H11="1388",$F11,0)</f>
        <v>0</v>
      </c>
      <c r="R11" s="303">
        <f ca="1">IF($G11="2412",$F11,0)</f>
        <v>0</v>
      </c>
      <c r="S11" s="303">
        <f ca="1">IF($H11="2412",$F11,0)</f>
        <v>0</v>
      </c>
      <c r="T11" s="303">
        <f t="shared" ref="T11:T62" ca="1" si="9">IF($G11="331",$F11,0)</f>
        <v>0</v>
      </c>
      <c r="U11" s="303">
        <f t="shared" ref="U11:U62" ca="1" si="10">IF($H11="331",$F11,0)</f>
        <v>0</v>
      </c>
      <c r="V11" s="303">
        <f t="shared" ref="V11:V62" ca="1" si="11">IF($G11="3334",$F11,0)</f>
        <v>0</v>
      </c>
      <c r="W11" s="303">
        <f t="shared" ref="W11:W62" ca="1" si="12">IF($H11="3334",$F11,0)</f>
        <v>0</v>
      </c>
      <c r="X11" s="303">
        <f t="shared" ref="X11:X62" ca="1" si="13">IF($G11="33382",$F11,0)</f>
        <v>0</v>
      </c>
      <c r="Y11" s="303">
        <f t="shared" ref="Y11:Y62" ca="1" si="14">IF($H11="33382",$F11,0)</f>
        <v>0</v>
      </c>
      <c r="Z11" s="303">
        <f t="shared" ref="Z11:Z62" ca="1" si="15">IF($G11="3388",$F11,0)</f>
        <v>0</v>
      </c>
      <c r="AA11" s="303">
        <f t="shared" ref="AA11:AA62" ca="1" si="16">IF($H11="3388",$F11,0)</f>
        <v>0</v>
      </c>
      <c r="AB11" s="303">
        <f t="shared" ref="AB11:AB62" ca="1" si="17">IF($G11="3411",$F11,0)</f>
        <v>0</v>
      </c>
      <c r="AC11" s="303">
        <f t="shared" ref="AC11:AC62" ca="1" si="18">IF($H11="3411",$F11,0)</f>
        <v>0</v>
      </c>
      <c r="AD11" s="303">
        <f t="shared" ref="AD11:AD62" ca="1" si="19">IF($G11="4111",$F11,0)</f>
        <v>0</v>
      </c>
      <c r="AE11" s="303">
        <f t="shared" ref="AE11:AE62" ca="1" si="20">IF($H11="4111",$F11,0)</f>
        <v>0</v>
      </c>
      <c r="AF11" s="303">
        <f t="shared" ref="AF11:AF62" ca="1" si="21">IF($G11="4211",$F11,0)</f>
        <v>0</v>
      </c>
      <c r="AG11" s="303">
        <f t="shared" ref="AG11:AG62" ca="1" si="22">IF($H11="4211",$F11,0)</f>
        <v>0</v>
      </c>
      <c r="AH11" s="303">
        <f t="shared" ref="AH11:AH62" ca="1" si="23">IF($G11="4212",$F11,0)</f>
        <v>0</v>
      </c>
      <c r="AI11" s="303">
        <f t="shared" ref="AI11:AI62" ca="1" si="24">IF($H11="4212",$F11,0)</f>
        <v>0</v>
      </c>
      <c r="AJ11" s="303">
        <f t="shared" ref="AJ11:AJ62" ca="1" si="25">IF($G11="515",$F11,0)</f>
        <v>0</v>
      </c>
      <c r="AK11" s="303">
        <f t="shared" ref="AK11:AK62" ca="1" si="26">IF($H11="515",$F11,0)</f>
        <v>0</v>
      </c>
      <c r="AL11" s="303">
        <f t="shared" ref="AL11:AL62" ca="1" si="27">IF($G11="635",$F11,0)</f>
        <v>0</v>
      </c>
      <c r="AM11" s="303">
        <f t="shared" ref="AM11:AM62" ca="1" si="28">IF($H11="635",$F11,0)</f>
        <v>0</v>
      </c>
      <c r="AN11" s="303">
        <f t="shared" ref="AN11:AN62" ca="1" si="29">IF($G11="642",$F11,0)</f>
        <v>0</v>
      </c>
      <c r="AO11" s="303">
        <f t="shared" ref="AO11:AO62" ca="1" si="30">IF($H11="642",$F11,0)</f>
        <v>0</v>
      </c>
      <c r="AP11" s="303">
        <f t="shared" ref="AP11:AP62" ca="1" si="31">IF($G11="711",$F11,0)</f>
        <v>0</v>
      </c>
      <c r="AQ11" s="303">
        <f t="shared" ref="AQ11:AQ62" ca="1" si="32">IF($H11="711",$F11,0)</f>
        <v>0</v>
      </c>
      <c r="AR11" s="303">
        <f t="shared" ref="AR11:AR62" ca="1" si="33">IF($G11="811",$F11,0)</f>
        <v>0</v>
      </c>
      <c r="AS11" s="303">
        <f t="shared" ref="AS11:AS62" ca="1" si="34">IF($H11="811",$F11,0)</f>
        <v>0</v>
      </c>
      <c r="AT11" s="303">
        <f t="shared" ref="AT11:AT62" ca="1" si="35">IF($G11="821",$F11,0)</f>
        <v>0</v>
      </c>
      <c r="AU11" s="303">
        <f t="shared" ref="AU11:AU62" ca="1" si="36">IF($H11="821",$F11,0)</f>
        <v>0</v>
      </c>
      <c r="AV11" s="303">
        <f t="shared" ref="AV11:AV62" ca="1" si="37">IF($G11="911",$F11,0)</f>
        <v>0</v>
      </c>
      <c r="AW11" s="303">
        <f t="shared" ref="AW11:AW62" ca="1" si="38">IF($H11="911",$F11,0)</f>
        <v>0</v>
      </c>
    </row>
    <row r="12" spans="1:49" s="300" customFormat="1" ht="12.75" customHeight="1">
      <c r="A12" s="63">
        <f t="array" aca="1" ref="A12" ca="1">IF(C12&lt;&gt;0,SUM(($C$11:C12&lt;&gt;0)*1),"")</f>
        <v>2</v>
      </c>
      <c r="B12" s="301">
        <f ca="1">IF(ROWS($1:2)&gt;COUNT(Dong6),"",OFFSET(TH!C$1,SMALL(Dong6,ROWS($1:2)),))</f>
        <v>40570</v>
      </c>
      <c r="C12" s="301" t="str">
        <f ca="1">IF(ROWS($1:2)&gt;COUNT(Dong6),"",OFFSET(TH!D$1,SMALL(Dong6,ROWS($1:2)),))</f>
        <v>C01</v>
      </c>
      <c r="D12" s="301">
        <f ca="1">IF(ROWS($1:2)&gt;COUNT(Dong6),"",OFFSET(TH!E$1,SMALL(Dong6,ROWS($1:2)),))</f>
        <v>40570</v>
      </c>
      <c r="E12" s="351" t="str">
        <f ca="1">IF(ROWS($1:2)&gt;COUNT(Dong6),"",OFFSET(TH!F$1,SMALL(Dong6,ROWS($1:2)),))</f>
        <v>Nộp tiền mặt vào tài khoản ngân hàng</v>
      </c>
      <c r="F12" s="352">
        <f ca="1">IF(ROWS($1:2)&gt;COUNT(Dong6),"",OFFSET(TH!I$1,SMALL(Dong6,ROWS($1:2)),))</f>
        <v>100000</v>
      </c>
      <c r="G12" s="353" t="str">
        <f ca="1">IF(ROWS($1:2)&gt;COUNT(Dong6),"",OFFSET(TH!J$1,SMALL(Dong6,ROWS($1:2)),))</f>
        <v>1121</v>
      </c>
      <c r="H12" s="353" t="str">
        <f ca="1">IF(ROWS($1:2)&gt;COUNT(Dong6),"",OFFSET(TH!K$1,SMALL(Dong6,ROWS($1:2)),))</f>
        <v>1111</v>
      </c>
      <c r="I12" s="63">
        <f t="shared" ca="1" si="0"/>
        <v>2</v>
      </c>
      <c r="J12" s="303">
        <f t="shared" ca="1" si="1"/>
        <v>0</v>
      </c>
      <c r="K12" s="303">
        <f t="shared" ca="1" si="2"/>
        <v>100000</v>
      </c>
      <c r="L12" s="303">
        <f t="shared" ca="1" si="3"/>
        <v>100000</v>
      </c>
      <c r="M12" s="303">
        <f t="shared" ca="1" si="4"/>
        <v>0</v>
      </c>
      <c r="N12" s="303">
        <f t="shared" ca="1" si="5"/>
        <v>0</v>
      </c>
      <c r="O12" s="303">
        <f t="shared" ca="1" si="6"/>
        <v>0</v>
      </c>
      <c r="P12" s="303">
        <f t="shared" ca="1" si="7"/>
        <v>0</v>
      </c>
      <c r="Q12" s="303">
        <f t="shared" ca="1" si="8"/>
        <v>0</v>
      </c>
      <c r="R12" s="303">
        <f t="shared" ref="R12:R62" ca="1" si="39">IF($G12="2412",$F12,0)</f>
        <v>0</v>
      </c>
      <c r="S12" s="303">
        <f t="shared" ref="S12:S62" ca="1" si="40">IF($H12="2412",$F12,0)</f>
        <v>0</v>
      </c>
      <c r="T12" s="303">
        <f t="shared" ca="1" si="9"/>
        <v>0</v>
      </c>
      <c r="U12" s="303">
        <f t="shared" ca="1" si="10"/>
        <v>0</v>
      </c>
      <c r="V12" s="303">
        <f t="shared" ca="1" si="11"/>
        <v>0</v>
      </c>
      <c r="W12" s="303">
        <f t="shared" ca="1" si="12"/>
        <v>0</v>
      </c>
      <c r="X12" s="303">
        <f t="shared" ca="1" si="13"/>
        <v>0</v>
      </c>
      <c r="Y12" s="303">
        <f t="shared" ca="1" si="14"/>
        <v>0</v>
      </c>
      <c r="Z12" s="303">
        <f t="shared" ca="1" si="15"/>
        <v>0</v>
      </c>
      <c r="AA12" s="303">
        <f t="shared" ca="1" si="16"/>
        <v>0</v>
      </c>
      <c r="AB12" s="303">
        <f t="shared" ca="1" si="17"/>
        <v>0</v>
      </c>
      <c r="AC12" s="303">
        <f t="shared" ca="1" si="18"/>
        <v>0</v>
      </c>
      <c r="AD12" s="303">
        <f t="shared" ca="1" si="19"/>
        <v>0</v>
      </c>
      <c r="AE12" s="303">
        <f t="shared" ca="1" si="20"/>
        <v>0</v>
      </c>
      <c r="AF12" s="303">
        <f t="shared" ca="1" si="21"/>
        <v>0</v>
      </c>
      <c r="AG12" s="303">
        <f t="shared" ca="1" si="22"/>
        <v>0</v>
      </c>
      <c r="AH12" s="303">
        <f t="shared" ca="1" si="23"/>
        <v>0</v>
      </c>
      <c r="AI12" s="303">
        <f t="shared" ca="1" si="24"/>
        <v>0</v>
      </c>
      <c r="AJ12" s="303">
        <f t="shared" ca="1" si="25"/>
        <v>0</v>
      </c>
      <c r="AK12" s="303">
        <f t="shared" ca="1" si="26"/>
        <v>0</v>
      </c>
      <c r="AL12" s="303">
        <f t="shared" ca="1" si="27"/>
        <v>0</v>
      </c>
      <c r="AM12" s="303">
        <f t="shared" ca="1" si="28"/>
        <v>0</v>
      </c>
      <c r="AN12" s="303">
        <f t="shared" ca="1" si="29"/>
        <v>0</v>
      </c>
      <c r="AO12" s="303">
        <f t="shared" ca="1" si="30"/>
        <v>0</v>
      </c>
      <c r="AP12" s="303">
        <f t="shared" ca="1" si="31"/>
        <v>0</v>
      </c>
      <c r="AQ12" s="303">
        <f t="shared" ca="1" si="32"/>
        <v>0</v>
      </c>
      <c r="AR12" s="303">
        <f t="shared" ca="1" si="33"/>
        <v>0</v>
      </c>
      <c r="AS12" s="303">
        <f t="shared" ca="1" si="34"/>
        <v>0</v>
      </c>
      <c r="AT12" s="303">
        <f t="shared" ca="1" si="35"/>
        <v>0</v>
      </c>
      <c r="AU12" s="303">
        <f t="shared" ca="1" si="36"/>
        <v>0</v>
      </c>
      <c r="AV12" s="303">
        <f t="shared" ca="1" si="37"/>
        <v>0</v>
      </c>
      <c r="AW12" s="303">
        <f t="shared" ca="1" si="38"/>
        <v>0</v>
      </c>
    </row>
    <row r="13" spans="1:49" s="300" customFormat="1" ht="12.75" customHeight="1">
      <c r="A13" s="63">
        <f t="array" aca="1" ref="A13" ca="1">IF(C13&lt;&gt;0,SUM(($C$11:C13&lt;&gt;0)*1),"")</f>
        <v>3</v>
      </c>
      <c r="B13" s="301">
        <f ca="1">IF(ROWS($1:3)&gt;COUNT(Dong6),"",OFFSET(TH!C$1,SMALL(Dong6,ROWS($1:3)),))</f>
        <v>40570</v>
      </c>
      <c r="C13" s="301" t="str">
        <f ca="1">IF(ROWS($1:3)&gt;COUNT(Dong6),"",OFFSET(TH!D$1,SMALL(Dong6,ROWS($1:3)),))</f>
        <v>GBN</v>
      </c>
      <c r="D13" s="301">
        <f ca="1">IF(ROWS($1:3)&gt;COUNT(Dong6),"",OFFSET(TH!E$1,SMALL(Dong6,ROWS($1:3)),))</f>
        <v>40570</v>
      </c>
      <c r="E13" s="351" t="str">
        <f ca="1">IF(ROWS($1:3)&gt;COUNT(Dong6),"",OFFSET(TH!F$1,SMALL(Dong6,ROWS($1:3)),))</f>
        <v>Thanh toán tiền xây dựng - Khánh Trân</v>
      </c>
      <c r="F13" s="352">
        <f ca="1">IF(ROWS($1:3)&gt;COUNT(Dong6),"",OFFSET(TH!I$1,SMALL(Dong6,ROWS($1:3)),))</f>
        <v>100000000</v>
      </c>
      <c r="G13" s="353" t="str">
        <f ca="1">IF(ROWS($1:3)&gt;COUNT(Dong6),"",OFFSET(TH!J$1,SMALL(Dong6,ROWS($1:3)),))</f>
        <v>331</v>
      </c>
      <c r="H13" s="353" t="str">
        <f ca="1">IF(ROWS($1:3)&gt;COUNT(Dong6),"",OFFSET(TH!K$1,SMALL(Dong6,ROWS($1:3)),))</f>
        <v>1121</v>
      </c>
      <c r="I13" s="63">
        <f t="shared" ca="1" si="0"/>
        <v>3</v>
      </c>
      <c r="J13" s="303">
        <f t="shared" ca="1" si="1"/>
        <v>0</v>
      </c>
      <c r="K13" s="303">
        <f t="shared" ca="1" si="2"/>
        <v>0</v>
      </c>
      <c r="L13" s="303">
        <f t="shared" ca="1" si="3"/>
        <v>0</v>
      </c>
      <c r="M13" s="303">
        <f t="shared" ca="1" si="4"/>
        <v>100000000</v>
      </c>
      <c r="N13" s="303">
        <f t="shared" ca="1" si="5"/>
        <v>0</v>
      </c>
      <c r="O13" s="303">
        <f t="shared" ca="1" si="6"/>
        <v>0</v>
      </c>
      <c r="P13" s="303">
        <f t="shared" ca="1" si="7"/>
        <v>0</v>
      </c>
      <c r="Q13" s="303">
        <f t="shared" ca="1" si="8"/>
        <v>0</v>
      </c>
      <c r="R13" s="303">
        <f t="shared" ca="1" si="39"/>
        <v>0</v>
      </c>
      <c r="S13" s="303">
        <f t="shared" ca="1" si="40"/>
        <v>0</v>
      </c>
      <c r="T13" s="303">
        <f t="shared" ca="1" si="9"/>
        <v>100000000</v>
      </c>
      <c r="U13" s="303">
        <f t="shared" ca="1" si="10"/>
        <v>0</v>
      </c>
      <c r="V13" s="303">
        <f t="shared" ca="1" si="11"/>
        <v>0</v>
      </c>
      <c r="W13" s="303">
        <f t="shared" ca="1" si="12"/>
        <v>0</v>
      </c>
      <c r="X13" s="303">
        <f t="shared" ca="1" si="13"/>
        <v>0</v>
      </c>
      <c r="Y13" s="303">
        <f t="shared" ca="1" si="14"/>
        <v>0</v>
      </c>
      <c r="Z13" s="303">
        <f t="shared" ca="1" si="15"/>
        <v>0</v>
      </c>
      <c r="AA13" s="303">
        <f t="shared" ca="1" si="16"/>
        <v>0</v>
      </c>
      <c r="AB13" s="303">
        <f t="shared" ca="1" si="17"/>
        <v>0</v>
      </c>
      <c r="AC13" s="303">
        <f t="shared" ca="1" si="18"/>
        <v>0</v>
      </c>
      <c r="AD13" s="303">
        <f t="shared" ca="1" si="19"/>
        <v>0</v>
      </c>
      <c r="AE13" s="303">
        <f t="shared" ca="1" si="20"/>
        <v>0</v>
      </c>
      <c r="AF13" s="303">
        <f t="shared" ca="1" si="21"/>
        <v>0</v>
      </c>
      <c r="AG13" s="303">
        <f t="shared" ca="1" si="22"/>
        <v>0</v>
      </c>
      <c r="AH13" s="303">
        <f t="shared" ca="1" si="23"/>
        <v>0</v>
      </c>
      <c r="AI13" s="303">
        <f t="shared" ca="1" si="24"/>
        <v>0</v>
      </c>
      <c r="AJ13" s="303">
        <f t="shared" ca="1" si="25"/>
        <v>0</v>
      </c>
      <c r="AK13" s="303">
        <f t="shared" ca="1" si="26"/>
        <v>0</v>
      </c>
      <c r="AL13" s="303">
        <f t="shared" ca="1" si="27"/>
        <v>0</v>
      </c>
      <c r="AM13" s="303">
        <f t="shared" ca="1" si="28"/>
        <v>0</v>
      </c>
      <c r="AN13" s="303">
        <f t="shared" ca="1" si="29"/>
        <v>0</v>
      </c>
      <c r="AO13" s="303">
        <f t="shared" ca="1" si="30"/>
        <v>0</v>
      </c>
      <c r="AP13" s="303">
        <f t="shared" ca="1" si="31"/>
        <v>0</v>
      </c>
      <c r="AQ13" s="303">
        <f t="shared" ca="1" si="32"/>
        <v>0</v>
      </c>
      <c r="AR13" s="303">
        <f t="shared" ca="1" si="33"/>
        <v>0</v>
      </c>
      <c r="AS13" s="303">
        <f t="shared" ca="1" si="34"/>
        <v>0</v>
      </c>
      <c r="AT13" s="303">
        <f t="shared" ca="1" si="35"/>
        <v>0</v>
      </c>
      <c r="AU13" s="303">
        <f t="shared" ca="1" si="36"/>
        <v>0</v>
      </c>
      <c r="AV13" s="303">
        <f t="shared" ca="1" si="37"/>
        <v>0</v>
      </c>
      <c r="AW13" s="303">
        <f t="shared" ca="1" si="38"/>
        <v>0</v>
      </c>
    </row>
    <row r="14" spans="1:49" s="300" customFormat="1" ht="12.75" customHeight="1">
      <c r="A14" s="63">
        <f t="array" aca="1" ref="A14" ca="1">IF(C14&lt;&gt;0,SUM(($C$11:C14&lt;&gt;0)*1),"")</f>
        <v>4</v>
      </c>
      <c r="B14" s="301">
        <f ca="1">IF(ROWS($1:4)&gt;COUNT(Dong6),"",OFFSET(TH!C$1,SMALL(Dong6,ROWS($1:4)),))</f>
        <v>40570</v>
      </c>
      <c r="C14" s="301" t="str">
        <f ca="1">IF(ROWS($1:4)&gt;COUNT(Dong6),"",OFFSET(TH!D$1,SMALL(Dong6,ROWS($1:4)),))</f>
        <v>GBN</v>
      </c>
      <c r="D14" s="301">
        <f ca="1">IF(ROWS($1:4)&gt;COUNT(Dong6),"",OFFSET(TH!E$1,SMALL(Dong6,ROWS($1:4)),))</f>
        <v>40570</v>
      </c>
      <c r="E14" s="351" t="str">
        <f ca="1">IF(ROWS($1:4)&gt;COUNT(Dong6),"",OFFSET(TH!F$1,SMALL(Dong6,ROWS($1:4)),))</f>
        <v xml:space="preserve">Phí chuyển tiền </v>
      </c>
      <c r="F14" s="352">
        <f ca="1">IF(ROWS($1:4)&gt;COUNT(Dong6),"",OFFSET(TH!I$1,SMALL(Dong6,ROWS($1:4)),))</f>
        <v>50000</v>
      </c>
      <c r="G14" s="353" t="str">
        <f ca="1">IF(ROWS($1:4)&gt;COUNT(Dong6),"",OFFSET(TH!J$1,SMALL(Dong6,ROWS($1:4)),))</f>
        <v>642</v>
      </c>
      <c r="H14" s="353" t="str">
        <f ca="1">IF(ROWS($1:4)&gt;COUNT(Dong6),"",OFFSET(TH!K$1,SMALL(Dong6,ROWS($1:4)),))</f>
        <v>1121</v>
      </c>
      <c r="I14" s="63">
        <f t="shared" ca="1" si="0"/>
        <v>4</v>
      </c>
      <c r="J14" s="303">
        <f t="shared" ca="1" si="1"/>
        <v>0</v>
      </c>
      <c r="K14" s="303">
        <f t="shared" ca="1" si="2"/>
        <v>0</v>
      </c>
      <c r="L14" s="303">
        <f t="shared" ca="1" si="3"/>
        <v>0</v>
      </c>
      <c r="M14" s="303">
        <f t="shared" ca="1" si="4"/>
        <v>50000</v>
      </c>
      <c r="N14" s="303">
        <f t="shared" ca="1" si="5"/>
        <v>0</v>
      </c>
      <c r="O14" s="303">
        <f t="shared" ca="1" si="6"/>
        <v>0</v>
      </c>
      <c r="P14" s="303">
        <f t="shared" ca="1" si="7"/>
        <v>0</v>
      </c>
      <c r="Q14" s="303">
        <f t="shared" ca="1" si="8"/>
        <v>0</v>
      </c>
      <c r="R14" s="303">
        <f t="shared" ca="1" si="39"/>
        <v>0</v>
      </c>
      <c r="S14" s="303">
        <f t="shared" ca="1" si="40"/>
        <v>0</v>
      </c>
      <c r="T14" s="303">
        <f t="shared" ca="1" si="9"/>
        <v>0</v>
      </c>
      <c r="U14" s="303">
        <f t="shared" ca="1" si="10"/>
        <v>0</v>
      </c>
      <c r="V14" s="303">
        <f t="shared" ca="1" si="11"/>
        <v>0</v>
      </c>
      <c r="W14" s="303">
        <f t="shared" ca="1" si="12"/>
        <v>0</v>
      </c>
      <c r="X14" s="303">
        <f t="shared" ca="1" si="13"/>
        <v>0</v>
      </c>
      <c r="Y14" s="303">
        <f t="shared" ca="1" si="14"/>
        <v>0</v>
      </c>
      <c r="Z14" s="303">
        <f t="shared" ca="1" si="15"/>
        <v>0</v>
      </c>
      <c r="AA14" s="303">
        <f t="shared" ca="1" si="16"/>
        <v>0</v>
      </c>
      <c r="AB14" s="303">
        <f t="shared" ca="1" si="17"/>
        <v>0</v>
      </c>
      <c r="AC14" s="303">
        <f t="shared" ca="1" si="18"/>
        <v>0</v>
      </c>
      <c r="AD14" s="303">
        <f t="shared" ca="1" si="19"/>
        <v>0</v>
      </c>
      <c r="AE14" s="303">
        <f t="shared" ca="1" si="20"/>
        <v>0</v>
      </c>
      <c r="AF14" s="303">
        <f t="shared" ca="1" si="21"/>
        <v>0</v>
      </c>
      <c r="AG14" s="303">
        <f t="shared" ca="1" si="22"/>
        <v>0</v>
      </c>
      <c r="AH14" s="303">
        <f t="shared" ca="1" si="23"/>
        <v>0</v>
      </c>
      <c r="AI14" s="303">
        <f t="shared" ca="1" si="24"/>
        <v>0</v>
      </c>
      <c r="AJ14" s="303">
        <f t="shared" ca="1" si="25"/>
        <v>0</v>
      </c>
      <c r="AK14" s="303">
        <f t="shared" ca="1" si="26"/>
        <v>0</v>
      </c>
      <c r="AL14" s="303">
        <f t="shared" ca="1" si="27"/>
        <v>0</v>
      </c>
      <c r="AM14" s="303">
        <f t="shared" ca="1" si="28"/>
        <v>0</v>
      </c>
      <c r="AN14" s="303">
        <f t="shared" ca="1" si="29"/>
        <v>50000</v>
      </c>
      <c r="AO14" s="303">
        <f t="shared" ca="1" si="30"/>
        <v>0</v>
      </c>
      <c r="AP14" s="303">
        <f t="shared" ca="1" si="31"/>
        <v>0</v>
      </c>
      <c r="AQ14" s="303">
        <f t="shared" ca="1" si="32"/>
        <v>0</v>
      </c>
      <c r="AR14" s="303">
        <f t="shared" ca="1" si="33"/>
        <v>0</v>
      </c>
      <c r="AS14" s="303">
        <f t="shared" ca="1" si="34"/>
        <v>0</v>
      </c>
      <c r="AT14" s="303">
        <f t="shared" ca="1" si="35"/>
        <v>0</v>
      </c>
      <c r="AU14" s="303">
        <f t="shared" ca="1" si="36"/>
        <v>0</v>
      </c>
      <c r="AV14" s="303">
        <f t="shared" ca="1" si="37"/>
        <v>0</v>
      </c>
      <c r="AW14" s="303">
        <f t="shared" ca="1" si="38"/>
        <v>0</v>
      </c>
    </row>
    <row r="15" spans="1:49" s="300" customFormat="1" ht="12.75" customHeight="1">
      <c r="A15" s="63">
        <f t="array" aca="1" ref="A15" ca="1">IF(C15&lt;&gt;0,SUM(($C$11:C15&lt;&gt;0)*1),"")</f>
        <v>5</v>
      </c>
      <c r="B15" s="301">
        <f ca="1">IF(ROWS($1:5)&gt;COUNT(Dong6),"",OFFSET(TH!C$1,SMALL(Dong6,ROWS($1:5)),))</f>
        <v>40570</v>
      </c>
      <c r="C15" s="301" t="str">
        <f ca="1">IF(ROWS($1:5)&gt;COUNT(Dong6),"",OFFSET(TH!D$1,SMALL(Dong6,ROWS($1:5)),))</f>
        <v>GBN</v>
      </c>
      <c r="D15" s="301">
        <f ca="1">IF(ROWS($1:5)&gt;COUNT(Dong6),"",OFFSET(TH!E$1,SMALL(Dong6,ROWS($1:5)),))</f>
        <v>40570</v>
      </c>
      <c r="E15" s="351" t="str">
        <f ca="1">IF(ROWS($1:5)&gt;COUNT(Dong6),"",OFFSET(TH!F$1,SMALL(Dong6,ROWS($1:5)),))</f>
        <v>Phí kiểm đếm</v>
      </c>
      <c r="F15" s="352">
        <f ca="1">IF(ROWS($1:5)&gt;COUNT(Dong6),"",OFFSET(TH!I$1,SMALL(Dong6,ROWS($1:5)),))</f>
        <v>30000</v>
      </c>
      <c r="G15" s="353" t="str">
        <f ca="1">IF(ROWS($1:5)&gt;COUNT(Dong6),"",OFFSET(TH!J$1,SMALL(Dong6,ROWS($1:5)),))</f>
        <v>642</v>
      </c>
      <c r="H15" s="353" t="str">
        <f ca="1">IF(ROWS($1:5)&gt;COUNT(Dong6),"",OFFSET(TH!K$1,SMALL(Dong6,ROWS($1:5)),))</f>
        <v>1121</v>
      </c>
      <c r="I15" s="63">
        <f t="shared" ca="1" si="0"/>
        <v>5</v>
      </c>
      <c r="J15" s="303">
        <f t="shared" ca="1" si="1"/>
        <v>0</v>
      </c>
      <c r="K15" s="303">
        <f t="shared" ca="1" si="2"/>
        <v>0</v>
      </c>
      <c r="L15" s="303">
        <f t="shared" ca="1" si="3"/>
        <v>0</v>
      </c>
      <c r="M15" s="303">
        <f t="shared" ca="1" si="4"/>
        <v>30000</v>
      </c>
      <c r="N15" s="303">
        <f t="shared" ca="1" si="5"/>
        <v>0</v>
      </c>
      <c r="O15" s="303">
        <f t="shared" ca="1" si="6"/>
        <v>0</v>
      </c>
      <c r="P15" s="303">
        <f t="shared" ca="1" si="7"/>
        <v>0</v>
      </c>
      <c r="Q15" s="303">
        <f t="shared" ca="1" si="8"/>
        <v>0</v>
      </c>
      <c r="R15" s="303">
        <f t="shared" ca="1" si="39"/>
        <v>0</v>
      </c>
      <c r="S15" s="303">
        <f t="shared" ca="1" si="40"/>
        <v>0</v>
      </c>
      <c r="T15" s="303">
        <f t="shared" ca="1" si="9"/>
        <v>0</v>
      </c>
      <c r="U15" s="303">
        <f t="shared" ca="1" si="10"/>
        <v>0</v>
      </c>
      <c r="V15" s="303">
        <f t="shared" ca="1" si="11"/>
        <v>0</v>
      </c>
      <c r="W15" s="303">
        <f t="shared" ca="1" si="12"/>
        <v>0</v>
      </c>
      <c r="X15" s="303">
        <f t="shared" ca="1" si="13"/>
        <v>0</v>
      </c>
      <c r="Y15" s="303">
        <f t="shared" ca="1" si="14"/>
        <v>0</v>
      </c>
      <c r="Z15" s="303">
        <f t="shared" ca="1" si="15"/>
        <v>0</v>
      </c>
      <c r="AA15" s="303">
        <f t="shared" ca="1" si="16"/>
        <v>0</v>
      </c>
      <c r="AB15" s="303">
        <f t="shared" ca="1" si="17"/>
        <v>0</v>
      </c>
      <c r="AC15" s="303">
        <f t="shared" ca="1" si="18"/>
        <v>0</v>
      </c>
      <c r="AD15" s="303">
        <f t="shared" ca="1" si="19"/>
        <v>0</v>
      </c>
      <c r="AE15" s="303">
        <f t="shared" ca="1" si="20"/>
        <v>0</v>
      </c>
      <c r="AF15" s="303">
        <f t="shared" ca="1" si="21"/>
        <v>0</v>
      </c>
      <c r="AG15" s="303">
        <f t="shared" ca="1" si="22"/>
        <v>0</v>
      </c>
      <c r="AH15" s="303">
        <f t="shared" ca="1" si="23"/>
        <v>0</v>
      </c>
      <c r="AI15" s="303">
        <f t="shared" ca="1" si="24"/>
        <v>0</v>
      </c>
      <c r="AJ15" s="303">
        <f t="shared" ca="1" si="25"/>
        <v>0</v>
      </c>
      <c r="AK15" s="303">
        <f t="shared" ca="1" si="26"/>
        <v>0</v>
      </c>
      <c r="AL15" s="303">
        <f t="shared" ca="1" si="27"/>
        <v>0</v>
      </c>
      <c r="AM15" s="303">
        <f t="shared" ca="1" si="28"/>
        <v>0</v>
      </c>
      <c r="AN15" s="303">
        <f t="shared" ca="1" si="29"/>
        <v>30000</v>
      </c>
      <c r="AO15" s="303">
        <f t="shared" ca="1" si="30"/>
        <v>0</v>
      </c>
      <c r="AP15" s="303">
        <f t="shared" ca="1" si="31"/>
        <v>0</v>
      </c>
      <c r="AQ15" s="303">
        <f t="shared" ca="1" si="32"/>
        <v>0</v>
      </c>
      <c r="AR15" s="303">
        <f t="shared" ca="1" si="33"/>
        <v>0</v>
      </c>
      <c r="AS15" s="303">
        <f t="shared" ca="1" si="34"/>
        <v>0</v>
      </c>
      <c r="AT15" s="303">
        <f t="shared" ca="1" si="35"/>
        <v>0</v>
      </c>
      <c r="AU15" s="303">
        <f t="shared" ca="1" si="36"/>
        <v>0</v>
      </c>
      <c r="AV15" s="303">
        <f t="shared" ca="1" si="37"/>
        <v>0</v>
      </c>
      <c r="AW15" s="303">
        <f t="shared" ca="1" si="38"/>
        <v>0</v>
      </c>
    </row>
    <row r="16" spans="1:49" s="300" customFormat="1" ht="12.75" customHeight="1">
      <c r="A16" s="63">
        <f t="array" aca="1" ref="A16" ca="1">IF(C16&lt;&gt;0,SUM(($C$11:C16&lt;&gt;0)*1),"")</f>
        <v>6</v>
      </c>
      <c r="B16" s="301">
        <f ca="1">IF(ROWS($1:6)&gt;COUNT(Dong6),"",OFFSET(TH!C$1,SMALL(Dong6,ROWS($1:6)),))</f>
        <v>40570</v>
      </c>
      <c r="C16" s="301" t="str">
        <f ca="1">IF(ROWS($1:6)&gt;COUNT(Dong6),"",OFFSET(TH!D$1,SMALL(Dong6,ROWS($1:6)),))</f>
        <v>GBN</v>
      </c>
      <c r="D16" s="301">
        <f ca="1">IF(ROWS($1:6)&gt;COUNT(Dong6),"",OFFSET(TH!E$1,SMALL(Dong6,ROWS($1:6)),))</f>
        <v>40570</v>
      </c>
      <c r="E16" s="351" t="str">
        <f ca="1">IF(ROWS($1:6)&gt;COUNT(Dong6),"",OFFSET(TH!F$1,SMALL(Dong6,ROWS($1:6)),))</f>
        <v xml:space="preserve">VAT Phí chuyển tiền </v>
      </c>
      <c r="F16" s="352">
        <f ca="1">IF(ROWS($1:6)&gt;COUNT(Dong6),"",OFFSET(TH!I$1,SMALL(Dong6,ROWS($1:6)),))</f>
        <v>5000</v>
      </c>
      <c r="G16" s="353" t="str">
        <f ca="1">IF(ROWS($1:6)&gt;COUNT(Dong6),"",OFFSET(TH!J$1,SMALL(Dong6,ROWS($1:6)),))</f>
        <v>642</v>
      </c>
      <c r="H16" s="353" t="str">
        <f ca="1">IF(ROWS($1:6)&gt;COUNT(Dong6),"",OFFSET(TH!K$1,SMALL(Dong6,ROWS($1:6)),))</f>
        <v>1121</v>
      </c>
      <c r="I16" s="63">
        <f t="shared" ca="1" si="0"/>
        <v>6</v>
      </c>
      <c r="J16" s="303">
        <f t="shared" ca="1" si="1"/>
        <v>0</v>
      </c>
      <c r="K16" s="303">
        <f t="shared" ca="1" si="2"/>
        <v>0</v>
      </c>
      <c r="L16" s="303">
        <f t="shared" ca="1" si="3"/>
        <v>0</v>
      </c>
      <c r="M16" s="303">
        <f t="shared" ca="1" si="4"/>
        <v>5000</v>
      </c>
      <c r="N16" s="303">
        <f t="shared" ca="1" si="5"/>
        <v>0</v>
      </c>
      <c r="O16" s="303">
        <f t="shared" ca="1" si="6"/>
        <v>0</v>
      </c>
      <c r="P16" s="303">
        <f t="shared" ca="1" si="7"/>
        <v>0</v>
      </c>
      <c r="Q16" s="303">
        <f t="shared" ca="1" si="8"/>
        <v>0</v>
      </c>
      <c r="R16" s="303">
        <f t="shared" ca="1" si="39"/>
        <v>0</v>
      </c>
      <c r="S16" s="303">
        <f t="shared" ca="1" si="40"/>
        <v>0</v>
      </c>
      <c r="T16" s="303">
        <f t="shared" ca="1" si="9"/>
        <v>0</v>
      </c>
      <c r="U16" s="303">
        <f t="shared" ca="1" si="10"/>
        <v>0</v>
      </c>
      <c r="V16" s="303">
        <f t="shared" ca="1" si="11"/>
        <v>0</v>
      </c>
      <c r="W16" s="303">
        <f t="shared" ca="1" si="12"/>
        <v>0</v>
      </c>
      <c r="X16" s="303">
        <f t="shared" ca="1" si="13"/>
        <v>0</v>
      </c>
      <c r="Y16" s="303">
        <f t="shared" ca="1" si="14"/>
        <v>0</v>
      </c>
      <c r="Z16" s="303">
        <f t="shared" ca="1" si="15"/>
        <v>0</v>
      </c>
      <c r="AA16" s="303">
        <f t="shared" ca="1" si="16"/>
        <v>0</v>
      </c>
      <c r="AB16" s="303">
        <f t="shared" ca="1" si="17"/>
        <v>0</v>
      </c>
      <c r="AC16" s="303">
        <f t="shared" ca="1" si="18"/>
        <v>0</v>
      </c>
      <c r="AD16" s="303">
        <f t="shared" ca="1" si="19"/>
        <v>0</v>
      </c>
      <c r="AE16" s="303">
        <f t="shared" ca="1" si="20"/>
        <v>0</v>
      </c>
      <c r="AF16" s="303">
        <f t="shared" ca="1" si="21"/>
        <v>0</v>
      </c>
      <c r="AG16" s="303">
        <f t="shared" ca="1" si="22"/>
        <v>0</v>
      </c>
      <c r="AH16" s="303">
        <f t="shared" ca="1" si="23"/>
        <v>0</v>
      </c>
      <c r="AI16" s="303">
        <f t="shared" ca="1" si="24"/>
        <v>0</v>
      </c>
      <c r="AJ16" s="303">
        <f t="shared" ca="1" si="25"/>
        <v>0</v>
      </c>
      <c r="AK16" s="303">
        <f t="shared" ca="1" si="26"/>
        <v>0</v>
      </c>
      <c r="AL16" s="303">
        <f t="shared" ca="1" si="27"/>
        <v>0</v>
      </c>
      <c r="AM16" s="303">
        <f t="shared" ca="1" si="28"/>
        <v>0</v>
      </c>
      <c r="AN16" s="303">
        <f t="shared" ca="1" si="29"/>
        <v>5000</v>
      </c>
      <c r="AO16" s="303">
        <f t="shared" ca="1" si="30"/>
        <v>0</v>
      </c>
      <c r="AP16" s="303">
        <f t="shared" ca="1" si="31"/>
        <v>0</v>
      </c>
      <c r="AQ16" s="303">
        <f t="shared" ca="1" si="32"/>
        <v>0</v>
      </c>
      <c r="AR16" s="303">
        <f t="shared" ca="1" si="33"/>
        <v>0</v>
      </c>
      <c r="AS16" s="303">
        <f t="shared" ca="1" si="34"/>
        <v>0</v>
      </c>
      <c r="AT16" s="303">
        <f t="shared" ca="1" si="35"/>
        <v>0</v>
      </c>
      <c r="AU16" s="303">
        <f t="shared" ca="1" si="36"/>
        <v>0</v>
      </c>
      <c r="AV16" s="303">
        <f t="shared" ca="1" si="37"/>
        <v>0</v>
      </c>
      <c r="AW16" s="303">
        <f t="shared" ca="1" si="38"/>
        <v>0</v>
      </c>
    </row>
    <row r="17" spans="1:49" s="300" customFormat="1" ht="12.75" customHeight="1">
      <c r="A17" s="63">
        <f t="array" aca="1" ref="A17" ca="1">IF(C17&lt;&gt;0,SUM(($C$11:C17&lt;&gt;0)*1),"")</f>
        <v>7</v>
      </c>
      <c r="B17" s="301">
        <f ca="1">IF(ROWS($1:7)&gt;COUNT(Dong6),"",OFFSET(TH!C$1,SMALL(Dong6,ROWS($1:7)),))</f>
        <v>40570</v>
      </c>
      <c r="C17" s="301" t="str">
        <f ca="1">IF(ROWS($1:7)&gt;COUNT(Dong6),"",OFFSET(TH!D$1,SMALL(Dong6,ROWS($1:7)),))</f>
        <v>GBN</v>
      </c>
      <c r="D17" s="301">
        <f ca="1">IF(ROWS($1:7)&gt;COUNT(Dong6),"",OFFSET(TH!E$1,SMALL(Dong6,ROWS($1:7)),))</f>
        <v>40570</v>
      </c>
      <c r="E17" s="351" t="str">
        <f ca="1">IF(ROWS($1:7)&gt;COUNT(Dong6),"",OFFSET(TH!F$1,SMALL(Dong6,ROWS($1:7)),))</f>
        <v>VAT Phí kiểm đếm</v>
      </c>
      <c r="F17" s="352">
        <f ca="1">IF(ROWS($1:7)&gt;COUNT(Dong6),"",OFFSET(TH!I$1,SMALL(Dong6,ROWS($1:7)),))</f>
        <v>3000</v>
      </c>
      <c r="G17" s="353" t="str">
        <f ca="1">IF(ROWS($1:7)&gt;COUNT(Dong6),"",OFFSET(TH!J$1,SMALL(Dong6,ROWS($1:7)),))</f>
        <v>642</v>
      </c>
      <c r="H17" s="353" t="str">
        <f ca="1">IF(ROWS($1:7)&gt;COUNT(Dong6),"",OFFSET(TH!K$1,SMALL(Dong6,ROWS($1:7)),))</f>
        <v>1121</v>
      </c>
      <c r="I17" s="63">
        <f t="shared" ca="1" si="0"/>
        <v>7</v>
      </c>
      <c r="J17" s="303">
        <f t="shared" ca="1" si="1"/>
        <v>0</v>
      </c>
      <c r="K17" s="303">
        <f t="shared" ca="1" si="2"/>
        <v>0</v>
      </c>
      <c r="L17" s="303">
        <f t="shared" ca="1" si="3"/>
        <v>0</v>
      </c>
      <c r="M17" s="303">
        <f t="shared" ca="1" si="4"/>
        <v>3000</v>
      </c>
      <c r="N17" s="303">
        <f t="shared" ca="1" si="5"/>
        <v>0</v>
      </c>
      <c r="O17" s="303">
        <f t="shared" ca="1" si="6"/>
        <v>0</v>
      </c>
      <c r="P17" s="303">
        <f t="shared" ca="1" si="7"/>
        <v>0</v>
      </c>
      <c r="Q17" s="303">
        <f t="shared" ca="1" si="8"/>
        <v>0</v>
      </c>
      <c r="R17" s="303">
        <f t="shared" ca="1" si="39"/>
        <v>0</v>
      </c>
      <c r="S17" s="303">
        <f t="shared" ca="1" si="40"/>
        <v>0</v>
      </c>
      <c r="T17" s="303">
        <f t="shared" ca="1" si="9"/>
        <v>0</v>
      </c>
      <c r="U17" s="303">
        <f t="shared" ca="1" si="10"/>
        <v>0</v>
      </c>
      <c r="V17" s="303">
        <f t="shared" ca="1" si="11"/>
        <v>0</v>
      </c>
      <c r="W17" s="303">
        <f t="shared" ca="1" si="12"/>
        <v>0</v>
      </c>
      <c r="X17" s="303">
        <f t="shared" ca="1" si="13"/>
        <v>0</v>
      </c>
      <c r="Y17" s="303">
        <f t="shared" ca="1" si="14"/>
        <v>0</v>
      </c>
      <c r="Z17" s="303">
        <f t="shared" ca="1" si="15"/>
        <v>0</v>
      </c>
      <c r="AA17" s="303">
        <f t="shared" ca="1" si="16"/>
        <v>0</v>
      </c>
      <c r="AB17" s="303">
        <f t="shared" ca="1" si="17"/>
        <v>0</v>
      </c>
      <c r="AC17" s="303">
        <f t="shared" ca="1" si="18"/>
        <v>0</v>
      </c>
      <c r="AD17" s="303">
        <f t="shared" ca="1" si="19"/>
        <v>0</v>
      </c>
      <c r="AE17" s="303">
        <f t="shared" ca="1" si="20"/>
        <v>0</v>
      </c>
      <c r="AF17" s="303">
        <f t="shared" ca="1" si="21"/>
        <v>0</v>
      </c>
      <c r="AG17" s="303">
        <f t="shared" ca="1" si="22"/>
        <v>0</v>
      </c>
      <c r="AH17" s="303">
        <f t="shared" ca="1" si="23"/>
        <v>0</v>
      </c>
      <c r="AI17" s="303">
        <f t="shared" ca="1" si="24"/>
        <v>0</v>
      </c>
      <c r="AJ17" s="303">
        <f t="shared" ca="1" si="25"/>
        <v>0</v>
      </c>
      <c r="AK17" s="303">
        <f t="shared" ca="1" si="26"/>
        <v>0</v>
      </c>
      <c r="AL17" s="303">
        <f t="shared" ca="1" si="27"/>
        <v>0</v>
      </c>
      <c r="AM17" s="303">
        <f t="shared" ca="1" si="28"/>
        <v>0</v>
      </c>
      <c r="AN17" s="303">
        <f t="shared" ca="1" si="29"/>
        <v>3000</v>
      </c>
      <c r="AO17" s="303">
        <f t="shared" ca="1" si="30"/>
        <v>0</v>
      </c>
      <c r="AP17" s="303">
        <f t="shared" ca="1" si="31"/>
        <v>0</v>
      </c>
      <c r="AQ17" s="303">
        <f t="shared" ca="1" si="32"/>
        <v>0</v>
      </c>
      <c r="AR17" s="303">
        <f t="shared" ca="1" si="33"/>
        <v>0</v>
      </c>
      <c r="AS17" s="303">
        <f t="shared" ca="1" si="34"/>
        <v>0</v>
      </c>
      <c r="AT17" s="303">
        <f t="shared" ca="1" si="35"/>
        <v>0</v>
      </c>
      <c r="AU17" s="303">
        <f t="shared" ca="1" si="36"/>
        <v>0</v>
      </c>
      <c r="AV17" s="303">
        <f t="shared" ca="1" si="37"/>
        <v>0</v>
      </c>
      <c r="AW17" s="303">
        <f t="shared" ca="1" si="38"/>
        <v>0</v>
      </c>
    </row>
    <row r="18" spans="1:49" s="300" customFormat="1" ht="12.75" customHeight="1">
      <c r="A18" s="63">
        <f t="array" aca="1" ref="A18" ca="1">IF(C18&lt;&gt;0,SUM(($C$11:C18&lt;&gt;0)*1),"")</f>
        <v>8</v>
      </c>
      <c r="B18" s="301">
        <f ca="1">IF(ROWS($1:8)&gt;COUNT(Dong6),"",OFFSET(TH!C$1,SMALL(Dong6,ROWS($1:8)),))</f>
        <v>40571</v>
      </c>
      <c r="C18" s="301" t="str">
        <f ca="1">IF(ROWS($1:8)&gt;COUNT(Dong6),"",OFFSET(TH!D$1,SMALL(Dong6,ROWS($1:8)),))</f>
        <v>GBN</v>
      </c>
      <c r="D18" s="301">
        <f ca="1">IF(ROWS($1:8)&gt;COUNT(Dong6),"",OFFSET(TH!E$1,SMALL(Dong6,ROWS($1:8)),))</f>
        <v>40571</v>
      </c>
      <c r="E18" s="351" t="str">
        <f ca="1">IF(ROWS($1:8)&gt;COUNT(Dong6),"",OFFSET(TH!F$1,SMALL(Dong6,ROWS($1:8)),))</f>
        <v>Phí điều chỉnh lệnh chi tiền</v>
      </c>
      <c r="F18" s="352">
        <f ca="1">IF(ROWS($1:8)&gt;COUNT(Dong6),"",OFFSET(TH!I$1,SMALL(Dong6,ROWS($1:8)),))</f>
        <v>10000</v>
      </c>
      <c r="G18" s="353" t="str">
        <f ca="1">IF(ROWS($1:8)&gt;COUNT(Dong6),"",OFFSET(TH!J$1,SMALL(Dong6,ROWS($1:8)),))</f>
        <v>642</v>
      </c>
      <c r="H18" s="353" t="str">
        <f ca="1">IF(ROWS($1:8)&gt;COUNT(Dong6),"",OFFSET(TH!K$1,SMALL(Dong6,ROWS($1:8)),))</f>
        <v>1121</v>
      </c>
      <c r="I18" s="63">
        <f t="shared" ca="1" si="0"/>
        <v>8</v>
      </c>
      <c r="J18" s="303">
        <f t="shared" ca="1" si="1"/>
        <v>0</v>
      </c>
      <c r="K18" s="303">
        <f t="shared" ca="1" si="2"/>
        <v>0</v>
      </c>
      <c r="L18" s="303">
        <f t="shared" ca="1" si="3"/>
        <v>0</v>
      </c>
      <c r="M18" s="303">
        <f t="shared" ca="1" si="4"/>
        <v>10000</v>
      </c>
      <c r="N18" s="303">
        <f t="shared" ca="1" si="5"/>
        <v>0</v>
      </c>
      <c r="O18" s="303">
        <f t="shared" ca="1" si="6"/>
        <v>0</v>
      </c>
      <c r="P18" s="303">
        <f t="shared" ca="1" si="7"/>
        <v>0</v>
      </c>
      <c r="Q18" s="303">
        <f t="shared" ca="1" si="8"/>
        <v>0</v>
      </c>
      <c r="R18" s="303">
        <f t="shared" ca="1" si="39"/>
        <v>0</v>
      </c>
      <c r="S18" s="303">
        <f t="shared" ca="1" si="40"/>
        <v>0</v>
      </c>
      <c r="T18" s="303">
        <f t="shared" ca="1" si="9"/>
        <v>0</v>
      </c>
      <c r="U18" s="303">
        <f t="shared" ca="1" si="10"/>
        <v>0</v>
      </c>
      <c r="V18" s="303">
        <f t="shared" ca="1" si="11"/>
        <v>0</v>
      </c>
      <c r="W18" s="303">
        <f t="shared" ca="1" si="12"/>
        <v>0</v>
      </c>
      <c r="X18" s="303">
        <f t="shared" ca="1" si="13"/>
        <v>0</v>
      </c>
      <c r="Y18" s="303">
        <f t="shared" ca="1" si="14"/>
        <v>0</v>
      </c>
      <c r="Z18" s="303">
        <f t="shared" ca="1" si="15"/>
        <v>0</v>
      </c>
      <c r="AA18" s="303">
        <f t="shared" ca="1" si="16"/>
        <v>0</v>
      </c>
      <c r="AB18" s="303">
        <f t="shared" ca="1" si="17"/>
        <v>0</v>
      </c>
      <c r="AC18" s="303">
        <f t="shared" ca="1" si="18"/>
        <v>0</v>
      </c>
      <c r="AD18" s="303">
        <f t="shared" ca="1" si="19"/>
        <v>0</v>
      </c>
      <c r="AE18" s="303">
        <f t="shared" ca="1" si="20"/>
        <v>0</v>
      </c>
      <c r="AF18" s="303">
        <f t="shared" ca="1" si="21"/>
        <v>0</v>
      </c>
      <c r="AG18" s="303">
        <f t="shared" ca="1" si="22"/>
        <v>0</v>
      </c>
      <c r="AH18" s="303">
        <f t="shared" ca="1" si="23"/>
        <v>0</v>
      </c>
      <c r="AI18" s="303">
        <f t="shared" ca="1" si="24"/>
        <v>0</v>
      </c>
      <c r="AJ18" s="303">
        <f t="shared" ca="1" si="25"/>
        <v>0</v>
      </c>
      <c r="AK18" s="303">
        <f t="shared" ca="1" si="26"/>
        <v>0</v>
      </c>
      <c r="AL18" s="303">
        <f t="shared" ca="1" si="27"/>
        <v>0</v>
      </c>
      <c r="AM18" s="303">
        <f t="shared" ca="1" si="28"/>
        <v>0</v>
      </c>
      <c r="AN18" s="303">
        <f t="shared" ca="1" si="29"/>
        <v>10000</v>
      </c>
      <c r="AO18" s="303">
        <f t="shared" ca="1" si="30"/>
        <v>0</v>
      </c>
      <c r="AP18" s="303">
        <f t="shared" ca="1" si="31"/>
        <v>0</v>
      </c>
      <c r="AQ18" s="303">
        <f t="shared" ca="1" si="32"/>
        <v>0</v>
      </c>
      <c r="AR18" s="303">
        <f t="shared" ca="1" si="33"/>
        <v>0</v>
      </c>
      <c r="AS18" s="303">
        <f t="shared" ca="1" si="34"/>
        <v>0</v>
      </c>
      <c r="AT18" s="303">
        <f t="shared" ca="1" si="35"/>
        <v>0</v>
      </c>
      <c r="AU18" s="303">
        <f t="shared" ca="1" si="36"/>
        <v>0</v>
      </c>
      <c r="AV18" s="303">
        <f t="shared" ca="1" si="37"/>
        <v>0</v>
      </c>
      <c r="AW18" s="303">
        <f t="shared" ca="1" si="38"/>
        <v>0</v>
      </c>
    </row>
    <row r="19" spans="1:49" s="300" customFormat="1" ht="12.75" customHeight="1">
      <c r="A19" s="63">
        <f t="array" aca="1" ref="A19" ca="1">IF(C19&lt;&gt;0,SUM(($C$11:C19&lt;&gt;0)*1),"")</f>
        <v>9</v>
      </c>
      <c r="B19" s="301">
        <f ca="1">IF(ROWS($1:9)&gt;COUNT(Dong6),"",OFFSET(TH!C$1,SMALL(Dong6,ROWS($1:9)),))</f>
        <v>40571</v>
      </c>
      <c r="C19" s="301" t="str">
        <f ca="1">IF(ROWS($1:9)&gt;COUNT(Dong6),"",OFFSET(TH!D$1,SMALL(Dong6,ROWS($1:9)),))</f>
        <v>GBN</v>
      </c>
      <c r="D19" s="301">
        <f ca="1">IF(ROWS($1:9)&gt;COUNT(Dong6),"",OFFSET(TH!E$1,SMALL(Dong6,ROWS($1:9)),))</f>
        <v>40571</v>
      </c>
      <c r="E19" s="351" t="str">
        <f ca="1">IF(ROWS($1:9)&gt;COUNT(Dong6),"",OFFSET(TH!F$1,SMALL(Dong6,ROWS($1:9)),))</f>
        <v>VAT Phí điều chỉnh lệnh chi tiền</v>
      </c>
      <c r="F19" s="352">
        <f ca="1">IF(ROWS($1:9)&gt;COUNT(Dong6),"",OFFSET(TH!I$1,SMALL(Dong6,ROWS($1:9)),))</f>
        <v>1000</v>
      </c>
      <c r="G19" s="353" t="str">
        <f ca="1">IF(ROWS($1:9)&gt;COUNT(Dong6),"",OFFSET(TH!J$1,SMALL(Dong6,ROWS($1:9)),))</f>
        <v>642</v>
      </c>
      <c r="H19" s="353" t="str">
        <f ca="1">IF(ROWS($1:9)&gt;COUNT(Dong6),"",OFFSET(TH!K$1,SMALL(Dong6,ROWS($1:9)),))</f>
        <v>1121</v>
      </c>
      <c r="I19" s="63">
        <f t="shared" ca="1" si="0"/>
        <v>9</v>
      </c>
      <c r="J19" s="303">
        <f t="shared" ca="1" si="1"/>
        <v>0</v>
      </c>
      <c r="K19" s="303">
        <f t="shared" ca="1" si="2"/>
        <v>0</v>
      </c>
      <c r="L19" s="303">
        <f t="shared" ca="1" si="3"/>
        <v>0</v>
      </c>
      <c r="M19" s="303">
        <f t="shared" ca="1" si="4"/>
        <v>1000</v>
      </c>
      <c r="N19" s="303">
        <f t="shared" ca="1" si="5"/>
        <v>0</v>
      </c>
      <c r="O19" s="303">
        <f t="shared" ca="1" si="6"/>
        <v>0</v>
      </c>
      <c r="P19" s="303">
        <f t="shared" ca="1" si="7"/>
        <v>0</v>
      </c>
      <c r="Q19" s="303">
        <f t="shared" ca="1" si="8"/>
        <v>0</v>
      </c>
      <c r="R19" s="303">
        <f t="shared" ca="1" si="39"/>
        <v>0</v>
      </c>
      <c r="S19" s="303">
        <f t="shared" ca="1" si="40"/>
        <v>0</v>
      </c>
      <c r="T19" s="303">
        <f t="shared" ca="1" si="9"/>
        <v>0</v>
      </c>
      <c r="U19" s="303">
        <f t="shared" ca="1" si="10"/>
        <v>0</v>
      </c>
      <c r="V19" s="303">
        <f t="shared" ca="1" si="11"/>
        <v>0</v>
      </c>
      <c r="W19" s="303">
        <f t="shared" ca="1" si="12"/>
        <v>0</v>
      </c>
      <c r="X19" s="303">
        <f t="shared" ca="1" si="13"/>
        <v>0</v>
      </c>
      <c r="Y19" s="303">
        <f t="shared" ca="1" si="14"/>
        <v>0</v>
      </c>
      <c r="Z19" s="303">
        <f t="shared" ca="1" si="15"/>
        <v>0</v>
      </c>
      <c r="AA19" s="303">
        <f t="shared" ca="1" si="16"/>
        <v>0</v>
      </c>
      <c r="AB19" s="303">
        <f t="shared" ca="1" si="17"/>
        <v>0</v>
      </c>
      <c r="AC19" s="303">
        <f t="shared" ca="1" si="18"/>
        <v>0</v>
      </c>
      <c r="AD19" s="303">
        <f t="shared" ca="1" si="19"/>
        <v>0</v>
      </c>
      <c r="AE19" s="303">
        <f t="shared" ca="1" si="20"/>
        <v>0</v>
      </c>
      <c r="AF19" s="303">
        <f t="shared" ca="1" si="21"/>
        <v>0</v>
      </c>
      <c r="AG19" s="303">
        <f t="shared" ca="1" si="22"/>
        <v>0</v>
      </c>
      <c r="AH19" s="303">
        <f t="shared" ca="1" si="23"/>
        <v>0</v>
      </c>
      <c r="AI19" s="303">
        <f t="shared" ca="1" si="24"/>
        <v>0</v>
      </c>
      <c r="AJ19" s="303">
        <f t="shared" ca="1" si="25"/>
        <v>0</v>
      </c>
      <c r="AK19" s="303">
        <f t="shared" ca="1" si="26"/>
        <v>0</v>
      </c>
      <c r="AL19" s="303">
        <f t="shared" ca="1" si="27"/>
        <v>0</v>
      </c>
      <c r="AM19" s="303">
        <f t="shared" ca="1" si="28"/>
        <v>0</v>
      </c>
      <c r="AN19" s="303">
        <f t="shared" ca="1" si="29"/>
        <v>1000</v>
      </c>
      <c r="AO19" s="303">
        <f t="shared" ca="1" si="30"/>
        <v>0</v>
      </c>
      <c r="AP19" s="303">
        <f t="shared" ca="1" si="31"/>
        <v>0</v>
      </c>
      <c r="AQ19" s="303">
        <f t="shared" ca="1" si="32"/>
        <v>0</v>
      </c>
      <c r="AR19" s="303">
        <f t="shared" ca="1" si="33"/>
        <v>0</v>
      </c>
      <c r="AS19" s="303">
        <f t="shared" ca="1" si="34"/>
        <v>0</v>
      </c>
      <c r="AT19" s="303">
        <f t="shared" ca="1" si="35"/>
        <v>0</v>
      </c>
      <c r="AU19" s="303">
        <f t="shared" ca="1" si="36"/>
        <v>0</v>
      </c>
      <c r="AV19" s="303">
        <f t="shared" ca="1" si="37"/>
        <v>0</v>
      </c>
      <c r="AW19" s="303">
        <f t="shared" ca="1" si="38"/>
        <v>0</v>
      </c>
    </row>
    <row r="20" spans="1:49" s="300" customFormat="1" ht="12.75" customHeight="1">
      <c r="A20" s="63">
        <f t="array" aca="1" ref="A20" ca="1">IF(C20&lt;&gt;0,SUM(($C$11:C20&lt;&gt;0)*1),"")</f>
        <v>10</v>
      </c>
      <c r="B20" s="301">
        <f ca="1">IF(ROWS($1:10)&gt;COUNT(Dong6),"",OFFSET(TH!C$1,SMALL(Dong6,ROWS($1:10)),))</f>
        <v>40572</v>
      </c>
      <c r="C20" s="301" t="str">
        <f ca="1">IF(ROWS($1:10)&gt;COUNT(Dong6),"",OFFSET(TH!D$1,SMALL(Dong6,ROWS($1:10)),))</f>
        <v>C02</v>
      </c>
      <c r="D20" s="301">
        <f ca="1">IF(ROWS($1:10)&gt;COUNT(Dong6),"",OFFSET(TH!E$1,SMALL(Dong6,ROWS($1:10)),))</f>
        <v>40570</v>
      </c>
      <c r="E20" s="351" t="str">
        <f ca="1">IF(ROWS($1:10)&gt;COUNT(Dong6),"",OFFSET(TH!F$1,SMALL(Dong6,ROWS($1:10)),))</f>
        <v>Trả tiền mượn vốn - An Lạc</v>
      </c>
      <c r="F20" s="352">
        <f ca="1">IF(ROWS($1:10)&gt;COUNT(Dong6),"",OFFSET(TH!I$1,SMALL(Dong6,ROWS($1:10)),))</f>
        <v>2000000</v>
      </c>
      <c r="G20" s="353" t="str">
        <f ca="1">IF(ROWS($1:10)&gt;COUNT(Dong6),"",OFFSET(TH!J$1,SMALL(Dong6,ROWS($1:10)),))</f>
        <v>3388</v>
      </c>
      <c r="H20" s="353" t="str">
        <f ca="1">IF(ROWS($1:10)&gt;COUNT(Dong6),"",OFFSET(TH!K$1,SMALL(Dong6,ROWS($1:10)),))</f>
        <v>1111</v>
      </c>
      <c r="I20" s="63">
        <f t="shared" ca="1" si="0"/>
        <v>10</v>
      </c>
      <c r="J20" s="303">
        <f t="shared" ca="1" si="1"/>
        <v>0</v>
      </c>
      <c r="K20" s="303">
        <f t="shared" ca="1" si="2"/>
        <v>2000000</v>
      </c>
      <c r="L20" s="303">
        <f t="shared" ca="1" si="3"/>
        <v>0</v>
      </c>
      <c r="M20" s="303">
        <f t="shared" ca="1" si="4"/>
        <v>0</v>
      </c>
      <c r="N20" s="303">
        <f t="shared" ca="1" si="5"/>
        <v>0</v>
      </c>
      <c r="O20" s="303">
        <f t="shared" ca="1" si="6"/>
        <v>0</v>
      </c>
      <c r="P20" s="303">
        <f t="shared" ca="1" si="7"/>
        <v>0</v>
      </c>
      <c r="Q20" s="303">
        <f t="shared" ca="1" si="8"/>
        <v>0</v>
      </c>
      <c r="R20" s="303">
        <f t="shared" ca="1" si="39"/>
        <v>0</v>
      </c>
      <c r="S20" s="303">
        <f t="shared" ca="1" si="40"/>
        <v>0</v>
      </c>
      <c r="T20" s="303">
        <f t="shared" ca="1" si="9"/>
        <v>0</v>
      </c>
      <c r="U20" s="303">
        <f t="shared" ca="1" si="10"/>
        <v>0</v>
      </c>
      <c r="V20" s="303">
        <f t="shared" ca="1" si="11"/>
        <v>0</v>
      </c>
      <c r="W20" s="303">
        <f t="shared" ca="1" si="12"/>
        <v>0</v>
      </c>
      <c r="X20" s="303">
        <f t="shared" ca="1" si="13"/>
        <v>0</v>
      </c>
      <c r="Y20" s="303">
        <f t="shared" ca="1" si="14"/>
        <v>0</v>
      </c>
      <c r="Z20" s="303">
        <f t="shared" ca="1" si="15"/>
        <v>2000000</v>
      </c>
      <c r="AA20" s="303">
        <f t="shared" ca="1" si="16"/>
        <v>0</v>
      </c>
      <c r="AB20" s="303">
        <f t="shared" ca="1" si="17"/>
        <v>0</v>
      </c>
      <c r="AC20" s="303">
        <f t="shared" ca="1" si="18"/>
        <v>0</v>
      </c>
      <c r="AD20" s="303">
        <f t="shared" ca="1" si="19"/>
        <v>0</v>
      </c>
      <c r="AE20" s="303">
        <f t="shared" ca="1" si="20"/>
        <v>0</v>
      </c>
      <c r="AF20" s="303">
        <f t="shared" ca="1" si="21"/>
        <v>0</v>
      </c>
      <c r="AG20" s="303">
        <f t="shared" ca="1" si="22"/>
        <v>0</v>
      </c>
      <c r="AH20" s="303">
        <f t="shared" ca="1" si="23"/>
        <v>0</v>
      </c>
      <c r="AI20" s="303">
        <f t="shared" ca="1" si="24"/>
        <v>0</v>
      </c>
      <c r="AJ20" s="303">
        <f t="shared" ca="1" si="25"/>
        <v>0</v>
      </c>
      <c r="AK20" s="303">
        <f t="shared" ca="1" si="26"/>
        <v>0</v>
      </c>
      <c r="AL20" s="303">
        <f t="shared" ca="1" si="27"/>
        <v>0</v>
      </c>
      <c r="AM20" s="303">
        <f t="shared" ca="1" si="28"/>
        <v>0</v>
      </c>
      <c r="AN20" s="303">
        <f t="shared" ca="1" si="29"/>
        <v>0</v>
      </c>
      <c r="AO20" s="303">
        <f t="shared" ca="1" si="30"/>
        <v>0</v>
      </c>
      <c r="AP20" s="303">
        <f t="shared" ca="1" si="31"/>
        <v>0</v>
      </c>
      <c r="AQ20" s="303">
        <f t="shared" ca="1" si="32"/>
        <v>0</v>
      </c>
      <c r="AR20" s="303">
        <f t="shared" ca="1" si="33"/>
        <v>0</v>
      </c>
      <c r="AS20" s="303">
        <f t="shared" ca="1" si="34"/>
        <v>0</v>
      </c>
      <c r="AT20" s="303">
        <f t="shared" ca="1" si="35"/>
        <v>0</v>
      </c>
      <c r="AU20" s="303">
        <f t="shared" ca="1" si="36"/>
        <v>0</v>
      </c>
      <c r="AV20" s="303">
        <f t="shared" ca="1" si="37"/>
        <v>0</v>
      </c>
      <c r="AW20" s="303">
        <f t="shared" ca="1" si="38"/>
        <v>0</v>
      </c>
    </row>
    <row r="21" spans="1:49" s="300" customFormat="1" ht="12.75" customHeight="1">
      <c r="A21" s="63">
        <f t="array" aca="1" ref="A21" ca="1">IF(C21&lt;&gt;0,SUM(($C$11:C21&lt;&gt;0)*1),"")</f>
        <v>11</v>
      </c>
      <c r="B21" s="301">
        <f ca="1">IF(ROWS($1:11)&gt;COUNT(Dong6),"",OFFSET(TH!C$1,SMALL(Dong6,ROWS($1:11)),))</f>
        <v>40572</v>
      </c>
      <c r="C21" s="301" t="str">
        <f ca="1">IF(ROWS($1:11)&gt;COUNT(Dong6),"",OFFSET(TH!D$1,SMALL(Dong6,ROWS($1:11)),))</f>
        <v>GBC</v>
      </c>
      <c r="D21" s="301">
        <f ca="1">IF(ROWS($1:11)&gt;COUNT(Dong6),"",OFFSET(TH!E$1,SMALL(Dong6,ROWS($1:11)),))</f>
        <v>40572</v>
      </c>
      <c r="E21" s="351" t="str">
        <f ca="1">IF(ROWS($1:11)&gt;COUNT(Dong6),"",OFFSET(TH!F$1,SMALL(Dong6,ROWS($1:11)),))</f>
        <v>An Lạc - Mượn vốn</v>
      </c>
      <c r="F21" s="352">
        <f ca="1">IF(ROWS($1:11)&gt;COUNT(Dong6),"",OFFSET(TH!I$1,SMALL(Dong6,ROWS($1:11)),))</f>
        <v>2000000</v>
      </c>
      <c r="G21" s="353" t="str">
        <f ca="1">IF(ROWS($1:11)&gt;COUNT(Dong6),"",OFFSET(TH!J$1,SMALL(Dong6,ROWS($1:11)),))</f>
        <v>1121</v>
      </c>
      <c r="H21" s="353" t="str">
        <f ca="1">IF(ROWS($1:11)&gt;COUNT(Dong6),"",OFFSET(TH!K$1,SMALL(Dong6,ROWS($1:11)),))</f>
        <v>3388</v>
      </c>
      <c r="I21" s="63">
        <f t="shared" ca="1" si="0"/>
        <v>11</v>
      </c>
      <c r="J21" s="303">
        <f t="shared" ca="1" si="1"/>
        <v>0</v>
      </c>
      <c r="K21" s="303">
        <f t="shared" ca="1" si="2"/>
        <v>0</v>
      </c>
      <c r="L21" s="303">
        <f t="shared" ca="1" si="3"/>
        <v>2000000</v>
      </c>
      <c r="M21" s="303">
        <f t="shared" ca="1" si="4"/>
        <v>0</v>
      </c>
      <c r="N21" s="303">
        <f t="shared" ca="1" si="5"/>
        <v>0</v>
      </c>
      <c r="O21" s="303">
        <f t="shared" ca="1" si="6"/>
        <v>0</v>
      </c>
      <c r="P21" s="303">
        <f t="shared" ca="1" si="7"/>
        <v>0</v>
      </c>
      <c r="Q21" s="303">
        <f t="shared" ca="1" si="8"/>
        <v>0</v>
      </c>
      <c r="R21" s="303">
        <f t="shared" ca="1" si="39"/>
        <v>0</v>
      </c>
      <c r="S21" s="303">
        <f t="shared" ca="1" si="40"/>
        <v>0</v>
      </c>
      <c r="T21" s="303">
        <f t="shared" ca="1" si="9"/>
        <v>0</v>
      </c>
      <c r="U21" s="303">
        <f t="shared" ca="1" si="10"/>
        <v>0</v>
      </c>
      <c r="V21" s="303">
        <f t="shared" ca="1" si="11"/>
        <v>0</v>
      </c>
      <c r="W21" s="303">
        <f t="shared" ca="1" si="12"/>
        <v>0</v>
      </c>
      <c r="X21" s="303">
        <f t="shared" ca="1" si="13"/>
        <v>0</v>
      </c>
      <c r="Y21" s="303">
        <f t="shared" ca="1" si="14"/>
        <v>0</v>
      </c>
      <c r="Z21" s="303">
        <f t="shared" ca="1" si="15"/>
        <v>0</v>
      </c>
      <c r="AA21" s="303">
        <f t="shared" ca="1" si="16"/>
        <v>2000000</v>
      </c>
      <c r="AB21" s="303">
        <f t="shared" ca="1" si="17"/>
        <v>0</v>
      </c>
      <c r="AC21" s="303">
        <f t="shared" ca="1" si="18"/>
        <v>0</v>
      </c>
      <c r="AD21" s="303">
        <f t="shared" ca="1" si="19"/>
        <v>0</v>
      </c>
      <c r="AE21" s="303">
        <f t="shared" ca="1" si="20"/>
        <v>0</v>
      </c>
      <c r="AF21" s="303">
        <f t="shared" ca="1" si="21"/>
        <v>0</v>
      </c>
      <c r="AG21" s="303">
        <f t="shared" ca="1" si="22"/>
        <v>0</v>
      </c>
      <c r="AH21" s="303">
        <f t="shared" ca="1" si="23"/>
        <v>0</v>
      </c>
      <c r="AI21" s="303">
        <f t="shared" ca="1" si="24"/>
        <v>0</v>
      </c>
      <c r="AJ21" s="303">
        <f t="shared" ca="1" si="25"/>
        <v>0</v>
      </c>
      <c r="AK21" s="303">
        <f t="shared" ca="1" si="26"/>
        <v>0</v>
      </c>
      <c r="AL21" s="303">
        <f t="shared" ca="1" si="27"/>
        <v>0</v>
      </c>
      <c r="AM21" s="303">
        <f t="shared" ca="1" si="28"/>
        <v>0</v>
      </c>
      <c r="AN21" s="303">
        <f t="shared" ca="1" si="29"/>
        <v>0</v>
      </c>
      <c r="AO21" s="303">
        <f t="shared" ca="1" si="30"/>
        <v>0</v>
      </c>
      <c r="AP21" s="303">
        <f t="shared" ca="1" si="31"/>
        <v>0</v>
      </c>
      <c r="AQ21" s="303">
        <f t="shared" ca="1" si="32"/>
        <v>0</v>
      </c>
      <c r="AR21" s="303">
        <f t="shared" ca="1" si="33"/>
        <v>0</v>
      </c>
      <c r="AS21" s="303">
        <f t="shared" ca="1" si="34"/>
        <v>0</v>
      </c>
      <c r="AT21" s="303">
        <f t="shared" ca="1" si="35"/>
        <v>0</v>
      </c>
      <c r="AU21" s="303">
        <f t="shared" ca="1" si="36"/>
        <v>0</v>
      </c>
      <c r="AV21" s="303">
        <f t="shared" ca="1" si="37"/>
        <v>0</v>
      </c>
      <c r="AW21" s="303">
        <f t="shared" ca="1" si="38"/>
        <v>0</v>
      </c>
    </row>
    <row r="22" spans="1:49" s="300" customFormat="1" ht="12.75" customHeight="1">
      <c r="A22" s="63">
        <f t="array" aca="1" ref="A22" ca="1">IF(C22&lt;&gt;0,SUM(($C$11:C22&lt;&gt;0)*1),"")</f>
        <v>12</v>
      </c>
      <c r="B22" s="301">
        <f ca="1">IF(ROWS($1:12)&gt;COUNT(Dong6),"",OFFSET(TH!C$1,SMALL(Dong6,ROWS($1:12)),))</f>
        <v>40572</v>
      </c>
      <c r="C22" s="301" t="str">
        <f ca="1">IF(ROWS($1:12)&gt;COUNT(Dong6),"",OFFSET(TH!D$1,SMALL(Dong6,ROWS($1:12)),))</f>
        <v>GBN</v>
      </c>
      <c r="D22" s="301">
        <f ca="1">IF(ROWS($1:12)&gt;COUNT(Dong6),"",OFFSET(TH!E$1,SMALL(Dong6,ROWS($1:12)),))</f>
        <v>40572</v>
      </c>
      <c r="E22" s="351" t="str">
        <f ca="1">IF(ROWS($1:12)&gt;COUNT(Dong6),"",OFFSET(TH!F$1,SMALL(Dong6,ROWS($1:12)),))</f>
        <v>Thuế môn bài 2011</v>
      </c>
      <c r="F22" s="352">
        <f ca="1">IF(ROWS($1:12)&gt;COUNT(Dong6),"",OFFSET(TH!I$1,SMALL(Dong6,ROWS($1:12)),))</f>
        <v>1500000</v>
      </c>
      <c r="G22" s="353" t="str">
        <f ca="1">IF(ROWS($1:12)&gt;COUNT(Dong6),"",OFFSET(TH!J$1,SMALL(Dong6,ROWS($1:12)),))</f>
        <v>33382</v>
      </c>
      <c r="H22" s="353" t="str">
        <f ca="1">IF(ROWS($1:12)&gt;COUNT(Dong6),"",OFFSET(TH!K$1,SMALL(Dong6,ROWS($1:12)),))</f>
        <v>1121</v>
      </c>
      <c r="I22" s="63">
        <f t="shared" ca="1" si="0"/>
        <v>12</v>
      </c>
      <c r="J22" s="303">
        <f t="shared" ca="1" si="1"/>
        <v>0</v>
      </c>
      <c r="K22" s="303">
        <f t="shared" ca="1" si="2"/>
        <v>0</v>
      </c>
      <c r="L22" s="303">
        <f t="shared" ca="1" si="3"/>
        <v>0</v>
      </c>
      <c r="M22" s="303">
        <f t="shared" ca="1" si="4"/>
        <v>1500000</v>
      </c>
      <c r="N22" s="303">
        <f t="shared" ca="1" si="5"/>
        <v>0</v>
      </c>
      <c r="O22" s="303">
        <f t="shared" ca="1" si="6"/>
        <v>0</v>
      </c>
      <c r="P22" s="303">
        <f t="shared" ca="1" si="7"/>
        <v>0</v>
      </c>
      <c r="Q22" s="303">
        <f t="shared" ca="1" si="8"/>
        <v>0</v>
      </c>
      <c r="R22" s="303">
        <f t="shared" ca="1" si="39"/>
        <v>0</v>
      </c>
      <c r="S22" s="303">
        <f t="shared" ca="1" si="40"/>
        <v>0</v>
      </c>
      <c r="T22" s="303">
        <f t="shared" ca="1" si="9"/>
        <v>0</v>
      </c>
      <c r="U22" s="303">
        <f t="shared" ca="1" si="10"/>
        <v>0</v>
      </c>
      <c r="V22" s="303">
        <f t="shared" ca="1" si="11"/>
        <v>0</v>
      </c>
      <c r="W22" s="303">
        <f t="shared" ca="1" si="12"/>
        <v>0</v>
      </c>
      <c r="X22" s="303">
        <f t="shared" ca="1" si="13"/>
        <v>1500000</v>
      </c>
      <c r="Y22" s="303">
        <f t="shared" ca="1" si="14"/>
        <v>0</v>
      </c>
      <c r="Z22" s="303">
        <f t="shared" ca="1" si="15"/>
        <v>0</v>
      </c>
      <c r="AA22" s="303">
        <f t="shared" ca="1" si="16"/>
        <v>0</v>
      </c>
      <c r="AB22" s="303">
        <f t="shared" ca="1" si="17"/>
        <v>0</v>
      </c>
      <c r="AC22" s="303">
        <f t="shared" ca="1" si="18"/>
        <v>0</v>
      </c>
      <c r="AD22" s="303">
        <f t="shared" ca="1" si="19"/>
        <v>0</v>
      </c>
      <c r="AE22" s="303">
        <f t="shared" ca="1" si="20"/>
        <v>0</v>
      </c>
      <c r="AF22" s="303">
        <f t="shared" ca="1" si="21"/>
        <v>0</v>
      </c>
      <c r="AG22" s="303">
        <f t="shared" ca="1" si="22"/>
        <v>0</v>
      </c>
      <c r="AH22" s="303">
        <f t="shared" ca="1" si="23"/>
        <v>0</v>
      </c>
      <c r="AI22" s="303">
        <f t="shared" ca="1" si="24"/>
        <v>0</v>
      </c>
      <c r="AJ22" s="303">
        <f t="shared" ca="1" si="25"/>
        <v>0</v>
      </c>
      <c r="AK22" s="303">
        <f t="shared" ca="1" si="26"/>
        <v>0</v>
      </c>
      <c r="AL22" s="303">
        <f t="shared" ca="1" si="27"/>
        <v>0</v>
      </c>
      <c r="AM22" s="303">
        <f t="shared" ca="1" si="28"/>
        <v>0</v>
      </c>
      <c r="AN22" s="303">
        <f t="shared" ca="1" si="29"/>
        <v>0</v>
      </c>
      <c r="AO22" s="303">
        <f t="shared" ca="1" si="30"/>
        <v>0</v>
      </c>
      <c r="AP22" s="303">
        <f t="shared" ca="1" si="31"/>
        <v>0</v>
      </c>
      <c r="AQ22" s="303">
        <f t="shared" ca="1" si="32"/>
        <v>0</v>
      </c>
      <c r="AR22" s="303">
        <f t="shared" ca="1" si="33"/>
        <v>0</v>
      </c>
      <c r="AS22" s="303">
        <f t="shared" ca="1" si="34"/>
        <v>0</v>
      </c>
      <c r="AT22" s="303">
        <f t="shared" ca="1" si="35"/>
        <v>0</v>
      </c>
      <c r="AU22" s="303">
        <f t="shared" ca="1" si="36"/>
        <v>0</v>
      </c>
      <c r="AV22" s="303">
        <f t="shared" ca="1" si="37"/>
        <v>0</v>
      </c>
      <c r="AW22" s="303">
        <f t="shared" ca="1" si="38"/>
        <v>0</v>
      </c>
    </row>
    <row r="23" spans="1:49" s="300" customFormat="1" ht="12.75" customHeight="1">
      <c r="A23" s="63">
        <f t="array" aca="1" ref="A23" ca="1">IF(C23&lt;&gt;0,SUM(($C$11:C23&lt;&gt;0)*1),"")</f>
        <v>13</v>
      </c>
      <c r="B23" s="301">
        <f ca="1">IF(ROWS($1:13)&gt;COUNT(Dong6),"",OFFSET(TH!C$1,SMALL(Dong6,ROWS($1:13)),))</f>
        <v>40572</v>
      </c>
      <c r="C23" s="301" t="str">
        <f ca="1">IF(ROWS($1:13)&gt;COUNT(Dong6),"",OFFSET(TH!D$1,SMALL(Dong6,ROWS($1:13)),))</f>
        <v>CTGS</v>
      </c>
      <c r="D23" s="301">
        <f ca="1">IF(ROWS($1:13)&gt;COUNT(Dong6),"",OFFSET(TH!E$1,SMALL(Dong6,ROWS($1:13)),))</f>
        <v>40572</v>
      </c>
      <c r="E23" s="351" t="str">
        <f ca="1">IF(ROWS($1:13)&gt;COUNT(Dong6),"",OFFSET(TH!F$1,SMALL(Dong6,ROWS($1:13)),))</f>
        <v>Thuế môn bài 2011</v>
      </c>
      <c r="F23" s="352">
        <f ca="1">IF(ROWS($1:13)&gt;COUNT(Dong6),"",OFFSET(TH!I$1,SMALL(Dong6,ROWS($1:13)),))</f>
        <v>1500000</v>
      </c>
      <c r="G23" s="353" t="str">
        <f ca="1">IF(ROWS($1:13)&gt;COUNT(Dong6),"",OFFSET(TH!J$1,SMALL(Dong6,ROWS($1:13)),))</f>
        <v>642</v>
      </c>
      <c r="H23" s="353" t="str">
        <f ca="1">IF(ROWS($1:13)&gt;COUNT(Dong6),"",OFFSET(TH!K$1,SMALL(Dong6,ROWS($1:13)),))</f>
        <v>33382</v>
      </c>
      <c r="I23" s="63">
        <f t="shared" ca="1" si="0"/>
        <v>13</v>
      </c>
      <c r="J23" s="303">
        <f t="shared" ca="1" si="1"/>
        <v>0</v>
      </c>
      <c r="K23" s="303">
        <f t="shared" ca="1" si="2"/>
        <v>0</v>
      </c>
      <c r="L23" s="303">
        <f t="shared" ca="1" si="3"/>
        <v>0</v>
      </c>
      <c r="M23" s="303">
        <f t="shared" ca="1" si="4"/>
        <v>0</v>
      </c>
      <c r="N23" s="303">
        <f t="shared" ca="1" si="5"/>
        <v>0</v>
      </c>
      <c r="O23" s="303">
        <f t="shared" ca="1" si="6"/>
        <v>0</v>
      </c>
      <c r="P23" s="303">
        <f t="shared" ca="1" si="7"/>
        <v>0</v>
      </c>
      <c r="Q23" s="303">
        <f t="shared" ca="1" si="8"/>
        <v>0</v>
      </c>
      <c r="R23" s="303">
        <f t="shared" ca="1" si="39"/>
        <v>0</v>
      </c>
      <c r="S23" s="303">
        <f t="shared" ca="1" si="40"/>
        <v>0</v>
      </c>
      <c r="T23" s="303">
        <f t="shared" ca="1" si="9"/>
        <v>0</v>
      </c>
      <c r="U23" s="303">
        <f t="shared" ca="1" si="10"/>
        <v>0</v>
      </c>
      <c r="V23" s="303">
        <f t="shared" ca="1" si="11"/>
        <v>0</v>
      </c>
      <c r="W23" s="303">
        <f t="shared" ca="1" si="12"/>
        <v>0</v>
      </c>
      <c r="X23" s="303">
        <f t="shared" ca="1" si="13"/>
        <v>0</v>
      </c>
      <c r="Y23" s="303">
        <f t="shared" ca="1" si="14"/>
        <v>1500000</v>
      </c>
      <c r="Z23" s="303">
        <f t="shared" ca="1" si="15"/>
        <v>0</v>
      </c>
      <c r="AA23" s="303">
        <f t="shared" ca="1" si="16"/>
        <v>0</v>
      </c>
      <c r="AB23" s="303">
        <f t="shared" ca="1" si="17"/>
        <v>0</v>
      </c>
      <c r="AC23" s="303">
        <f t="shared" ca="1" si="18"/>
        <v>0</v>
      </c>
      <c r="AD23" s="303">
        <f t="shared" ca="1" si="19"/>
        <v>0</v>
      </c>
      <c r="AE23" s="303">
        <f t="shared" ca="1" si="20"/>
        <v>0</v>
      </c>
      <c r="AF23" s="303">
        <f t="shared" ca="1" si="21"/>
        <v>0</v>
      </c>
      <c r="AG23" s="303">
        <f t="shared" ca="1" si="22"/>
        <v>0</v>
      </c>
      <c r="AH23" s="303">
        <f t="shared" ca="1" si="23"/>
        <v>0</v>
      </c>
      <c r="AI23" s="303">
        <f t="shared" ca="1" si="24"/>
        <v>0</v>
      </c>
      <c r="AJ23" s="303">
        <f t="shared" ca="1" si="25"/>
        <v>0</v>
      </c>
      <c r="AK23" s="303">
        <f t="shared" ca="1" si="26"/>
        <v>0</v>
      </c>
      <c r="AL23" s="303">
        <f t="shared" ca="1" si="27"/>
        <v>0</v>
      </c>
      <c r="AM23" s="303">
        <f t="shared" ca="1" si="28"/>
        <v>0</v>
      </c>
      <c r="AN23" s="303">
        <f t="shared" ca="1" si="29"/>
        <v>1500000</v>
      </c>
      <c r="AO23" s="303">
        <f t="shared" ca="1" si="30"/>
        <v>0</v>
      </c>
      <c r="AP23" s="303">
        <f t="shared" ca="1" si="31"/>
        <v>0</v>
      </c>
      <c r="AQ23" s="303">
        <f t="shared" ca="1" si="32"/>
        <v>0</v>
      </c>
      <c r="AR23" s="303">
        <f t="shared" ca="1" si="33"/>
        <v>0</v>
      </c>
      <c r="AS23" s="303">
        <f t="shared" ca="1" si="34"/>
        <v>0</v>
      </c>
      <c r="AT23" s="303">
        <f t="shared" ca="1" si="35"/>
        <v>0</v>
      </c>
      <c r="AU23" s="303">
        <f t="shared" ca="1" si="36"/>
        <v>0</v>
      </c>
      <c r="AV23" s="303">
        <f t="shared" ca="1" si="37"/>
        <v>0</v>
      </c>
      <c r="AW23" s="303">
        <f t="shared" ca="1" si="38"/>
        <v>0</v>
      </c>
    </row>
    <row r="24" spans="1:49" s="300" customFormat="1" ht="12.75" customHeight="1">
      <c r="A24" s="63">
        <f t="array" aca="1" ref="A24" ca="1">IF(C24&lt;&gt;0,SUM(($C$11:C24&lt;&gt;0)*1),"")</f>
        <v>14</v>
      </c>
      <c r="B24" s="301">
        <f ca="1">IF(ROWS($1:14)&gt;COUNT(Dong6),"",OFFSET(TH!C$1,SMALL(Dong6,ROWS($1:14)),))</f>
        <v>40572</v>
      </c>
      <c r="C24" s="301" t="str">
        <f ca="1">IF(ROWS($1:14)&gt;COUNT(Dong6),"",OFFSET(TH!D$1,SMALL(Dong6,ROWS($1:14)),))</f>
        <v>GBN</v>
      </c>
      <c r="D24" s="301">
        <f ca="1">IF(ROWS($1:14)&gt;COUNT(Dong6),"",OFFSET(TH!E$1,SMALL(Dong6,ROWS($1:14)),))</f>
        <v>40572</v>
      </c>
      <c r="E24" s="351" t="str">
        <f ca="1">IF(ROWS($1:14)&gt;COUNT(Dong6),"",OFFSET(TH!F$1,SMALL(Dong6,ROWS($1:14)),))</f>
        <v xml:space="preserve">Phí chuyển tiền </v>
      </c>
      <c r="F24" s="352">
        <f ca="1">IF(ROWS($1:14)&gt;COUNT(Dong6),"",OFFSET(TH!I$1,SMALL(Dong6,ROWS($1:14)),))</f>
        <v>22000</v>
      </c>
      <c r="G24" s="353" t="str">
        <f ca="1">IF(ROWS($1:14)&gt;COUNT(Dong6),"",OFFSET(TH!J$1,SMALL(Dong6,ROWS($1:14)),))</f>
        <v>642</v>
      </c>
      <c r="H24" s="353" t="str">
        <f ca="1">IF(ROWS($1:14)&gt;COUNT(Dong6),"",OFFSET(TH!K$1,SMALL(Dong6,ROWS($1:14)),))</f>
        <v>1121</v>
      </c>
      <c r="I24" s="63">
        <f t="shared" ca="1" si="0"/>
        <v>14</v>
      </c>
      <c r="J24" s="303">
        <f t="shared" ca="1" si="1"/>
        <v>0</v>
      </c>
      <c r="K24" s="303">
        <f t="shared" ca="1" si="2"/>
        <v>0</v>
      </c>
      <c r="L24" s="303">
        <f t="shared" ca="1" si="3"/>
        <v>0</v>
      </c>
      <c r="M24" s="303">
        <f t="shared" ca="1" si="4"/>
        <v>22000</v>
      </c>
      <c r="N24" s="303">
        <f t="shared" ca="1" si="5"/>
        <v>0</v>
      </c>
      <c r="O24" s="303">
        <f t="shared" ca="1" si="6"/>
        <v>0</v>
      </c>
      <c r="P24" s="303">
        <f t="shared" ca="1" si="7"/>
        <v>0</v>
      </c>
      <c r="Q24" s="303">
        <f t="shared" ca="1" si="8"/>
        <v>0</v>
      </c>
      <c r="R24" s="303">
        <f t="shared" ca="1" si="39"/>
        <v>0</v>
      </c>
      <c r="S24" s="303">
        <f t="shared" ca="1" si="40"/>
        <v>0</v>
      </c>
      <c r="T24" s="303">
        <f t="shared" ca="1" si="9"/>
        <v>0</v>
      </c>
      <c r="U24" s="303">
        <f t="shared" ca="1" si="10"/>
        <v>0</v>
      </c>
      <c r="V24" s="303">
        <f t="shared" ca="1" si="11"/>
        <v>0</v>
      </c>
      <c r="W24" s="303">
        <f t="shared" ca="1" si="12"/>
        <v>0</v>
      </c>
      <c r="X24" s="303">
        <f t="shared" ca="1" si="13"/>
        <v>0</v>
      </c>
      <c r="Y24" s="303">
        <f t="shared" ca="1" si="14"/>
        <v>0</v>
      </c>
      <c r="Z24" s="303">
        <f t="shared" ca="1" si="15"/>
        <v>0</v>
      </c>
      <c r="AA24" s="303">
        <f t="shared" ca="1" si="16"/>
        <v>0</v>
      </c>
      <c r="AB24" s="303">
        <f t="shared" ca="1" si="17"/>
        <v>0</v>
      </c>
      <c r="AC24" s="303">
        <f t="shared" ca="1" si="18"/>
        <v>0</v>
      </c>
      <c r="AD24" s="303">
        <f t="shared" ca="1" si="19"/>
        <v>0</v>
      </c>
      <c r="AE24" s="303">
        <f t="shared" ca="1" si="20"/>
        <v>0</v>
      </c>
      <c r="AF24" s="303">
        <f t="shared" ca="1" si="21"/>
        <v>0</v>
      </c>
      <c r="AG24" s="303">
        <f t="shared" ca="1" si="22"/>
        <v>0</v>
      </c>
      <c r="AH24" s="303">
        <f t="shared" ca="1" si="23"/>
        <v>0</v>
      </c>
      <c r="AI24" s="303">
        <f t="shared" ca="1" si="24"/>
        <v>0</v>
      </c>
      <c r="AJ24" s="303">
        <f t="shared" ca="1" si="25"/>
        <v>0</v>
      </c>
      <c r="AK24" s="303">
        <f t="shared" ca="1" si="26"/>
        <v>0</v>
      </c>
      <c r="AL24" s="303">
        <f t="shared" ca="1" si="27"/>
        <v>0</v>
      </c>
      <c r="AM24" s="303">
        <f t="shared" ca="1" si="28"/>
        <v>0</v>
      </c>
      <c r="AN24" s="303">
        <f t="shared" ca="1" si="29"/>
        <v>22000</v>
      </c>
      <c r="AO24" s="303">
        <f t="shared" ca="1" si="30"/>
        <v>0</v>
      </c>
      <c r="AP24" s="303">
        <f t="shared" ca="1" si="31"/>
        <v>0</v>
      </c>
      <c r="AQ24" s="303">
        <f t="shared" ca="1" si="32"/>
        <v>0</v>
      </c>
      <c r="AR24" s="303">
        <f t="shared" ca="1" si="33"/>
        <v>0</v>
      </c>
      <c r="AS24" s="303">
        <f t="shared" ca="1" si="34"/>
        <v>0</v>
      </c>
      <c r="AT24" s="303">
        <f t="shared" ca="1" si="35"/>
        <v>0</v>
      </c>
      <c r="AU24" s="303">
        <f t="shared" ca="1" si="36"/>
        <v>0</v>
      </c>
      <c r="AV24" s="303">
        <f t="shared" ca="1" si="37"/>
        <v>0</v>
      </c>
      <c r="AW24" s="303">
        <f t="shared" ca="1" si="38"/>
        <v>0</v>
      </c>
    </row>
    <row r="25" spans="1:49" s="300" customFormat="1" ht="12.75" customHeight="1">
      <c r="A25" s="63">
        <f t="array" aca="1" ref="A25" ca="1">IF(C25&lt;&gt;0,SUM(($C$11:C25&lt;&gt;0)*1),"")</f>
        <v>15</v>
      </c>
      <c r="B25" s="301">
        <f ca="1">IF(ROWS($1:15)&gt;COUNT(Dong6),"",OFFSET(TH!C$1,SMALL(Dong6,ROWS($1:15)),))</f>
        <v>40572</v>
      </c>
      <c r="C25" s="301" t="str">
        <f ca="1">IF(ROWS($1:15)&gt;COUNT(Dong6),"",OFFSET(TH!D$1,SMALL(Dong6,ROWS($1:15)),))</f>
        <v>GBN</v>
      </c>
      <c r="D25" s="301">
        <f ca="1">IF(ROWS($1:15)&gt;COUNT(Dong6),"",OFFSET(TH!E$1,SMALL(Dong6,ROWS($1:15)),))</f>
        <v>40572</v>
      </c>
      <c r="E25" s="351" t="str">
        <f ca="1">IF(ROWS($1:15)&gt;COUNT(Dong6),"",OFFSET(TH!F$1,SMALL(Dong6,ROWS($1:15)),))</f>
        <v>Phí điều chỉnh lệnh chi tiền</v>
      </c>
      <c r="F25" s="352">
        <f ca="1">IF(ROWS($1:15)&gt;COUNT(Dong6),"",OFFSET(TH!I$1,SMALL(Dong6,ROWS($1:15)),))</f>
        <v>10000</v>
      </c>
      <c r="G25" s="353" t="str">
        <f ca="1">IF(ROWS($1:15)&gt;COUNT(Dong6),"",OFFSET(TH!J$1,SMALL(Dong6,ROWS($1:15)),))</f>
        <v>642</v>
      </c>
      <c r="H25" s="353" t="str">
        <f ca="1">IF(ROWS($1:15)&gt;COUNT(Dong6),"",OFFSET(TH!K$1,SMALL(Dong6,ROWS($1:15)),))</f>
        <v>1121</v>
      </c>
      <c r="I25" s="63">
        <f t="shared" ca="1" si="0"/>
        <v>15</v>
      </c>
      <c r="J25" s="303">
        <f t="shared" ca="1" si="1"/>
        <v>0</v>
      </c>
      <c r="K25" s="303">
        <f t="shared" ca="1" si="2"/>
        <v>0</v>
      </c>
      <c r="L25" s="303">
        <f t="shared" ca="1" si="3"/>
        <v>0</v>
      </c>
      <c r="M25" s="303">
        <f t="shared" ca="1" si="4"/>
        <v>10000</v>
      </c>
      <c r="N25" s="303">
        <f t="shared" ca="1" si="5"/>
        <v>0</v>
      </c>
      <c r="O25" s="303">
        <f t="shared" ca="1" si="6"/>
        <v>0</v>
      </c>
      <c r="P25" s="303">
        <f t="shared" ca="1" si="7"/>
        <v>0</v>
      </c>
      <c r="Q25" s="303">
        <f t="shared" ca="1" si="8"/>
        <v>0</v>
      </c>
      <c r="R25" s="303">
        <f t="shared" ca="1" si="39"/>
        <v>0</v>
      </c>
      <c r="S25" s="303">
        <f t="shared" ca="1" si="40"/>
        <v>0</v>
      </c>
      <c r="T25" s="303">
        <f t="shared" ca="1" si="9"/>
        <v>0</v>
      </c>
      <c r="U25" s="303">
        <f t="shared" ca="1" si="10"/>
        <v>0</v>
      </c>
      <c r="V25" s="303">
        <f t="shared" ca="1" si="11"/>
        <v>0</v>
      </c>
      <c r="W25" s="303">
        <f t="shared" ca="1" si="12"/>
        <v>0</v>
      </c>
      <c r="X25" s="303">
        <f t="shared" ca="1" si="13"/>
        <v>0</v>
      </c>
      <c r="Y25" s="303">
        <f t="shared" ca="1" si="14"/>
        <v>0</v>
      </c>
      <c r="Z25" s="303">
        <f t="shared" ca="1" si="15"/>
        <v>0</v>
      </c>
      <c r="AA25" s="303">
        <f t="shared" ca="1" si="16"/>
        <v>0</v>
      </c>
      <c r="AB25" s="303">
        <f t="shared" ca="1" si="17"/>
        <v>0</v>
      </c>
      <c r="AC25" s="303">
        <f t="shared" ca="1" si="18"/>
        <v>0</v>
      </c>
      <c r="AD25" s="303">
        <f t="shared" ca="1" si="19"/>
        <v>0</v>
      </c>
      <c r="AE25" s="303">
        <f t="shared" ca="1" si="20"/>
        <v>0</v>
      </c>
      <c r="AF25" s="303">
        <f t="shared" ca="1" si="21"/>
        <v>0</v>
      </c>
      <c r="AG25" s="303">
        <f t="shared" ca="1" si="22"/>
        <v>0</v>
      </c>
      <c r="AH25" s="303">
        <f t="shared" ca="1" si="23"/>
        <v>0</v>
      </c>
      <c r="AI25" s="303">
        <f t="shared" ca="1" si="24"/>
        <v>0</v>
      </c>
      <c r="AJ25" s="303">
        <f t="shared" ca="1" si="25"/>
        <v>0</v>
      </c>
      <c r="AK25" s="303">
        <f t="shared" ca="1" si="26"/>
        <v>0</v>
      </c>
      <c r="AL25" s="303">
        <f t="shared" ca="1" si="27"/>
        <v>0</v>
      </c>
      <c r="AM25" s="303">
        <f t="shared" ca="1" si="28"/>
        <v>0</v>
      </c>
      <c r="AN25" s="303">
        <f t="shared" ca="1" si="29"/>
        <v>10000</v>
      </c>
      <c r="AO25" s="303">
        <f t="shared" ca="1" si="30"/>
        <v>0</v>
      </c>
      <c r="AP25" s="303">
        <f t="shared" ca="1" si="31"/>
        <v>0</v>
      </c>
      <c r="AQ25" s="303">
        <f t="shared" ca="1" si="32"/>
        <v>0</v>
      </c>
      <c r="AR25" s="303">
        <f t="shared" ca="1" si="33"/>
        <v>0</v>
      </c>
      <c r="AS25" s="303">
        <f t="shared" ca="1" si="34"/>
        <v>0</v>
      </c>
      <c r="AT25" s="303">
        <f t="shared" ca="1" si="35"/>
        <v>0</v>
      </c>
      <c r="AU25" s="303">
        <f t="shared" ca="1" si="36"/>
        <v>0</v>
      </c>
      <c r="AV25" s="303">
        <f t="shared" ca="1" si="37"/>
        <v>0</v>
      </c>
      <c r="AW25" s="303">
        <f t="shared" ca="1" si="38"/>
        <v>0</v>
      </c>
    </row>
    <row r="26" spans="1:49" s="300" customFormat="1" ht="12.75" customHeight="1">
      <c r="A26" s="63">
        <f t="array" aca="1" ref="A26" ca="1">IF(C26&lt;&gt;0,SUM(($C$11:C26&lt;&gt;0)*1),"")</f>
        <v>16</v>
      </c>
      <c r="B26" s="301">
        <f ca="1">IF(ROWS($1:16)&gt;COUNT(Dong6),"",OFFSET(TH!C$1,SMALL(Dong6,ROWS($1:16)),))</f>
        <v>40572</v>
      </c>
      <c r="C26" s="301" t="str">
        <f ca="1">IF(ROWS($1:16)&gt;COUNT(Dong6),"",OFFSET(TH!D$1,SMALL(Dong6,ROWS($1:16)),))</f>
        <v>GBN</v>
      </c>
      <c r="D26" s="301">
        <f ca="1">IF(ROWS($1:16)&gt;COUNT(Dong6),"",OFFSET(TH!E$1,SMALL(Dong6,ROWS($1:16)),))</f>
        <v>40572</v>
      </c>
      <c r="E26" s="351" t="str">
        <f ca="1">IF(ROWS($1:16)&gt;COUNT(Dong6),"",OFFSET(TH!F$1,SMALL(Dong6,ROWS($1:16)),))</f>
        <v>VAT Phí điều chỉnh lệnh chi tiền</v>
      </c>
      <c r="F26" s="352">
        <f ca="1">IF(ROWS($1:16)&gt;COUNT(Dong6),"",OFFSET(TH!I$1,SMALL(Dong6,ROWS($1:16)),))</f>
        <v>1000</v>
      </c>
      <c r="G26" s="353" t="str">
        <f ca="1">IF(ROWS($1:16)&gt;COUNT(Dong6),"",OFFSET(TH!J$1,SMALL(Dong6,ROWS($1:16)),))</f>
        <v>642</v>
      </c>
      <c r="H26" s="353" t="str">
        <f ca="1">IF(ROWS($1:16)&gt;COUNT(Dong6),"",OFFSET(TH!K$1,SMALL(Dong6,ROWS($1:16)),))</f>
        <v>1121</v>
      </c>
      <c r="I26" s="63">
        <f t="shared" ca="1" si="0"/>
        <v>16</v>
      </c>
      <c r="J26" s="303">
        <f t="shared" ca="1" si="1"/>
        <v>0</v>
      </c>
      <c r="K26" s="303">
        <f t="shared" ca="1" si="2"/>
        <v>0</v>
      </c>
      <c r="L26" s="303">
        <f t="shared" ca="1" si="3"/>
        <v>0</v>
      </c>
      <c r="M26" s="303">
        <f t="shared" ca="1" si="4"/>
        <v>1000</v>
      </c>
      <c r="N26" s="303">
        <f t="shared" ca="1" si="5"/>
        <v>0</v>
      </c>
      <c r="O26" s="303">
        <f t="shared" ca="1" si="6"/>
        <v>0</v>
      </c>
      <c r="P26" s="303">
        <f t="shared" ca="1" si="7"/>
        <v>0</v>
      </c>
      <c r="Q26" s="303">
        <f t="shared" ca="1" si="8"/>
        <v>0</v>
      </c>
      <c r="R26" s="303">
        <f t="shared" ca="1" si="39"/>
        <v>0</v>
      </c>
      <c r="S26" s="303">
        <f t="shared" ca="1" si="40"/>
        <v>0</v>
      </c>
      <c r="T26" s="303">
        <f t="shared" ca="1" si="9"/>
        <v>0</v>
      </c>
      <c r="U26" s="303">
        <f t="shared" ca="1" si="10"/>
        <v>0</v>
      </c>
      <c r="V26" s="303">
        <f t="shared" ca="1" si="11"/>
        <v>0</v>
      </c>
      <c r="W26" s="303">
        <f t="shared" ca="1" si="12"/>
        <v>0</v>
      </c>
      <c r="X26" s="303">
        <f t="shared" ca="1" si="13"/>
        <v>0</v>
      </c>
      <c r="Y26" s="303">
        <f t="shared" ca="1" si="14"/>
        <v>0</v>
      </c>
      <c r="Z26" s="303">
        <f t="shared" ca="1" si="15"/>
        <v>0</v>
      </c>
      <c r="AA26" s="303">
        <f t="shared" ca="1" si="16"/>
        <v>0</v>
      </c>
      <c r="AB26" s="303">
        <f t="shared" ca="1" si="17"/>
        <v>0</v>
      </c>
      <c r="AC26" s="303">
        <f t="shared" ca="1" si="18"/>
        <v>0</v>
      </c>
      <c r="AD26" s="303">
        <f t="shared" ca="1" si="19"/>
        <v>0</v>
      </c>
      <c r="AE26" s="303">
        <f t="shared" ca="1" si="20"/>
        <v>0</v>
      </c>
      <c r="AF26" s="303">
        <f t="shared" ca="1" si="21"/>
        <v>0</v>
      </c>
      <c r="AG26" s="303">
        <f t="shared" ca="1" si="22"/>
        <v>0</v>
      </c>
      <c r="AH26" s="303">
        <f t="shared" ca="1" si="23"/>
        <v>0</v>
      </c>
      <c r="AI26" s="303">
        <f t="shared" ca="1" si="24"/>
        <v>0</v>
      </c>
      <c r="AJ26" s="303">
        <f t="shared" ca="1" si="25"/>
        <v>0</v>
      </c>
      <c r="AK26" s="303">
        <f t="shared" ca="1" si="26"/>
        <v>0</v>
      </c>
      <c r="AL26" s="303">
        <f t="shared" ca="1" si="27"/>
        <v>0</v>
      </c>
      <c r="AM26" s="303">
        <f t="shared" ca="1" si="28"/>
        <v>0</v>
      </c>
      <c r="AN26" s="303">
        <f t="shared" ca="1" si="29"/>
        <v>1000</v>
      </c>
      <c r="AO26" s="303">
        <f t="shared" ca="1" si="30"/>
        <v>0</v>
      </c>
      <c r="AP26" s="303">
        <f t="shared" ca="1" si="31"/>
        <v>0</v>
      </c>
      <c r="AQ26" s="303">
        <f t="shared" ca="1" si="32"/>
        <v>0</v>
      </c>
      <c r="AR26" s="303">
        <f t="shared" ca="1" si="33"/>
        <v>0</v>
      </c>
      <c r="AS26" s="303">
        <f t="shared" ca="1" si="34"/>
        <v>0</v>
      </c>
      <c r="AT26" s="303">
        <f t="shared" ca="1" si="35"/>
        <v>0</v>
      </c>
      <c r="AU26" s="303">
        <f t="shared" ca="1" si="36"/>
        <v>0</v>
      </c>
      <c r="AV26" s="303">
        <f t="shared" ca="1" si="37"/>
        <v>0</v>
      </c>
      <c r="AW26" s="303">
        <f t="shared" ca="1" si="38"/>
        <v>0</v>
      </c>
    </row>
    <row r="27" spans="1:49" s="300" customFormat="1" ht="12.75" customHeight="1">
      <c r="A27" s="63">
        <f t="array" aca="1" ref="A27" ca="1">IF(C27&lt;&gt;0,SUM(($C$11:C27&lt;&gt;0)*1),"")</f>
        <v>17</v>
      </c>
      <c r="B27" s="301">
        <f ca="1">IF(ROWS($1:17)&gt;COUNT(Dong6),"",OFFSET(TH!C$1,SMALL(Dong6,ROWS($1:17)),))</f>
        <v>40588</v>
      </c>
      <c r="C27" s="301" t="str">
        <f ca="1">IF(ROWS($1:17)&gt;COUNT(Dong6),"",OFFSET(TH!D$1,SMALL(Dong6,ROWS($1:17)),))</f>
        <v>GBC</v>
      </c>
      <c r="D27" s="301">
        <f ca="1">IF(ROWS($1:17)&gt;COUNT(Dong6),"",OFFSET(TH!E$1,SMALL(Dong6,ROWS($1:17)),))</f>
        <v>40588</v>
      </c>
      <c r="E27" s="351" t="str">
        <f ca="1">IF(ROWS($1:17)&gt;COUNT(Dong6),"",OFFSET(TH!F$1,SMALL(Dong6,ROWS($1:17)),))</f>
        <v>An Lạc LA- Mượn vốn</v>
      </c>
      <c r="F27" s="352">
        <f ca="1">IF(ROWS($1:17)&gt;COUNT(Dong6),"",OFFSET(TH!I$1,SMALL(Dong6,ROWS($1:17)),))</f>
        <v>50000000</v>
      </c>
      <c r="G27" s="353" t="str">
        <f ca="1">IF(ROWS($1:17)&gt;COUNT(Dong6),"",OFFSET(TH!J$1,SMALL(Dong6,ROWS($1:17)),))</f>
        <v>1121</v>
      </c>
      <c r="H27" s="353" t="str">
        <f ca="1">IF(ROWS($1:17)&gt;COUNT(Dong6),"",OFFSET(TH!K$1,SMALL(Dong6,ROWS($1:17)),))</f>
        <v>3388</v>
      </c>
      <c r="I27" s="63">
        <f t="shared" ca="1" si="0"/>
        <v>17</v>
      </c>
      <c r="J27" s="303">
        <f t="shared" ca="1" si="1"/>
        <v>0</v>
      </c>
      <c r="K27" s="303">
        <f t="shared" ca="1" si="2"/>
        <v>0</v>
      </c>
      <c r="L27" s="303">
        <f t="shared" ca="1" si="3"/>
        <v>50000000</v>
      </c>
      <c r="M27" s="303">
        <f t="shared" ca="1" si="4"/>
        <v>0</v>
      </c>
      <c r="N27" s="303">
        <f t="shared" ca="1" si="5"/>
        <v>0</v>
      </c>
      <c r="O27" s="303">
        <f t="shared" ca="1" si="6"/>
        <v>0</v>
      </c>
      <c r="P27" s="303">
        <f t="shared" ca="1" si="7"/>
        <v>0</v>
      </c>
      <c r="Q27" s="303">
        <f t="shared" ca="1" si="8"/>
        <v>0</v>
      </c>
      <c r="R27" s="303">
        <f t="shared" ca="1" si="39"/>
        <v>0</v>
      </c>
      <c r="S27" s="303">
        <f t="shared" ca="1" si="40"/>
        <v>0</v>
      </c>
      <c r="T27" s="303">
        <f t="shared" ca="1" si="9"/>
        <v>0</v>
      </c>
      <c r="U27" s="303">
        <f t="shared" ca="1" si="10"/>
        <v>0</v>
      </c>
      <c r="V27" s="303">
        <f t="shared" ca="1" si="11"/>
        <v>0</v>
      </c>
      <c r="W27" s="303">
        <f t="shared" ca="1" si="12"/>
        <v>0</v>
      </c>
      <c r="X27" s="303">
        <f t="shared" ca="1" si="13"/>
        <v>0</v>
      </c>
      <c r="Y27" s="303">
        <f t="shared" ca="1" si="14"/>
        <v>0</v>
      </c>
      <c r="Z27" s="303">
        <f t="shared" ca="1" si="15"/>
        <v>0</v>
      </c>
      <c r="AA27" s="303">
        <f t="shared" ca="1" si="16"/>
        <v>50000000</v>
      </c>
      <c r="AB27" s="303">
        <f t="shared" ca="1" si="17"/>
        <v>0</v>
      </c>
      <c r="AC27" s="303">
        <f t="shared" ca="1" si="18"/>
        <v>0</v>
      </c>
      <c r="AD27" s="303">
        <f t="shared" ca="1" si="19"/>
        <v>0</v>
      </c>
      <c r="AE27" s="303">
        <f t="shared" ca="1" si="20"/>
        <v>0</v>
      </c>
      <c r="AF27" s="303">
        <f t="shared" ca="1" si="21"/>
        <v>0</v>
      </c>
      <c r="AG27" s="303">
        <f t="shared" ca="1" si="22"/>
        <v>0</v>
      </c>
      <c r="AH27" s="303">
        <f t="shared" ca="1" si="23"/>
        <v>0</v>
      </c>
      <c r="AI27" s="303">
        <f t="shared" ca="1" si="24"/>
        <v>0</v>
      </c>
      <c r="AJ27" s="303">
        <f t="shared" ca="1" si="25"/>
        <v>0</v>
      </c>
      <c r="AK27" s="303">
        <f t="shared" ca="1" si="26"/>
        <v>0</v>
      </c>
      <c r="AL27" s="303">
        <f t="shared" ca="1" si="27"/>
        <v>0</v>
      </c>
      <c r="AM27" s="303">
        <f t="shared" ca="1" si="28"/>
        <v>0</v>
      </c>
      <c r="AN27" s="303">
        <f t="shared" ca="1" si="29"/>
        <v>0</v>
      </c>
      <c r="AO27" s="303">
        <f t="shared" ca="1" si="30"/>
        <v>0</v>
      </c>
      <c r="AP27" s="303">
        <f t="shared" ca="1" si="31"/>
        <v>0</v>
      </c>
      <c r="AQ27" s="303">
        <f t="shared" ca="1" si="32"/>
        <v>0</v>
      </c>
      <c r="AR27" s="303">
        <f t="shared" ca="1" si="33"/>
        <v>0</v>
      </c>
      <c r="AS27" s="303">
        <f t="shared" ca="1" si="34"/>
        <v>0</v>
      </c>
      <c r="AT27" s="303">
        <f t="shared" ca="1" si="35"/>
        <v>0</v>
      </c>
      <c r="AU27" s="303">
        <f t="shared" ca="1" si="36"/>
        <v>0</v>
      </c>
      <c r="AV27" s="303">
        <f t="shared" ca="1" si="37"/>
        <v>0</v>
      </c>
      <c r="AW27" s="303">
        <f t="shared" ca="1" si="38"/>
        <v>0</v>
      </c>
    </row>
    <row r="28" spans="1:49" s="300" customFormat="1" ht="12.75" customHeight="1">
      <c r="A28" s="63">
        <f t="array" aca="1" ref="A28" ca="1">IF(C28&lt;&gt;0,SUM(($C$11:C28&lt;&gt;0)*1),"")</f>
        <v>18</v>
      </c>
      <c r="B28" s="301">
        <f ca="1">IF(ROWS($1:18)&gt;COUNT(Dong6),"",OFFSET(TH!C$1,SMALL(Dong6,ROWS($1:18)),))</f>
        <v>40588</v>
      </c>
      <c r="C28" s="301" t="str">
        <f ca="1">IF(ROWS($1:18)&gt;COUNT(Dong6),"",OFFSET(TH!D$1,SMALL(Dong6,ROWS($1:18)),))</f>
        <v>GBN</v>
      </c>
      <c r="D28" s="301">
        <f ca="1">IF(ROWS($1:18)&gt;COUNT(Dong6),"",OFFSET(TH!E$1,SMALL(Dong6,ROWS($1:18)),))</f>
        <v>40588</v>
      </c>
      <c r="E28" s="351" t="str">
        <f ca="1">IF(ROWS($1:18)&gt;COUNT(Dong6),"",OFFSET(TH!F$1,SMALL(Dong6,ROWS($1:18)),))</f>
        <v>Thanh toán tiền xây dựng - Khánh Trân</v>
      </c>
      <c r="F28" s="352">
        <f ca="1">IF(ROWS($1:18)&gt;COUNT(Dong6),"",OFFSET(TH!I$1,SMALL(Dong6,ROWS($1:18)),))</f>
        <v>50000000</v>
      </c>
      <c r="G28" s="353" t="str">
        <f ca="1">IF(ROWS($1:18)&gt;COUNT(Dong6),"",OFFSET(TH!J$1,SMALL(Dong6,ROWS($1:18)),))</f>
        <v>331</v>
      </c>
      <c r="H28" s="353" t="str">
        <f ca="1">IF(ROWS($1:18)&gt;COUNT(Dong6),"",OFFSET(TH!K$1,SMALL(Dong6,ROWS($1:18)),))</f>
        <v>1121</v>
      </c>
      <c r="I28" s="63">
        <f t="shared" ca="1" si="0"/>
        <v>18</v>
      </c>
      <c r="J28" s="303">
        <f t="shared" ca="1" si="1"/>
        <v>0</v>
      </c>
      <c r="K28" s="303">
        <f t="shared" ca="1" si="2"/>
        <v>0</v>
      </c>
      <c r="L28" s="303">
        <f t="shared" ca="1" si="3"/>
        <v>0</v>
      </c>
      <c r="M28" s="303">
        <f t="shared" ca="1" si="4"/>
        <v>50000000</v>
      </c>
      <c r="N28" s="303">
        <f t="shared" ca="1" si="5"/>
        <v>0</v>
      </c>
      <c r="O28" s="303">
        <f t="shared" ca="1" si="6"/>
        <v>0</v>
      </c>
      <c r="P28" s="303">
        <f t="shared" ca="1" si="7"/>
        <v>0</v>
      </c>
      <c r="Q28" s="303">
        <f t="shared" ca="1" si="8"/>
        <v>0</v>
      </c>
      <c r="R28" s="303">
        <f t="shared" ca="1" si="39"/>
        <v>0</v>
      </c>
      <c r="S28" s="303">
        <f t="shared" ca="1" si="40"/>
        <v>0</v>
      </c>
      <c r="T28" s="303">
        <f t="shared" ca="1" si="9"/>
        <v>50000000</v>
      </c>
      <c r="U28" s="303">
        <f t="shared" ca="1" si="10"/>
        <v>0</v>
      </c>
      <c r="V28" s="303">
        <f t="shared" ca="1" si="11"/>
        <v>0</v>
      </c>
      <c r="W28" s="303">
        <f t="shared" ca="1" si="12"/>
        <v>0</v>
      </c>
      <c r="X28" s="303">
        <f t="shared" ca="1" si="13"/>
        <v>0</v>
      </c>
      <c r="Y28" s="303">
        <f t="shared" ca="1" si="14"/>
        <v>0</v>
      </c>
      <c r="Z28" s="303">
        <f t="shared" ca="1" si="15"/>
        <v>0</v>
      </c>
      <c r="AA28" s="303">
        <f t="shared" ca="1" si="16"/>
        <v>0</v>
      </c>
      <c r="AB28" s="303">
        <f t="shared" ca="1" si="17"/>
        <v>0</v>
      </c>
      <c r="AC28" s="303">
        <f t="shared" ca="1" si="18"/>
        <v>0</v>
      </c>
      <c r="AD28" s="303">
        <f t="shared" ca="1" si="19"/>
        <v>0</v>
      </c>
      <c r="AE28" s="303">
        <f t="shared" ca="1" si="20"/>
        <v>0</v>
      </c>
      <c r="AF28" s="303">
        <f t="shared" ca="1" si="21"/>
        <v>0</v>
      </c>
      <c r="AG28" s="303">
        <f t="shared" ca="1" si="22"/>
        <v>0</v>
      </c>
      <c r="AH28" s="303">
        <f t="shared" ca="1" si="23"/>
        <v>0</v>
      </c>
      <c r="AI28" s="303">
        <f t="shared" ca="1" si="24"/>
        <v>0</v>
      </c>
      <c r="AJ28" s="303">
        <f t="shared" ca="1" si="25"/>
        <v>0</v>
      </c>
      <c r="AK28" s="303">
        <f t="shared" ca="1" si="26"/>
        <v>0</v>
      </c>
      <c r="AL28" s="303">
        <f t="shared" ca="1" si="27"/>
        <v>0</v>
      </c>
      <c r="AM28" s="303">
        <f t="shared" ca="1" si="28"/>
        <v>0</v>
      </c>
      <c r="AN28" s="303">
        <f t="shared" ca="1" si="29"/>
        <v>0</v>
      </c>
      <c r="AO28" s="303">
        <f t="shared" ca="1" si="30"/>
        <v>0</v>
      </c>
      <c r="AP28" s="303">
        <f t="shared" ca="1" si="31"/>
        <v>0</v>
      </c>
      <c r="AQ28" s="303">
        <f t="shared" ca="1" si="32"/>
        <v>0</v>
      </c>
      <c r="AR28" s="303">
        <f t="shared" ca="1" si="33"/>
        <v>0</v>
      </c>
      <c r="AS28" s="303">
        <f t="shared" ca="1" si="34"/>
        <v>0</v>
      </c>
      <c r="AT28" s="303">
        <f t="shared" ca="1" si="35"/>
        <v>0</v>
      </c>
      <c r="AU28" s="303">
        <f t="shared" ca="1" si="36"/>
        <v>0</v>
      </c>
      <c r="AV28" s="303">
        <f t="shared" ca="1" si="37"/>
        <v>0</v>
      </c>
      <c r="AW28" s="303">
        <f t="shared" ca="1" si="38"/>
        <v>0</v>
      </c>
    </row>
    <row r="29" spans="1:49" s="300" customFormat="1" ht="12.75" customHeight="1">
      <c r="A29" s="63">
        <f t="array" aca="1" ref="A29" ca="1">IF(C29&lt;&gt;0,SUM(($C$11:C29&lt;&gt;0)*1),"")</f>
        <v>19</v>
      </c>
      <c r="B29" s="301">
        <f ca="1">IF(ROWS($1:19)&gt;COUNT(Dong6),"",OFFSET(TH!C$1,SMALL(Dong6,ROWS($1:19)),))</f>
        <v>40588</v>
      </c>
      <c r="C29" s="301" t="str">
        <f ca="1">IF(ROWS($1:19)&gt;COUNT(Dong6),"",OFFSET(TH!D$1,SMALL(Dong6,ROWS($1:19)),))</f>
        <v>GBN</v>
      </c>
      <c r="D29" s="301">
        <f ca="1">IF(ROWS($1:19)&gt;COUNT(Dong6),"",OFFSET(TH!E$1,SMALL(Dong6,ROWS($1:19)),))</f>
        <v>40588</v>
      </c>
      <c r="E29" s="351" t="str">
        <f ca="1">IF(ROWS($1:19)&gt;COUNT(Dong6),"",OFFSET(TH!F$1,SMALL(Dong6,ROWS($1:19)),))</f>
        <v xml:space="preserve">Phí chuyển tiền </v>
      </c>
      <c r="F29" s="352">
        <f ca="1">IF(ROWS($1:19)&gt;COUNT(Dong6),"",OFFSET(TH!I$1,SMALL(Dong6,ROWS($1:19)),))</f>
        <v>25000</v>
      </c>
      <c r="G29" s="353" t="str">
        <f ca="1">IF(ROWS($1:19)&gt;COUNT(Dong6),"",OFFSET(TH!J$1,SMALL(Dong6,ROWS($1:19)),))</f>
        <v>642</v>
      </c>
      <c r="H29" s="353" t="str">
        <f ca="1">IF(ROWS($1:19)&gt;COUNT(Dong6),"",OFFSET(TH!K$1,SMALL(Dong6,ROWS($1:19)),))</f>
        <v>1121</v>
      </c>
      <c r="I29" s="63">
        <f t="shared" ca="1" si="0"/>
        <v>19</v>
      </c>
      <c r="J29" s="303">
        <f t="shared" ca="1" si="1"/>
        <v>0</v>
      </c>
      <c r="K29" s="303">
        <f t="shared" ca="1" si="2"/>
        <v>0</v>
      </c>
      <c r="L29" s="303">
        <f t="shared" ca="1" si="3"/>
        <v>0</v>
      </c>
      <c r="M29" s="303">
        <f t="shared" ca="1" si="4"/>
        <v>25000</v>
      </c>
      <c r="N29" s="303">
        <f t="shared" ca="1" si="5"/>
        <v>0</v>
      </c>
      <c r="O29" s="303">
        <f t="shared" ca="1" si="6"/>
        <v>0</v>
      </c>
      <c r="P29" s="303">
        <f t="shared" ca="1" si="7"/>
        <v>0</v>
      </c>
      <c r="Q29" s="303">
        <f t="shared" ca="1" si="8"/>
        <v>0</v>
      </c>
      <c r="R29" s="303">
        <f t="shared" ca="1" si="39"/>
        <v>0</v>
      </c>
      <c r="S29" s="303">
        <f t="shared" ca="1" si="40"/>
        <v>0</v>
      </c>
      <c r="T29" s="303">
        <f t="shared" ca="1" si="9"/>
        <v>0</v>
      </c>
      <c r="U29" s="303">
        <f t="shared" ca="1" si="10"/>
        <v>0</v>
      </c>
      <c r="V29" s="303">
        <f t="shared" ca="1" si="11"/>
        <v>0</v>
      </c>
      <c r="W29" s="303">
        <f t="shared" ca="1" si="12"/>
        <v>0</v>
      </c>
      <c r="X29" s="303">
        <f t="shared" ca="1" si="13"/>
        <v>0</v>
      </c>
      <c r="Y29" s="303">
        <f t="shared" ca="1" si="14"/>
        <v>0</v>
      </c>
      <c r="Z29" s="303">
        <f t="shared" ca="1" si="15"/>
        <v>0</v>
      </c>
      <c r="AA29" s="303">
        <f t="shared" ca="1" si="16"/>
        <v>0</v>
      </c>
      <c r="AB29" s="303">
        <f t="shared" ca="1" si="17"/>
        <v>0</v>
      </c>
      <c r="AC29" s="303">
        <f t="shared" ca="1" si="18"/>
        <v>0</v>
      </c>
      <c r="AD29" s="303">
        <f t="shared" ca="1" si="19"/>
        <v>0</v>
      </c>
      <c r="AE29" s="303">
        <f t="shared" ca="1" si="20"/>
        <v>0</v>
      </c>
      <c r="AF29" s="303">
        <f t="shared" ca="1" si="21"/>
        <v>0</v>
      </c>
      <c r="AG29" s="303">
        <f t="shared" ca="1" si="22"/>
        <v>0</v>
      </c>
      <c r="AH29" s="303">
        <f t="shared" ca="1" si="23"/>
        <v>0</v>
      </c>
      <c r="AI29" s="303">
        <f t="shared" ca="1" si="24"/>
        <v>0</v>
      </c>
      <c r="AJ29" s="303">
        <f t="shared" ca="1" si="25"/>
        <v>0</v>
      </c>
      <c r="AK29" s="303">
        <f t="shared" ca="1" si="26"/>
        <v>0</v>
      </c>
      <c r="AL29" s="303">
        <f t="shared" ca="1" si="27"/>
        <v>0</v>
      </c>
      <c r="AM29" s="303">
        <f t="shared" ca="1" si="28"/>
        <v>0</v>
      </c>
      <c r="AN29" s="303">
        <f t="shared" ca="1" si="29"/>
        <v>25000</v>
      </c>
      <c r="AO29" s="303">
        <f t="shared" ca="1" si="30"/>
        <v>0</v>
      </c>
      <c r="AP29" s="303">
        <f t="shared" ca="1" si="31"/>
        <v>0</v>
      </c>
      <c r="AQ29" s="303">
        <f t="shared" ca="1" si="32"/>
        <v>0</v>
      </c>
      <c r="AR29" s="303">
        <f t="shared" ca="1" si="33"/>
        <v>0</v>
      </c>
      <c r="AS29" s="303">
        <f t="shared" ca="1" si="34"/>
        <v>0</v>
      </c>
      <c r="AT29" s="303">
        <f t="shared" ca="1" si="35"/>
        <v>0</v>
      </c>
      <c r="AU29" s="303">
        <f t="shared" ca="1" si="36"/>
        <v>0</v>
      </c>
      <c r="AV29" s="303">
        <f t="shared" ca="1" si="37"/>
        <v>0</v>
      </c>
      <c r="AW29" s="303">
        <f t="shared" ca="1" si="38"/>
        <v>0</v>
      </c>
    </row>
    <row r="30" spans="1:49" s="300" customFormat="1" ht="12.75" customHeight="1">
      <c r="A30" s="63">
        <f t="array" aca="1" ref="A30" ca="1">IF(C30&lt;&gt;0,SUM(($C$11:C30&lt;&gt;0)*1),"")</f>
        <v>20</v>
      </c>
      <c r="B30" s="301">
        <f ca="1">IF(ROWS($1:20)&gt;COUNT(Dong6),"",OFFSET(TH!C$1,SMALL(Dong6,ROWS($1:20)),))</f>
        <v>40588</v>
      </c>
      <c r="C30" s="301" t="str">
        <f ca="1">IF(ROWS($1:20)&gt;COUNT(Dong6),"",OFFSET(TH!D$1,SMALL(Dong6,ROWS($1:20)),))</f>
        <v>GBN</v>
      </c>
      <c r="D30" s="301">
        <f ca="1">IF(ROWS($1:20)&gt;COUNT(Dong6),"",OFFSET(TH!E$1,SMALL(Dong6,ROWS($1:20)),))</f>
        <v>40588</v>
      </c>
      <c r="E30" s="351" t="str">
        <f ca="1">IF(ROWS($1:20)&gt;COUNT(Dong6),"",OFFSET(TH!F$1,SMALL(Dong6,ROWS($1:20)),))</f>
        <v xml:space="preserve">GTGT Phí chuyển tiền </v>
      </c>
      <c r="F30" s="352">
        <f ca="1">IF(ROWS($1:20)&gt;COUNT(Dong6),"",OFFSET(TH!I$1,SMALL(Dong6,ROWS($1:20)),))</f>
        <v>2500</v>
      </c>
      <c r="G30" s="353" t="str">
        <f ca="1">IF(ROWS($1:20)&gt;COUNT(Dong6),"",OFFSET(TH!J$1,SMALL(Dong6,ROWS($1:20)),))</f>
        <v>642</v>
      </c>
      <c r="H30" s="353" t="str">
        <f ca="1">IF(ROWS($1:20)&gt;COUNT(Dong6),"",OFFSET(TH!K$1,SMALL(Dong6,ROWS($1:20)),))</f>
        <v>1121</v>
      </c>
      <c r="I30" s="63">
        <f t="shared" ca="1" si="0"/>
        <v>20</v>
      </c>
      <c r="J30" s="303">
        <f t="shared" ca="1" si="1"/>
        <v>0</v>
      </c>
      <c r="K30" s="303">
        <f t="shared" ca="1" si="2"/>
        <v>0</v>
      </c>
      <c r="L30" s="303">
        <f t="shared" ca="1" si="3"/>
        <v>0</v>
      </c>
      <c r="M30" s="303">
        <f t="shared" ca="1" si="4"/>
        <v>2500</v>
      </c>
      <c r="N30" s="303">
        <f t="shared" ca="1" si="5"/>
        <v>0</v>
      </c>
      <c r="O30" s="303">
        <f t="shared" ca="1" si="6"/>
        <v>0</v>
      </c>
      <c r="P30" s="303">
        <f t="shared" ca="1" si="7"/>
        <v>0</v>
      </c>
      <c r="Q30" s="303">
        <f t="shared" ca="1" si="8"/>
        <v>0</v>
      </c>
      <c r="R30" s="303">
        <f t="shared" ca="1" si="39"/>
        <v>0</v>
      </c>
      <c r="S30" s="303">
        <f t="shared" ca="1" si="40"/>
        <v>0</v>
      </c>
      <c r="T30" s="303">
        <f t="shared" ca="1" si="9"/>
        <v>0</v>
      </c>
      <c r="U30" s="303">
        <f t="shared" ca="1" si="10"/>
        <v>0</v>
      </c>
      <c r="V30" s="303">
        <f t="shared" ca="1" si="11"/>
        <v>0</v>
      </c>
      <c r="W30" s="303">
        <f t="shared" ca="1" si="12"/>
        <v>0</v>
      </c>
      <c r="X30" s="303">
        <f t="shared" ca="1" si="13"/>
        <v>0</v>
      </c>
      <c r="Y30" s="303">
        <f t="shared" ca="1" si="14"/>
        <v>0</v>
      </c>
      <c r="Z30" s="303">
        <f t="shared" ca="1" si="15"/>
        <v>0</v>
      </c>
      <c r="AA30" s="303">
        <f t="shared" ca="1" si="16"/>
        <v>0</v>
      </c>
      <c r="AB30" s="303">
        <f t="shared" ca="1" si="17"/>
        <v>0</v>
      </c>
      <c r="AC30" s="303">
        <f t="shared" ca="1" si="18"/>
        <v>0</v>
      </c>
      <c r="AD30" s="303">
        <f t="shared" ca="1" si="19"/>
        <v>0</v>
      </c>
      <c r="AE30" s="303">
        <f t="shared" ca="1" si="20"/>
        <v>0</v>
      </c>
      <c r="AF30" s="303">
        <f t="shared" ca="1" si="21"/>
        <v>0</v>
      </c>
      <c r="AG30" s="303">
        <f t="shared" ca="1" si="22"/>
        <v>0</v>
      </c>
      <c r="AH30" s="303">
        <f t="shared" ca="1" si="23"/>
        <v>0</v>
      </c>
      <c r="AI30" s="303">
        <f t="shared" ca="1" si="24"/>
        <v>0</v>
      </c>
      <c r="AJ30" s="303">
        <f t="shared" ca="1" si="25"/>
        <v>0</v>
      </c>
      <c r="AK30" s="303">
        <f t="shared" ca="1" si="26"/>
        <v>0</v>
      </c>
      <c r="AL30" s="303">
        <f t="shared" ca="1" si="27"/>
        <v>0</v>
      </c>
      <c r="AM30" s="303">
        <f t="shared" ca="1" si="28"/>
        <v>0</v>
      </c>
      <c r="AN30" s="303">
        <f t="shared" ca="1" si="29"/>
        <v>2500</v>
      </c>
      <c r="AO30" s="303">
        <f t="shared" ca="1" si="30"/>
        <v>0</v>
      </c>
      <c r="AP30" s="303">
        <f t="shared" ca="1" si="31"/>
        <v>0</v>
      </c>
      <c r="AQ30" s="303">
        <f t="shared" ca="1" si="32"/>
        <v>0</v>
      </c>
      <c r="AR30" s="303">
        <f t="shared" ca="1" si="33"/>
        <v>0</v>
      </c>
      <c r="AS30" s="303">
        <f t="shared" ca="1" si="34"/>
        <v>0</v>
      </c>
      <c r="AT30" s="303">
        <f t="shared" ca="1" si="35"/>
        <v>0</v>
      </c>
      <c r="AU30" s="303">
        <f t="shared" ca="1" si="36"/>
        <v>0</v>
      </c>
      <c r="AV30" s="303">
        <f t="shared" ca="1" si="37"/>
        <v>0</v>
      </c>
      <c r="AW30" s="303">
        <f t="shared" ca="1" si="38"/>
        <v>0</v>
      </c>
    </row>
    <row r="31" spans="1:49" s="300" customFormat="1" ht="12.75" customHeight="1">
      <c r="A31" s="63">
        <f t="array" aca="1" ref="A31" ca="1">IF(C31&lt;&gt;0,SUM(($C$11:C31&lt;&gt;0)*1),"")</f>
        <v>21</v>
      </c>
      <c r="B31" s="301">
        <f ca="1">IF(ROWS($1:21)&gt;COUNT(Dong6),"",OFFSET(TH!C$1,SMALL(Dong6,ROWS($1:21)),))</f>
        <v>40588</v>
      </c>
      <c r="C31" s="301" t="str">
        <f ca="1">IF(ROWS($1:21)&gt;COUNT(Dong6),"",OFFSET(TH!D$1,SMALL(Dong6,ROWS($1:21)),))</f>
        <v>C03</v>
      </c>
      <c r="D31" s="301">
        <f ca="1">IF(ROWS($1:21)&gt;COUNT(Dong6),"",OFFSET(TH!E$1,SMALL(Dong6,ROWS($1:21)),))</f>
        <v>40588</v>
      </c>
      <c r="E31" s="351" t="str">
        <f ca="1">IF(ROWS($1:21)&gt;COUNT(Dong6),"",OFFSET(TH!F$1,SMALL(Dong6,ROWS($1:21)),))</f>
        <v>Trả tiền mượn vốn - An Lạc LA</v>
      </c>
      <c r="F31" s="352">
        <f ca="1">IF(ROWS($1:21)&gt;COUNT(Dong6),"",OFFSET(TH!I$1,SMALL(Dong6,ROWS($1:21)),))</f>
        <v>50000000</v>
      </c>
      <c r="G31" s="353" t="str">
        <f ca="1">IF(ROWS($1:21)&gt;COUNT(Dong6),"",OFFSET(TH!J$1,SMALL(Dong6,ROWS($1:21)),))</f>
        <v>3388</v>
      </c>
      <c r="H31" s="353" t="str">
        <f ca="1">IF(ROWS($1:21)&gt;COUNT(Dong6),"",OFFSET(TH!K$1,SMALL(Dong6,ROWS($1:21)),))</f>
        <v>1111</v>
      </c>
      <c r="I31" s="63">
        <f t="shared" ca="1" si="0"/>
        <v>21</v>
      </c>
      <c r="J31" s="303">
        <f t="shared" ca="1" si="1"/>
        <v>0</v>
      </c>
      <c r="K31" s="303">
        <f t="shared" ca="1" si="2"/>
        <v>50000000</v>
      </c>
      <c r="L31" s="303">
        <f t="shared" ca="1" si="3"/>
        <v>0</v>
      </c>
      <c r="M31" s="303">
        <f t="shared" ca="1" si="4"/>
        <v>0</v>
      </c>
      <c r="N31" s="303">
        <f t="shared" ca="1" si="5"/>
        <v>0</v>
      </c>
      <c r="O31" s="303">
        <f t="shared" ca="1" si="6"/>
        <v>0</v>
      </c>
      <c r="P31" s="303">
        <f t="shared" ca="1" si="7"/>
        <v>0</v>
      </c>
      <c r="Q31" s="303">
        <f t="shared" ca="1" si="8"/>
        <v>0</v>
      </c>
      <c r="R31" s="303">
        <f t="shared" ca="1" si="39"/>
        <v>0</v>
      </c>
      <c r="S31" s="303">
        <f t="shared" ca="1" si="40"/>
        <v>0</v>
      </c>
      <c r="T31" s="303">
        <f t="shared" ca="1" si="9"/>
        <v>0</v>
      </c>
      <c r="U31" s="303">
        <f t="shared" ca="1" si="10"/>
        <v>0</v>
      </c>
      <c r="V31" s="303">
        <f t="shared" ca="1" si="11"/>
        <v>0</v>
      </c>
      <c r="W31" s="303">
        <f t="shared" ca="1" si="12"/>
        <v>0</v>
      </c>
      <c r="X31" s="303">
        <f t="shared" ca="1" si="13"/>
        <v>0</v>
      </c>
      <c r="Y31" s="303">
        <f t="shared" ca="1" si="14"/>
        <v>0</v>
      </c>
      <c r="Z31" s="303">
        <f t="shared" ca="1" si="15"/>
        <v>50000000</v>
      </c>
      <c r="AA31" s="303">
        <f t="shared" ca="1" si="16"/>
        <v>0</v>
      </c>
      <c r="AB31" s="303">
        <f t="shared" ca="1" si="17"/>
        <v>0</v>
      </c>
      <c r="AC31" s="303">
        <f t="shared" ca="1" si="18"/>
        <v>0</v>
      </c>
      <c r="AD31" s="303">
        <f t="shared" ca="1" si="19"/>
        <v>0</v>
      </c>
      <c r="AE31" s="303">
        <f t="shared" ca="1" si="20"/>
        <v>0</v>
      </c>
      <c r="AF31" s="303">
        <f t="shared" ca="1" si="21"/>
        <v>0</v>
      </c>
      <c r="AG31" s="303">
        <f t="shared" ca="1" si="22"/>
        <v>0</v>
      </c>
      <c r="AH31" s="303">
        <f t="shared" ca="1" si="23"/>
        <v>0</v>
      </c>
      <c r="AI31" s="303">
        <f t="shared" ca="1" si="24"/>
        <v>0</v>
      </c>
      <c r="AJ31" s="303">
        <f t="shared" ca="1" si="25"/>
        <v>0</v>
      </c>
      <c r="AK31" s="303">
        <f t="shared" ca="1" si="26"/>
        <v>0</v>
      </c>
      <c r="AL31" s="303">
        <f t="shared" ca="1" si="27"/>
        <v>0</v>
      </c>
      <c r="AM31" s="303">
        <f t="shared" ca="1" si="28"/>
        <v>0</v>
      </c>
      <c r="AN31" s="303">
        <f t="shared" ca="1" si="29"/>
        <v>0</v>
      </c>
      <c r="AO31" s="303">
        <f t="shared" ca="1" si="30"/>
        <v>0</v>
      </c>
      <c r="AP31" s="303">
        <f t="shared" ca="1" si="31"/>
        <v>0</v>
      </c>
      <c r="AQ31" s="303">
        <f t="shared" ca="1" si="32"/>
        <v>0</v>
      </c>
      <c r="AR31" s="303">
        <f t="shared" ca="1" si="33"/>
        <v>0</v>
      </c>
      <c r="AS31" s="303">
        <f t="shared" ca="1" si="34"/>
        <v>0</v>
      </c>
      <c r="AT31" s="303">
        <f t="shared" ca="1" si="35"/>
        <v>0</v>
      </c>
      <c r="AU31" s="303">
        <f t="shared" ca="1" si="36"/>
        <v>0</v>
      </c>
      <c r="AV31" s="303">
        <f t="shared" ca="1" si="37"/>
        <v>0</v>
      </c>
      <c r="AW31" s="303">
        <f t="shared" ca="1" si="38"/>
        <v>0</v>
      </c>
    </row>
    <row r="32" spans="1:49" s="300" customFormat="1" ht="12.75" customHeight="1">
      <c r="A32" s="63">
        <f t="array" aca="1" ref="A32" ca="1">IF(C32&lt;&gt;0,SUM(($C$11:C32&lt;&gt;0)*1),"")</f>
        <v>22</v>
      </c>
      <c r="B32" s="301">
        <f ca="1">IF(ROWS($1:22)&gt;COUNT(Dong6),"",OFFSET(TH!C$1,SMALL(Dong6,ROWS($1:22)),))</f>
        <v>40590</v>
      </c>
      <c r="C32" s="301" t="str">
        <f ca="1">IF(ROWS($1:22)&gt;COUNT(Dong6),"",OFFSET(TH!D$1,SMALL(Dong6,ROWS($1:22)),))</f>
        <v>GBN</v>
      </c>
      <c r="D32" s="301">
        <f ca="1">IF(ROWS($1:22)&gt;COUNT(Dong6),"",OFFSET(TH!E$1,SMALL(Dong6,ROWS($1:22)),))</f>
        <v>40590</v>
      </c>
      <c r="E32" s="351" t="str">
        <f ca="1">IF(ROWS($1:22)&gt;COUNT(Dong6),"",OFFSET(TH!F$1,SMALL(Dong6,ROWS($1:22)),))</f>
        <v>Phí NH</v>
      </c>
      <c r="F32" s="352">
        <f ca="1">IF(ROWS($1:22)&gt;COUNT(Dong6),"",OFFSET(TH!I$1,SMALL(Dong6,ROWS($1:22)),))</f>
        <v>5500</v>
      </c>
      <c r="G32" s="353" t="str">
        <f ca="1">IF(ROWS($1:22)&gt;COUNT(Dong6),"",OFFSET(TH!J$1,SMALL(Dong6,ROWS($1:22)),))</f>
        <v>642</v>
      </c>
      <c r="H32" s="353" t="str">
        <f ca="1">IF(ROWS($1:22)&gt;COUNT(Dong6),"",OFFSET(TH!K$1,SMALL(Dong6,ROWS($1:22)),))</f>
        <v>1121</v>
      </c>
      <c r="I32" s="63">
        <f t="shared" ca="1" si="0"/>
        <v>22</v>
      </c>
      <c r="J32" s="303">
        <f t="shared" ca="1" si="1"/>
        <v>0</v>
      </c>
      <c r="K32" s="303">
        <f t="shared" ca="1" si="2"/>
        <v>0</v>
      </c>
      <c r="L32" s="303">
        <f t="shared" ca="1" si="3"/>
        <v>0</v>
      </c>
      <c r="M32" s="303">
        <f t="shared" ca="1" si="4"/>
        <v>5500</v>
      </c>
      <c r="N32" s="303">
        <f t="shared" ca="1" si="5"/>
        <v>0</v>
      </c>
      <c r="O32" s="303">
        <f t="shared" ca="1" si="6"/>
        <v>0</v>
      </c>
      <c r="P32" s="303">
        <f t="shared" ca="1" si="7"/>
        <v>0</v>
      </c>
      <c r="Q32" s="303">
        <f t="shared" ca="1" si="8"/>
        <v>0</v>
      </c>
      <c r="R32" s="303">
        <f t="shared" ca="1" si="39"/>
        <v>0</v>
      </c>
      <c r="S32" s="303">
        <f t="shared" ca="1" si="40"/>
        <v>0</v>
      </c>
      <c r="T32" s="303">
        <f t="shared" ca="1" si="9"/>
        <v>0</v>
      </c>
      <c r="U32" s="303">
        <f t="shared" ca="1" si="10"/>
        <v>0</v>
      </c>
      <c r="V32" s="303">
        <f t="shared" ca="1" si="11"/>
        <v>0</v>
      </c>
      <c r="W32" s="303">
        <f t="shared" ca="1" si="12"/>
        <v>0</v>
      </c>
      <c r="X32" s="303">
        <f t="shared" ca="1" si="13"/>
        <v>0</v>
      </c>
      <c r="Y32" s="303">
        <f t="shared" ca="1" si="14"/>
        <v>0</v>
      </c>
      <c r="Z32" s="303">
        <f t="shared" ca="1" si="15"/>
        <v>0</v>
      </c>
      <c r="AA32" s="303">
        <f t="shared" ca="1" si="16"/>
        <v>0</v>
      </c>
      <c r="AB32" s="303">
        <f t="shared" ca="1" si="17"/>
        <v>0</v>
      </c>
      <c r="AC32" s="303">
        <f t="shared" ca="1" si="18"/>
        <v>0</v>
      </c>
      <c r="AD32" s="303">
        <f t="shared" ca="1" si="19"/>
        <v>0</v>
      </c>
      <c r="AE32" s="303">
        <f t="shared" ca="1" si="20"/>
        <v>0</v>
      </c>
      <c r="AF32" s="303">
        <f t="shared" ca="1" si="21"/>
        <v>0</v>
      </c>
      <c r="AG32" s="303">
        <f t="shared" ca="1" si="22"/>
        <v>0</v>
      </c>
      <c r="AH32" s="303">
        <f t="shared" ca="1" si="23"/>
        <v>0</v>
      </c>
      <c r="AI32" s="303">
        <f t="shared" ca="1" si="24"/>
        <v>0</v>
      </c>
      <c r="AJ32" s="303">
        <f t="shared" ca="1" si="25"/>
        <v>0</v>
      </c>
      <c r="AK32" s="303">
        <f t="shared" ca="1" si="26"/>
        <v>0</v>
      </c>
      <c r="AL32" s="303">
        <f t="shared" ca="1" si="27"/>
        <v>0</v>
      </c>
      <c r="AM32" s="303">
        <f t="shared" ca="1" si="28"/>
        <v>0</v>
      </c>
      <c r="AN32" s="303">
        <f t="shared" ca="1" si="29"/>
        <v>5500</v>
      </c>
      <c r="AO32" s="303">
        <f t="shared" ca="1" si="30"/>
        <v>0</v>
      </c>
      <c r="AP32" s="303">
        <f t="shared" ca="1" si="31"/>
        <v>0</v>
      </c>
      <c r="AQ32" s="303">
        <f t="shared" ca="1" si="32"/>
        <v>0</v>
      </c>
      <c r="AR32" s="303">
        <f t="shared" ca="1" si="33"/>
        <v>0</v>
      </c>
      <c r="AS32" s="303">
        <f t="shared" ca="1" si="34"/>
        <v>0</v>
      </c>
      <c r="AT32" s="303">
        <f t="shared" ca="1" si="35"/>
        <v>0</v>
      </c>
      <c r="AU32" s="303">
        <f t="shared" ca="1" si="36"/>
        <v>0</v>
      </c>
      <c r="AV32" s="303">
        <f t="shared" ca="1" si="37"/>
        <v>0</v>
      </c>
      <c r="AW32" s="303">
        <f t="shared" ca="1" si="38"/>
        <v>0</v>
      </c>
    </row>
    <row r="33" spans="1:49" s="300" customFormat="1" ht="12.75" customHeight="1">
      <c r="A33" s="63">
        <f t="array" aca="1" ref="A33" ca="1">IF(C33&lt;&gt;0,SUM(($C$11:C33&lt;&gt;0)*1),"")</f>
        <v>23</v>
      </c>
      <c r="B33" s="301">
        <f ca="1">IF(ROWS($1:23)&gt;COUNT(Dong6),"",OFFSET(TH!C$1,SMALL(Dong6,ROWS($1:23)),))</f>
        <v>40591</v>
      </c>
      <c r="C33" s="301" t="str">
        <f ca="1">IF(ROWS($1:23)&gt;COUNT(Dong6),"",OFFSET(TH!D$1,SMALL(Dong6,ROWS($1:23)),))</f>
        <v>GBN</v>
      </c>
      <c r="D33" s="301">
        <f ca="1">IF(ROWS($1:23)&gt;COUNT(Dong6),"",OFFSET(TH!E$1,SMALL(Dong6,ROWS($1:23)),))</f>
        <v>40591</v>
      </c>
      <c r="E33" s="351" t="str">
        <f ca="1">IF(ROWS($1:23)&gt;COUNT(Dong6),"",OFFSET(TH!F$1,SMALL(Dong6,ROWS($1:23)),))</f>
        <v>Phí NH</v>
      </c>
      <c r="F33" s="352">
        <f ca="1">IF(ROWS($1:23)&gt;COUNT(Dong6),"",OFFSET(TH!I$1,SMALL(Dong6,ROWS($1:23)),))</f>
        <v>5500</v>
      </c>
      <c r="G33" s="353" t="str">
        <f ca="1">IF(ROWS($1:23)&gt;COUNT(Dong6),"",OFFSET(TH!J$1,SMALL(Dong6,ROWS($1:23)),))</f>
        <v>642</v>
      </c>
      <c r="H33" s="353" t="str">
        <f ca="1">IF(ROWS($1:23)&gt;COUNT(Dong6),"",OFFSET(TH!K$1,SMALL(Dong6,ROWS($1:23)),))</f>
        <v>1121</v>
      </c>
      <c r="I33" s="63">
        <f t="shared" ca="1" si="0"/>
        <v>23</v>
      </c>
      <c r="J33" s="303">
        <f t="shared" ca="1" si="1"/>
        <v>0</v>
      </c>
      <c r="K33" s="303">
        <f t="shared" ca="1" si="2"/>
        <v>0</v>
      </c>
      <c r="L33" s="303">
        <f t="shared" ca="1" si="3"/>
        <v>0</v>
      </c>
      <c r="M33" s="303">
        <f t="shared" ca="1" si="4"/>
        <v>5500</v>
      </c>
      <c r="N33" s="303">
        <f t="shared" ca="1" si="5"/>
        <v>0</v>
      </c>
      <c r="O33" s="303">
        <f t="shared" ca="1" si="6"/>
        <v>0</v>
      </c>
      <c r="P33" s="303">
        <f t="shared" ca="1" si="7"/>
        <v>0</v>
      </c>
      <c r="Q33" s="303">
        <f t="shared" ca="1" si="8"/>
        <v>0</v>
      </c>
      <c r="R33" s="303">
        <f t="shared" ca="1" si="39"/>
        <v>0</v>
      </c>
      <c r="S33" s="303">
        <f t="shared" ca="1" si="40"/>
        <v>0</v>
      </c>
      <c r="T33" s="303">
        <f t="shared" ca="1" si="9"/>
        <v>0</v>
      </c>
      <c r="U33" s="303">
        <f t="shared" ca="1" si="10"/>
        <v>0</v>
      </c>
      <c r="V33" s="303">
        <f t="shared" ca="1" si="11"/>
        <v>0</v>
      </c>
      <c r="W33" s="303">
        <f t="shared" ca="1" si="12"/>
        <v>0</v>
      </c>
      <c r="X33" s="303">
        <f t="shared" ca="1" si="13"/>
        <v>0</v>
      </c>
      <c r="Y33" s="303">
        <f t="shared" ca="1" si="14"/>
        <v>0</v>
      </c>
      <c r="Z33" s="303">
        <f t="shared" ca="1" si="15"/>
        <v>0</v>
      </c>
      <c r="AA33" s="303">
        <f t="shared" ca="1" si="16"/>
        <v>0</v>
      </c>
      <c r="AB33" s="303">
        <f t="shared" ca="1" si="17"/>
        <v>0</v>
      </c>
      <c r="AC33" s="303">
        <f t="shared" ca="1" si="18"/>
        <v>0</v>
      </c>
      <c r="AD33" s="303">
        <f t="shared" ca="1" si="19"/>
        <v>0</v>
      </c>
      <c r="AE33" s="303">
        <f t="shared" ca="1" si="20"/>
        <v>0</v>
      </c>
      <c r="AF33" s="303">
        <f t="shared" ca="1" si="21"/>
        <v>0</v>
      </c>
      <c r="AG33" s="303">
        <f t="shared" ca="1" si="22"/>
        <v>0</v>
      </c>
      <c r="AH33" s="303">
        <f t="shared" ca="1" si="23"/>
        <v>0</v>
      </c>
      <c r="AI33" s="303">
        <f t="shared" ca="1" si="24"/>
        <v>0</v>
      </c>
      <c r="AJ33" s="303">
        <f t="shared" ca="1" si="25"/>
        <v>0</v>
      </c>
      <c r="AK33" s="303">
        <f t="shared" ca="1" si="26"/>
        <v>0</v>
      </c>
      <c r="AL33" s="303">
        <f t="shared" ca="1" si="27"/>
        <v>0</v>
      </c>
      <c r="AM33" s="303">
        <f t="shared" ca="1" si="28"/>
        <v>0</v>
      </c>
      <c r="AN33" s="303">
        <f t="shared" ca="1" si="29"/>
        <v>5500</v>
      </c>
      <c r="AO33" s="303">
        <f t="shared" ca="1" si="30"/>
        <v>0</v>
      </c>
      <c r="AP33" s="303">
        <f t="shared" ca="1" si="31"/>
        <v>0</v>
      </c>
      <c r="AQ33" s="303">
        <f t="shared" ca="1" si="32"/>
        <v>0</v>
      </c>
      <c r="AR33" s="303">
        <f t="shared" ca="1" si="33"/>
        <v>0</v>
      </c>
      <c r="AS33" s="303">
        <f t="shared" ca="1" si="34"/>
        <v>0</v>
      </c>
      <c r="AT33" s="303">
        <f t="shared" ca="1" si="35"/>
        <v>0</v>
      </c>
      <c r="AU33" s="303">
        <f t="shared" ca="1" si="36"/>
        <v>0</v>
      </c>
      <c r="AV33" s="303">
        <f t="shared" ca="1" si="37"/>
        <v>0</v>
      </c>
      <c r="AW33" s="303">
        <f t="shared" ca="1" si="38"/>
        <v>0</v>
      </c>
    </row>
    <row r="34" spans="1:49" s="300" customFormat="1" ht="12.75" customHeight="1">
      <c r="A34" s="63">
        <f t="array" aca="1" ref="A34" ca="1">IF(C34&lt;&gt;0,SUM(($C$11:C34&lt;&gt;0)*1),"")</f>
        <v>24</v>
      </c>
      <c r="B34" s="301">
        <f ca="1">IF(ROWS($1:24)&gt;COUNT(Dong6),"",OFFSET(TH!C$1,SMALL(Dong6,ROWS($1:24)),))</f>
        <v>40605</v>
      </c>
      <c r="C34" s="301" t="str">
        <f ca="1">IF(ROWS($1:24)&gt;COUNT(Dong6),"",OFFSET(TH!D$1,SMALL(Dong6,ROWS($1:24)),))</f>
        <v>C04</v>
      </c>
      <c r="D34" s="301">
        <f ca="1">IF(ROWS($1:24)&gt;COUNT(Dong6),"",OFFSET(TH!E$1,SMALL(Dong6,ROWS($1:24)),))</f>
        <v>40605</v>
      </c>
      <c r="E34" s="351" t="str">
        <f ca="1">IF(ROWS($1:24)&gt;COUNT(Dong6),"",OFFSET(TH!F$1,SMALL(Dong6,ROWS($1:24)),))</f>
        <v>Trả tiền mượn vốn - An Lạc</v>
      </c>
      <c r="F34" s="352">
        <f ca="1">IF(ROWS($1:24)&gt;COUNT(Dong6),"",OFFSET(TH!I$1,SMALL(Dong6,ROWS($1:24)),))</f>
        <v>100000000</v>
      </c>
      <c r="G34" s="353" t="str">
        <f ca="1">IF(ROWS($1:24)&gt;COUNT(Dong6),"",OFFSET(TH!J$1,SMALL(Dong6,ROWS($1:24)),))</f>
        <v>3388</v>
      </c>
      <c r="H34" s="353" t="str">
        <f ca="1">IF(ROWS($1:24)&gt;COUNT(Dong6),"",OFFSET(TH!K$1,SMALL(Dong6,ROWS($1:24)),))</f>
        <v>1111</v>
      </c>
      <c r="I34" s="63">
        <f t="shared" ca="1" si="0"/>
        <v>24</v>
      </c>
      <c r="J34" s="303">
        <f t="shared" ca="1" si="1"/>
        <v>0</v>
      </c>
      <c r="K34" s="303">
        <f t="shared" ca="1" si="2"/>
        <v>100000000</v>
      </c>
      <c r="L34" s="303">
        <f t="shared" ca="1" si="3"/>
        <v>0</v>
      </c>
      <c r="M34" s="303">
        <f t="shared" ca="1" si="4"/>
        <v>0</v>
      </c>
      <c r="N34" s="303">
        <f t="shared" ca="1" si="5"/>
        <v>0</v>
      </c>
      <c r="O34" s="303">
        <f t="shared" ca="1" si="6"/>
        <v>0</v>
      </c>
      <c r="P34" s="303">
        <f t="shared" ca="1" si="7"/>
        <v>0</v>
      </c>
      <c r="Q34" s="303">
        <f t="shared" ca="1" si="8"/>
        <v>0</v>
      </c>
      <c r="R34" s="303">
        <f t="shared" ca="1" si="39"/>
        <v>0</v>
      </c>
      <c r="S34" s="303">
        <f t="shared" ca="1" si="40"/>
        <v>0</v>
      </c>
      <c r="T34" s="303">
        <f t="shared" ca="1" si="9"/>
        <v>0</v>
      </c>
      <c r="U34" s="303">
        <f t="shared" ca="1" si="10"/>
        <v>0</v>
      </c>
      <c r="V34" s="303">
        <f t="shared" ca="1" si="11"/>
        <v>0</v>
      </c>
      <c r="W34" s="303">
        <f t="shared" ca="1" si="12"/>
        <v>0</v>
      </c>
      <c r="X34" s="303">
        <f t="shared" ca="1" si="13"/>
        <v>0</v>
      </c>
      <c r="Y34" s="303">
        <f t="shared" ca="1" si="14"/>
        <v>0</v>
      </c>
      <c r="Z34" s="303">
        <f t="shared" ca="1" si="15"/>
        <v>100000000</v>
      </c>
      <c r="AA34" s="303">
        <f t="shared" ca="1" si="16"/>
        <v>0</v>
      </c>
      <c r="AB34" s="303">
        <f t="shared" ca="1" si="17"/>
        <v>0</v>
      </c>
      <c r="AC34" s="303">
        <f t="shared" ca="1" si="18"/>
        <v>0</v>
      </c>
      <c r="AD34" s="303">
        <f t="shared" ca="1" si="19"/>
        <v>0</v>
      </c>
      <c r="AE34" s="303">
        <f t="shared" ca="1" si="20"/>
        <v>0</v>
      </c>
      <c r="AF34" s="303">
        <f t="shared" ca="1" si="21"/>
        <v>0</v>
      </c>
      <c r="AG34" s="303">
        <f t="shared" ca="1" si="22"/>
        <v>0</v>
      </c>
      <c r="AH34" s="303">
        <f t="shared" ca="1" si="23"/>
        <v>0</v>
      </c>
      <c r="AI34" s="303">
        <f t="shared" ca="1" si="24"/>
        <v>0</v>
      </c>
      <c r="AJ34" s="303">
        <f t="shared" ca="1" si="25"/>
        <v>0</v>
      </c>
      <c r="AK34" s="303">
        <f t="shared" ca="1" si="26"/>
        <v>0</v>
      </c>
      <c r="AL34" s="303">
        <f t="shared" ca="1" si="27"/>
        <v>0</v>
      </c>
      <c r="AM34" s="303">
        <f t="shared" ca="1" si="28"/>
        <v>0</v>
      </c>
      <c r="AN34" s="303">
        <f t="shared" ca="1" si="29"/>
        <v>0</v>
      </c>
      <c r="AO34" s="303">
        <f t="shared" ca="1" si="30"/>
        <v>0</v>
      </c>
      <c r="AP34" s="303">
        <f t="shared" ca="1" si="31"/>
        <v>0</v>
      </c>
      <c r="AQ34" s="303">
        <f t="shared" ca="1" si="32"/>
        <v>0</v>
      </c>
      <c r="AR34" s="303">
        <f t="shared" ca="1" si="33"/>
        <v>0</v>
      </c>
      <c r="AS34" s="303">
        <f t="shared" ca="1" si="34"/>
        <v>0</v>
      </c>
      <c r="AT34" s="303">
        <f t="shared" ca="1" si="35"/>
        <v>0</v>
      </c>
      <c r="AU34" s="303">
        <f t="shared" ca="1" si="36"/>
        <v>0</v>
      </c>
      <c r="AV34" s="303">
        <f t="shared" ca="1" si="37"/>
        <v>0</v>
      </c>
      <c r="AW34" s="303">
        <f t="shared" ca="1" si="38"/>
        <v>0</v>
      </c>
    </row>
    <row r="35" spans="1:49" s="300" customFormat="1" ht="12.75" customHeight="1">
      <c r="A35" s="63">
        <f t="array" aca="1" ref="A35" ca="1">IF(C35&lt;&gt;0,SUM(($C$11:C35&lt;&gt;0)*1),"")</f>
        <v>25</v>
      </c>
      <c r="B35" s="301">
        <f ca="1">IF(ROWS($1:25)&gt;COUNT(Dong6),"",OFFSET(TH!C$1,SMALL(Dong6,ROWS($1:25)),))</f>
        <v>40605</v>
      </c>
      <c r="C35" s="301" t="str">
        <f ca="1">IF(ROWS($1:25)&gt;COUNT(Dong6),"",OFFSET(TH!D$1,SMALL(Dong6,ROWS($1:25)),))</f>
        <v>GBC</v>
      </c>
      <c r="D35" s="301">
        <f ca="1">IF(ROWS($1:25)&gt;COUNT(Dong6),"",OFFSET(TH!E$1,SMALL(Dong6,ROWS($1:25)),))</f>
        <v>40605</v>
      </c>
      <c r="E35" s="351" t="str">
        <f ca="1">IF(ROWS($1:25)&gt;COUNT(Dong6),"",OFFSET(TH!F$1,SMALL(Dong6,ROWS($1:25)),))</f>
        <v>An Lạc - Mượn vốn</v>
      </c>
      <c r="F35" s="352">
        <f ca="1">IF(ROWS($1:25)&gt;COUNT(Dong6),"",OFFSET(TH!I$1,SMALL(Dong6,ROWS($1:25)),))</f>
        <v>100000000</v>
      </c>
      <c r="G35" s="353" t="str">
        <f ca="1">IF(ROWS($1:25)&gt;COUNT(Dong6),"",OFFSET(TH!J$1,SMALL(Dong6,ROWS($1:25)),))</f>
        <v>1121</v>
      </c>
      <c r="H35" s="353" t="str">
        <f ca="1">IF(ROWS($1:25)&gt;COUNT(Dong6),"",OFFSET(TH!K$1,SMALL(Dong6,ROWS($1:25)),))</f>
        <v>3388</v>
      </c>
      <c r="I35" s="63">
        <f ca="1">A35</f>
        <v>25</v>
      </c>
      <c r="J35" s="303">
        <f t="shared" ca="1" si="1"/>
        <v>0</v>
      </c>
      <c r="K35" s="303">
        <f t="shared" ca="1" si="2"/>
        <v>0</v>
      </c>
      <c r="L35" s="303">
        <f t="shared" ca="1" si="3"/>
        <v>100000000</v>
      </c>
      <c r="M35" s="303">
        <f t="shared" ca="1" si="4"/>
        <v>0</v>
      </c>
      <c r="N35" s="303">
        <f t="shared" ca="1" si="5"/>
        <v>0</v>
      </c>
      <c r="O35" s="303">
        <f t="shared" ca="1" si="6"/>
        <v>0</v>
      </c>
      <c r="P35" s="303">
        <f t="shared" ca="1" si="7"/>
        <v>0</v>
      </c>
      <c r="Q35" s="303">
        <f t="shared" ca="1" si="8"/>
        <v>0</v>
      </c>
      <c r="R35" s="303">
        <f t="shared" ca="1" si="39"/>
        <v>0</v>
      </c>
      <c r="S35" s="303">
        <f t="shared" ca="1" si="40"/>
        <v>0</v>
      </c>
      <c r="T35" s="303">
        <f t="shared" ca="1" si="9"/>
        <v>0</v>
      </c>
      <c r="U35" s="303">
        <f t="shared" ca="1" si="10"/>
        <v>0</v>
      </c>
      <c r="V35" s="303">
        <f t="shared" ca="1" si="11"/>
        <v>0</v>
      </c>
      <c r="W35" s="303">
        <f t="shared" ca="1" si="12"/>
        <v>0</v>
      </c>
      <c r="X35" s="303">
        <f t="shared" ca="1" si="13"/>
        <v>0</v>
      </c>
      <c r="Y35" s="303">
        <f t="shared" ca="1" si="14"/>
        <v>0</v>
      </c>
      <c r="Z35" s="303">
        <f t="shared" ca="1" si="15"/>
        <v>0</v>
      </c>
      <c r="AA35" s="303">
        <f t="shared" ca="1" si="16"/>
        <v>100000000</v>
      </c>
      <c r="AB35" s="303">
        <f t="shared" ca="1" si="17"/>
        <v>0</v>
      </c>
      <c r="AC35" s="303">
        <f t="shared" ca="1" si="18"/>
        <v>0</v>
      </c>
      <c r="AD35" s="303">
        <f t="shared" ca="1" si="19"/>
        <v>0</v>
      </c>
      <c r="AE35" s="303">
        <f t="shared" ca="1" si="20"/>
        <v>0</v>
      </c>
      <c r="AF35" s="303">
        <f t="shared" ca="1" si="21"/>
        <v>0</v>
      </c>
      <c r="AG35" s="303">
        <f t="shared" ca="1" si="22"/>
        <v>0</v>
      </c>
      <c r="AH35" s="303">
        <f t="shared" ca="1" si="23"/>
        <v>0</v>
      </c>
      <c r="AI35" s="303">
        <f t="shared" ca="1" si="24"/>
        <v>0</v>
      </c>
      <c r="AJ35" s="303">
        <f t="shared" ca="1" si="25"/>
        <v>0</v>
      </c>
      <c r="AK35" s="303">
        <f t="shared" ca="1" si="26"/>
        <v>0</v>
      </c>
      <c r="AL35" s="303">
        <f t="shared" ca="1" si="27"/>
        <v>0</v>
      </c>
      <c r="AM35" s="303">
        <f t="shared" ca="1" si="28"/>
        <v>0</v>
      </c>
      <c r="AN35" s="303">
        <f t="shared" ca="1" si="29"/>
        <v>0</v>
      </c>
      <c r="AO35" s="303">
        <f t="shared" ca="1" si="30"/>
        <v>0</v>
      </c>
      <c r="AP35" s="303">
        <f t="shared" ca="1" si="31"/>
        <v>0</v>
      </c>
      <c r="AQ35" s="303">
        <f t="shared" ca="1" si="32"/>
        <v>0</v>
      </c>
      <c r="AR35" s="303">
        <f t="shared" ca="1" si="33"/>
        <v>0</v>
      </c>
      <c r="AS35" s="303">
        <f t="shared" ca="1" si="34"/>
        <v>0</v>
      </c>
      <c r="AT35" s="303">
        <f t="shared" ca="1" si="35"/>
        <v>0</v>
      </c>
      <c r="AU35" s="303">
        <f t="shared" ca="1" si="36"/>
        <v>0</v>
      </c>
      <c r="AV35" s="303">
        <f t="shared" ca="1" si="37"/>
        <v>0</v>
      </c>
      <c r="AW35" s="303">
        <f t="shared" ca="1" si="38"/>
        <v>0</v>
      </c>
    </row>
    <row r="36" spans="1:49" s="300" customFormat="1" ht="12.75" customHeight="1">
      <c r="A36" s="63">
        <f t="array" aca="1" ref="A36" ca="1">IF(C36&lt;&gt;0,SUM(($C$11:C36&lt;&gt;0)*1),"")</f>
        <v>26</v>
      </c>
      <c r="B36" s="301">
        <f ca="1">IF(ROWS($1:26)&gt;COUNT(Dong6),"",OFFSET(TH!C$1,SMALL(Dong6,ROWS($1:26)),))</f>
        <v>40605</v>
      </c>
      <c r="C36" s="301" t="str">
        <f ca="1">IF(ROWS($1:26)&gt;COUNT(Dong6),"",OFFSET(TH!D$1,SMALL(Dong6,ROWS($1:26)),))</f>
        <v>GBN</v>
      </c>
      <c r="D36" s="301">
        <f ca="1">IF(ROWS($1:26)&gt;COUNT(Dong6),"",OFFSET(TH!E$1,SMALL(Dong6,ROWS($1:26)),))</f>
        <v>40605</v>
      </c>
      <c r="E36" s="351" t="str">
        <f ca="1">IF(ROWS($1:26)&gt;COUNT(Dong6),"",OFFSET(TH!F$1,SMALL(Dong6,ROWS($1:26)),))</f>
        <v>Thanh toán tiền xây dựng - Khánh Trân</v>
      </c>
      <c r="F36" s="352">
        <f ca="1">IF(ROWS($1:26)&gt;COUNT(Dong6),"",OFFSET(TH!I$1,SMALL(Dong6,ROWS($1:26)),))</f>
        <v>100000000</v>
      </c>
      <c r="G36" s="353" t="str">
        <f ca="1">IF(ROWS($1:26)&gt;COUNT(Dong6),"",OFFSET(TH!J$1,SMALL(Dong6,ROWS($1:26)),))</f>
        <v>331</v>
      </c>
      <c r="H36" s="353" t="str">
        <f ca="1">IF(ROWS($1:26)&gt;COUNT(Dong6),"",OFFSET(TH!K$1,SMALL(Dong6,ROWS($1:26)),))</f>
        <v>1121</v>
      </c>
      <c r="I36" s="63">
        <f ca="1">A36</f>
        <v>26</v>
      </c>
      <c r="J36" s="303">
        <f t="shared" ca="1" si="1"/>
        <v>0</v>
      </c>
      <c r="K36" s="303">
        <f t="shared" ca="1" si="2"/>
        <v>0</v>
      </c>
      <c r="L36" s="303">
        <f t="shared" ca="1" si="3"/>
        <v>0</v>
      </c>
      <c r="M36" s="303">
        <f t="shared" ca="1" si="4"/>
        <v>100000000</v>
      </c>
      <c r="N36" s="303">
        <f t="shared" ca="1" si="5"/>
        <v>0</v>
      </c>
      <c r="O36" s="303">
        <f t="shared" ca="1" si="6"/>
        <v>0</v>
      </c>
      <c r="P36" s="303">
        <f t="shared" ca="1" si="7"/>
        <v>0</v>
      </c>
      <c r="Q36" s="303">
        <f t="shared" ca="1" si="8"/>
        <v>0</v>
      </c>
      <c r="R36" s="303">
        <f t="shared" ca="1" si="39"/>
        <v>0</v>
      </c>
      <c r="S36" s="303">
        <f t="shared" ca="1" si="40"/>
        <v>0</v>
      </c>
      <c r="T36" s="303">
        <f t="shared" ca="1" si="9"/>
        <v>100000000</v>
      </c>
      <c r="U36" s="303">
        <f t="shared" ca="1" si="10"/>
        <v>0</v>
      </c>
      <c r="V36" s="303">
        <f t="shared" ca="1" si="11"/>
        <v>0</v>
      </c>
      <c r="W36" s="303">
        <f t="shared" ca="1" si="12"/>
        <v>0</v>
      </c>
      <c r="X36" s="303">
        <f t="shared" ca="1" si="13"/>
        <v>0</v>
      </c>
      <c r="Y36" s="303">
        <f t="shared" ca="1" si="14"/>
        <v>0</v>
      </c>
      <c r="Z36" s="303">
        <f t="shared" ca="1" si="15"/>
        <v>0</v>
      </c>
      <c r="AA36" s="303">
        <f t="shared" ca="1" si="16"/>
        <v>0</v>
      </c>
      <c r="AB36" s="303">
        <f t="shared" ca="1" si="17"/>
        <v>0</v>
      </c>
      <c r="AC36" s="303">
        <f t="shared" ca="1" si="18"/>
        <v>0</v>
      </c>
      <c r="AD36" s="303">
        <f t="shared" ca="1" si="19"/>
        <v>0</v>
      </c>
      <c r="AE36" s="303">
        <f t="shared" ca="1" si="20"/>
        <v>0</v>
      </c>
      <c r="AF36" s="303">
        <f t="shared" ca="1" si="21"/>
        <v>0</v>
      </c>
      <c r="AG36" s="303">
        <f t="shared" ca="1" si="22"/>
        <v>0</v>
      </c>
      <c r="AH36" s="303">
        <f t="shared" ca="1" si="23"/>
        <v>0</v>
      </c>
      <c r="AI36" s="303">
        <f t="shared" ca="1" si="24"/>
        <v>0</v>
      </c>
      <c r="AJ36" s="303">
        <f t="shared" ca="1" si="25"/>
        <v>0</v>
      </c>
      <c r="AK36" s="303">
        <f t="shared" ca="1" si="26"/>
        <v>0</v>
      </c>
      <c r="AL36" s="303">
        <f t="shared" ca="1" si="27"/>
        <v>0</v>
      </c>
      <c r="AM36" s="303">
        <f t="shared" ca="1" si="28"/>
        <v>0</v>
      </c>
      <c r="AN36" s="303">
        <f t="shared" ca="1" si="29"/>
        <v>0</v>
      </c>
      <c r="AO36" s="303">
        <f t="shared" ca="1" si="30"/>
        <v>0</v>
      </c>
      <c r="AP36" s="303">
        <f t="shared" ca="1" si="31"/>
        <v>0</v>
      </c>
      <c r="AQ36" s="303">
        <f t="shared" ca="1" si="32"/>
        <v>0</v>
      </c>
      <c r="AR36" s="303">
        <f t="shared" ca="1" si="33"/>
        <v>0</v>
      </c>
      <c r="AS36" s="303">
        <f t="shared" ca="1" si="34"/>
        <v>0</v>
      </c>
      <c r="AT36" s="303">
        <f t="shared" ca="1" si="35"/>
        <v>0</v>
      </c>
      <c r="AU36" s="303">
        <f t="shared" ca="1" si="36"/>
        <v>0</v>
      </c>
      <c r="AV36" s="303">
        <f t="shared" ca="1" si="37"/>
        <v>0</v>
      </c>
      <c r="AW36" s="303">
        <f t="shared" ca="1" si="38"/>
        <v>0</v>
      </c>
    </row>
    <row r="37" spans="1:49" s="300" customFormat="1" ht="12.75" customHeight="1">
      <c r="A37" s="63">
        <f t="array" aca="1" ref="A37" ca="1">IF(C37&lt;&gt;0,SUM(($C$11:C37&lt;&gt;0)*1),"")</f>
        <v>27</v>
      </c>
      <c r="B37" s="301">
        <f ca="1">IF(ROWS($1:27)&gt;COUNT(Dong6),"",OFFSET(TH!C$1,SMALL(Dong6,ROWS($1:27)),))</f>
        <v>40605</v>
      </c>
      <c r="C37" s="301" t="str">
        <f ca="1">IF(ROWS($1:27)&gt;COUNT(Dong6),"",OFFSET(TH!D$1,SMALL(Dong6,ROWS($1:27)),))</f>
        <v>GBN</v>
      </c>
      <c r="D37" s="301">
        <f ca="1">IF(ROWS($1:27)&gt;COUNT(Dong6),"",OFFSET(TH!E$1,SMALL(Dong6,ROWS($1:27)),))</f>
        <v>40605</v>
      </c>
      <c r="E37" s="351" t="str">
        <f ca="1">IF(ROWS($1:27)&gt;COUNT(Dong6),"",OFFSET(TH!F$1,SMALL(Dong6,ROWS($1:27)),))</f>
        <v xml:space="preserve">Phí chuyển tiền </v>
      </c>
      <c r="F37" s="352">
        <f ca="1">IF(ROWS($1:27)&gt;COUNT(Dong6),"",OFFSET(TH!I$1,SMALL(Dong6,ROWS($1:27)),))</f>
        <v>50000</v>
      </c>
      <c r="G37" s="353" t="str">
        <f ca="1">IF(ROWS($1:27)&gt;COUNT(Dong6),"",OFFSET(TH!J$1,SMALL(Dong6,ROWS($1:27)),))</f>
        <v>642</v>
      </c>
      <c r="H37" s="353" t="str">
        <f ca="1">IF(ROWS($1:27)&gt;COUNT(Dong6),"",OFFSET(TH!K$1,SMALL(Dong6,ROWS($1:27)),))</f>
        <v>1121</v>
      </c>
      <c r="I37" s="63">
        <f ca="1">A37</f>
        <v>27</v>
      </c>
      <c r="J37" s="303">
        <f t="shared" ca="1" si="1"/>
        <v>0</v>
      </c>
      <c r="K37" s="303">
        <f t="shared" ca="1" si="2"/>
        <v>0</v>
      </c>
      <c r="L37" s="303">
        <f t="shared" ca="1" si="3"/>
        <v>0</v>
      </c>
      <c r="M37" s="303">
        <f t="shared" ca="1" si="4"/>
        <v>50000</v>
      </c>
      <c r="N37" s="303">
        <f t="shared" ca="1" si="5"/>
        <v>0</v>
      </c>
      <c r="O37" s="303">
        <f t="shared" ca="1" si="6"/>
        <v>0</v>
      </c>
      <c r="P37" s="303">
        <f t="shared" ca="1" si="7"/>
        <v>0</v>
      </c>
      <c r="Q37" s="303">
        <f t="shared" ca="1" si="8"/>
        <v>0</v>
      </c>
      <c r="R37" s="303">
        <f t="shared" ca="1" si="39"/>
        <v>0</v>
      </c>
      <c r="S37" s="303">
        <f t="shared" ca="1" si="40"/>
        <v>0</v>
      </c>
      <c r="T37" s="303">
        <f t="shared" ca="1" si="9"/>
        <v>0</v>
      </c>
      <c r="U37" s="303">
        <f t="shared" ca="1" si="10"/>
        <v>0</v>
      </c>
      <c r="V37" s="303">
        <f t="shared" ca="1" si="11"/>
        <v>0</v>
      </c>
      <c r="W37" s="303">
        <f t="shared" ca="1" si="12"/>
        <v>0</v>
      </c>
      <c r="X37" s="303">
        <f t="shared" ca="1" si="13"/>
        <v>0</v>
      </c>
      <c r="Y37" s="303">
        <f t="shared" ca="1" si="14"/>
        <v>0</v>
      </c>
      <c r="Z37" s="303">
        <f t="shared" ca="1" si="15"/>
        <v>0</v>
      </c>
      <c r="AA37" s="303">
        <f t="shared" ca="1" si="16"/>
        <v>0</v>
      </c>
      <c r="AB37" s="303">
        <f t="shared" ca="1" si="17"/>
        <v>0</v>
      </c>
      <c r="AC37" s="303">
        <f t="shared" ca="1" si="18"/>
        <v>0</v>
      </c>
      <c r="AD37" s="303">
        <f t="shared" ca="1" si="19"/>
        <v>0</v>
      </c>
      <c r="AE37" s="303">
        <f t="shared" ca="1" si="20"/>
        <v>0</v>
      </c>
      <c r="AF37" s="303">
        <f t="shared" ca="1" si="21"/>
        <v>0</v>
      </c>
      <c r="AG37" s="303">
        <f t="shared" ca="1" si="22"/>
        <v>0</v>
      </c>
      <c r="AH37" s="303">
        <f t="shared" ca="1" si="23"/>
        <v>0</v>
      </c>
      <c r="AI37" s="303">
        <f t="shared" ca="1" si="24"/>
        <v>0</v>
      </c>
      <c r="AJ37" s="303">
        <f t="shared" ca="1" si="25"/>
        <v>0</v>
      </c>
      <c r="AK37" s="303">
        <f t="shared" ca="1" si="26"/>
        <v>0</v>
      </c>
      <c r="AL37" s="303">
        <f t="shared" ca="1" si="27"/>
        <v>0</v>
      </c>
      <c r="AM37" s="303">
        <f t="shared" ca="1" si="28"/>
        <v>0</v>
      </c>
      <c r="AN37" s="303">
        <f t="shared" ca="1" si="29"/>
        <v>50000</v>
      </c>
      <c r="AO37" s="303">
        <f t="shared" ca="1" si="30"/>
        <v>0</v>
      </c>
      <c r="AP37" s="303">
        <f t="shared" ca="1" si="31"/>
        <v>0</v>
      </c>
      <c r="AQ37" s="303">
        <f t="shared" ca="1" si="32"/>
        <v>0</v>
      </c>
      <c r="AR37" s="303">
        <f t="shared" ca="1" si="33"/>
        <v>0</v>
      </c>
      <c r="AS37" s="303">
        <f t="shared" ca="1" si="34"/>
        <v>0</v>
      </c>
      <c r="AT37" s="303">
        <f t="shared" ca="1" si="35"/>
        <v>0</v>
      </c>
      <c r="AU37" s="303">
        <f t="shared" ca="1" si="36"/>
        <v>0</v>
      </c>
      <c r="AV37" s="303">
        <f t="shared" ca="1" si="37"/>
        <v>0</v>
      </c>
      <c r="AW37" s="303">
        <f t="shared" ca="1" si="38"/>
        <v>0</v>
      </c>
    </row>
    <row r="38" spans="1:49" s="300" customFormat="1" ht="12.75" customHeight="1">
      <c r="A38" s="63">
        <f t="array" aca="1" ref="A38" ca="1">IF(C38&lt;&gt;0,SUM(($C$11:C38&lt;&gt;0)*1),"")</f>
        <v>28</v>
      </c>
      <c r="B38" s="301">
        <f ca="1">IF(ROWS($1:28)&gt;COUNT(Dong6),"",OFFSET(TH!C$1,SMALL(Dong6,ROWS($1:28)),))</f>
        <v>40605</v>
      </c>
      <c r="C38" s="301" t="str">
        <f ca="1">IF(ROWS($1:28)&gt;COUNT(Dong6),"",OFFSET(TH!D$1,SMALL(Dong6,ROWS($1:28)),))</f>
        <v>GBN</v>
      </c>
      <c r="D38" s="301">
        <f ca="1">IF(ROWS($1:28)&gt;COUNT(Dong6),"",OFFSET(TH!E$1,SMALL(Dong6,ROWS($1:28)),))</f>
        <v>40605</v>
      </c>
      <c r="E38" s="351" t="str">
        <f ca="1">IF(ROWS($1:28)&gt;COUNT(Dong6),"",OFFSET(TH!F$1,SMALL(Dong6,ROWS($1:28)),))</f>
        <v xml:space="preserve">GTGT Phí chuyển tiền </v>
      </c>
      <c r="F38" s="352">
        <f ca="1">IF(ROWS($1:28)&gt;COUNT(Dong6),"",OFFSET(TH!I$1,SMALL(Dong6,ROWS($1:28)),))</f>
        <v>5000</v>
      </c>
      <c r="G38" s="353" t="str">
        <f ca="1">IF(ROWS($1:28)&gt;COUNT(Dong6),"",OFFSET(TH!J$1,SMALL(Dong6,ROWS($1:28)),))</f>
        <v>642</v>
      </c>
      <c r="H38" s="353" t="str">
        <f ca="1">IF(ROWS($1:28)&gt;COUNT(Dong6),"",OFFSET(TH!K$1,SMALL(Dong6,ROWS($1:28)),))</f>
        <v>1121</v>
      </c>
      <c r="I38" s="63">
        <f ca="1">A38</f>
        <v>28</v>
      </c>
      <c r="J38" s="303">
        <f t="shared" ca="1" si="1"/>
        <v>0</v>
      </c>
      <c r="K38" s="303">
        <f t="shared" ca="1" si="2"/>
        <v>0</v>
      </c>
      <c r="L38" s="303">
        <f t="shared" ca="1" si="3"/>
        <v>0</v>
      </c>
      <c r="M38" s="303">
        <f t="shared" ca="1" si="4"/>
        <v>5000</v>
      </c>
      <c r="N38" s="303">
        <f t="shared" ca="1" si="5"/>
        <v>0</v>
      </c>
      <c r="O38" s="303">
        <f t="shared" ca="1" si="6"/>
        <v>0</v>
      </c>
      <c r="P38" s="303">
        <f t="shared" ca="1" si="7"/>
        <v>0</v>
      </c>
      <c r="Q38" s="303">
        <f t="shared" ca="1" si="8"/>
        <v>0</v>
      </c>
      <c r="R38" s="303">
        <f t="shared" ca="1" si="39"/>
        <v>0</v>
      </c>
      <c r="S38" s="303">
        <f t="shared" ca="1" si="40"/>
        <v>0</v>
      </c>
      <c r="T38" s="303">
        <f t="shared" ca="1" si="9"/>
        <v>0</v>
      </c>
      <c r="U38" s="303">
        <f t="shared" ca="1" si="10"/>
        <v>0</v>
      </c>
      <c r="V38" s="303">
        <f t="shared" ca="1" si="11"/>
        <v>0</v>
      </c>
      <c r="W38" s="303">
        <f t="shared" ca="1" si="12"/>
        <v>0</v>
      </c>
      <c r="X38" s="303">
        <f t="shared" ca="1" si="13"/>
        <v>0</v>
      </c>
      <c r="Y38" s="303">
        <f t="shared" ca="1" si="14"/>
        <v>0</v>
      </c>
      <c r="Z38" s="303">
        <f t="shared" ca="1" si="15"/>
        <v>0</v>
      </c>
      <c r="AA38" s="303">
        <f t="shared" ca="1" si="16"/>
        <v>0</v>
      </c>
      <c r="AB38" s="303">
        <f t="shared" ca="1" si="17"/>
        <v>0</v>
      </c>
      <c r="AC38" s="303">
        <f t="shared" ca="1" si="18"/>
        <v>0</v>
      </c>
      <c r="AD38" s="303">
        <f t="shared" ca="1" si="19"/>
        <v>0</v>
      </c>
      <c r="AE38" s="303">
        <f t="shared" ca="1" si="20"/>
        <v>0</v>
      </c>
      <c r="AF38" s="303">
        <f t="shared" ca="1" si="21"/>
        <v>0</v>
      </c>
      <c r="AG38" s="303">
        <f t="shared" ca="1" si="22"/>
        <v>0</v>
      </c>
      <c r="AH38" s="303">
        <f t="shared" ca="1" si="23"/>
        <v>0</v>
      </c>
      <c r="AI38" s="303">
        <f t="shared" ca="1" si="24"/>
        <v>0</v>
      </c>
      <c r="AJ38" s="303">
        <f t="shared" ca="1" si="25"/>
        <v>0</v>
      </c>
      <c r="AK38" s="303">
        <f t="shared" ca="1" si="26"/>
        <v>0</v>
      </c>
      <c r="AL38" s="303">
        <f t="shared" ca="1" si="27"/>
        <v>0</v>
      </c>
      <c r="AM38" s="303">
        <f t="shared" ca="1" si="28"/>
        <v>0</v>
      </c>
      <c r="AN38" s="303">
        <f t="shared" ca="1" si="29"/>
        <v>5000</v>
      </c>
      <c r="AO38" s="303">
        <f t="shared" ca="1" si="30"/>
        <v>0</v>
      </c>
      <c r="AP38" s="303">
        <f t="shared" ca="1" si="31"/>
        <v>0</v>
      </c>
      <c r="AQ38" s="303">
        <f t="shared" ca="1" si="32"/>
        <v>0</v>
      </c>
      <c r="AR38" s="303">
        <f t="shared" ca="1" si="33"/>
        <v>0</v>
      </c>
      <c r="AS38" s="303">
        <f t="shared" ca="1" si="34"/>
        <v>0</v>
      </c>
      <c r="AT38" s="303">
        <f t="shared" ca="1" si="35"/>
        <v>0</v>
      </c>
      <c r="AU38" s="303">
        <f t="shared" ca="1" si="36"/>
        <v>0</v>
      </c>
      <c r="AV38" s="303">
        <f t="shared" ca="1" si="37"/>
        <v>0</v>
      </c>
      <c r="AW38" s="303">
        <f t="shared" ca="1" si="38"/>
        <v>0</v>
      </c>
    </row>
    <row r="39" spans="1:49" s="300" customFormat="1" ht="12.75" customHeight="1">
      <c r="A39" s="63">
        <f t="array" aca="1" ref="A39" ca="1">IF(C39&lt;&gt;0,SUM(($C$11:C39&lt;&gt;0)*1),"")</f>
        <v>29</v>
      </c>
      <c r="B39" s="301">
        <f ca="1">IF(ROWS($1:29)&gt;COUNT(Dong6),"",OFFSET(TH!C$1,SMALL(Dong6,ROWS($1:29)),))</f>
        <v>40618</v>
      </c>
      <c r="C39" s="301" t="str">
        <f ca="1">IF(ROWS($1:29)&gt;COUNT(Dong6),"",OFFSET(TH!D$1,SMALL(Dong6,ROWS($1:29)),))</f>
        <v>GBN</v>
      </c>
      <c r="D39" s="301">
        <f ca="1">IF(ROWS($1:29)&gt;COUNT(Dong6),"",OFFSET(TH!E$1,SMALL(Dong6,ROWS($1:29)),))</f>
        <v>40618</v>
      </c>
      <c r="E39" s="351" t="str">
        <f ca="1">IF(ROWS($1:29)&gt;COUNT(Dong6),"",OFFSET(TH!F$1,SMALL(Dong6,ROWS($1:29)),))</f>
        <v>Phí NH</v>
      </c>
      <c r="F39" s="352">
        <f ca="1">IF(ROWS($1:29)&gt;COUNT(Dong6),"",OFFSET(TH!I$1,SMALL(Dong6,ROWS($1:29)),))</f>
        <v>5500</v>
      </c>
      <c r="G39" s="353" t="str">
        <f ca="1">IF(ROWS($1:29)&gt;COUNT(Dong6),"",OFFSET(TH!J$1,SMALL(Dong6,ROWS($1:29)),))</f>
        <v>642</v>
      </c>
      <c r="H39" s="353" t="str">
        <f ca="1">IF(ROWS($1:29)&gt;COUNT(Dong6),"",OFFSET(TH!K$1,SMALL(Dong6,ROWS($1:29)),))</f>
        <v>1121</v>
      </c>
      <c r="I39" s="63">
        <f t="shared" ref="I39:I54" ca="1" si="41">A39</f>
        <v>29</v>
      </c>
      <c r="J39" s="303">
        <f t="shared" ca="1" si="1"/>
        <v>0</v>
      </c>
      <c r="K39" s="303">
        <f t="shared" ca="1" si="2"/>
        <v>0</v>
      </c>
      <c r="L39" s="303">
        <f t="shared" ca="1" si="3"/>
        <v>0</v>
      </c>
      <c r="M39" s="303">
        <f t="shared" ca="1" si="4"/>
        <v>5500</v>
      </c>
      <c r="N39" s="303">
        <f t="shared" ca="1" si="5"/>
        <v>0</v>
      </c>
      <c r="O39" s="303">
        <f t="shared" ca="1" si="6"/>
        <v>0</v>
      </c>
      <c r="P39" s="303">
        <f t="shared" ca="1" si="7"/>
        <v>0</v>
      </c>
      <c r="Q39" s="303">
        <f t="shared" ca="1" si="8"/>
        <v>0</v>
      </c>
      <c r="R39" s="303">
        <f t="shared" ca="1" si="39"/>
        <v>0</v>
      </c>
      <c r="S39" s="303">
        <f t="shared" ca="1" si="40"/>
        <v>0</v>
      </c>
      <c r="T39" s="303">
        <f t="shared" ca="1" si="9"/>
        <v>0</v>
      </c>
      <c r="U39" s="303">
        <f t="shared" ca="1" si="10"/>
        <v>0</v>
      </c>
      <c r="V39" s="303">
        <f t="shared" ca="1" si="11"/>
        <v>0</v>
      </c>
      <c r="W39" s="303">
        <f t="shared" ca="1" si="12"/>
        <v>0</v>
      </c>
      <c r="X39" s="303">
        <f t="shared" ca="1" si="13"/>
        <v>0</v>
      </c>
      <c r="Y39" s="303">
        <f t="shared" ca="1" si="14"/>
        <v>0</v>
      </c>
      <c r="Z39" s="303">
        <f t="shared" ca="1" si="15"/>
        <v>0</v>
      </c>
      <c r="AA39" s="303">
        <f t="shared" ca="1" si="16"/>
        <v>0</v>
      </c>
      <c r="AB39" s="303">
        <f t="shared" ca="1" si="17"/>
        <v>0</v>
      </c>
      <c r="AC39" s="303">
        <f t="shared" ca="1" si="18"/>
        <v>0</v>
      </c>
      <c r="AD39" s="303">
        <f t="shared" ca="1" si="19"/>
        <v>0</v>
      </c>
      <c r="AE39" s="303">
        <f t="shared" ca="1" si="20"/>
        <v>0</v>
      </c>
      <c r="AF39" s="303">
        <f t="shared" ca="1" si="21"/>
        <v>0</v>
      </c>
      <c r="AG39" s="303">
        <f t="shared" ca="1" si="22"/>
        <v>0</v>
      </c>
      <c r="AH39" s="303">
        <f t="shared" ca="1" si="23"/>
        <v>0</v>
      </c>
      <c r="AI39" s="303">
        <f t="shared" ca="1" si="24"/>
        <v>0</v>
      </c>
      <c r="AJ39" s="303">
        <f t="shared" ca="1" si="25"/>
        <v>0</v>
      </c>
      <c r="AK39" s="303">
        <f t="shared" ca="1" si="26"/>
        <v>0</v>
      </c>
      <c r="AL39" s="303">
        <f t="shared" ca="1" si="27"/>
        <v>0</v>
      </c>
      <c r="AM39" s="303">
        <f t="shared" ca="1" si="28"/>
        <v>0</v>
      </c>
      <c r="AN39" s="303">
        <f t="shared" ca="1" si="29"/>
        <v>5500</v>
      </c>
      <c r="AO39" s="303">
        <f t="shared" ca="1" si="30"/>
        <v>0</v>
      </c>
      <c r="AP39" s="303">
        <f t="shared" ca="1" si="31"/>
        <v>0</v>
      </c>
      <c r="AQ39" s="303">
        <f t="shared" ca="1" si="32"/>
        <v>0</v>
      </c>
      <c r="AR39" s="303">
        <f t="shared" ca="1" si="33"/>
        <v>0</v>
      </c>
      <c r="AS39" s="303">
        <f t="shared" ca="1" si="34"/>
        <v>0</v>
      </c>
      <c r="AT39" s="303">
        <f t="shared" ca="1" si="35"/>
        <v>0</v>
      </c>
      <c r="AU39" s="303">
        <f t="shared" ca="1" si="36"/>
        <v>0</v>
      </c>
      <c r="AV39" s="303">
        <f t="shared" ca="1" si="37"/>
        <v>0</v>
      </c>
      <c r="AW39" s="303">
        <f t="shared" ca="1" si="38"/>
        <v>0</v>
      </c>
    </row>
    <row r="40" spans="1:49" s="300" customFormat="1" ht="12.75" customHeight="1">
      <c r="A40" s="63">
        <f t="array" aca="1" ref="A40" ca="1">IF(C40&lt;&gt;0,SUM(($C$11:C40&lt;&gt;0)*1),"")</f>
        <v>30</v>
      </c>
      <c r="B40" s="301">
        <f ca="1">IF(ROWS($1:30)&gt;COUNT(Dong6),"",OFFSET(TH!C$1,SMALL(Dong6,ROWS($1:30)),))</f>
        <v>40619</v>
      </c>
      <c r="C40" s="301" t="str">
        <f ca="1">IF(ROWS($1:30)&gt;COUNT(Dong6),"",OFFSET(TH!D$1,SMALL(Dong6,ROWS($1:30)),))</f>
        <v>GBN</v>
      </c>
      <c r="D40" s="301">
        <f ca="1">IF(ROWS($1:30)&gt;COUNT(Dong6),"",OFFSET(TH!E$1,SMALL(Dong6,ROWS($1:30)),))</f>
        <v>40619</v>
      </c>
      <c r="E40" s="351" t="str">
        <f ca="1">IF(ROWS($1:30)&gt;COUNT(Dong6),"",OFFSET(TH!F$1,SMALL(Dong6,ROWS($1:30)),))</f>
        <v>Phí NH</v>
      </c>
      <c r="F40" s="352">
        <f ca="1">IF(ROWS($1:30)&gt;COUNT(Dong6),"",OFFSET(TH!I$1,SMALL(Dong6,ROWS($1:30)),))</f>
        <v>5500</v>
      </c>
      <c r="G40" s="353" t="str">
        <f ca="1">IF(ROWS($1:30)&gt;COUNT(Dong6),"",OFFSET(TH!J$1,SMALL(Dong6,ROWS($1:30)),))</f>
        <v>642</v>
      </c>
      <c r="H40" s="353" t="str">
        <f ca="1">IF(ROWS($1:30)&gt;COUNT(Dong6),"",OFFSET(TH!K$1,SMALL(Dong6,ROWS($1:30)),))</f>
        <v>1121</v>
      </c>
      <c r="I40" s="63">
        <f t="shared" ca="1" si="41"/>
        <v>30</v>
      </c>
      <c r="J40" s="303">
        <f t="shared" ca="1" si="1"/>
        <v>0</v>
      </c>
      <c r="K40" s="303">
        <f t="shared" ca="1" si="2"/>
        <v>0</v>
      </c>
      <c r="L40" s="303">
        <f t="shared" ca="1" si="3"/>
        <v>0</v>
      </c>
      <c r="M40" s="303">
        <f t="shared" ca="1" si="4"/>
        <v>5500</v>
      </c>
      <c r="N40" s="303">
        <f t="shared" ca="1" si="5"/>
        <v>0</v>
      </c>
      <c r="O40" s="303">
        <f t="shared" ca="1" si="6"/>
        <v>0</v>
      </c>
      <c r="P40" s="303">
        <f t="shared" ca="1" si="7"/>
        <v>0</v>
      </c>
      <c r="Q40" s="303">
        <f t="shared" ca="1" si="8"/>
        <v>0</v>
      </c>
      <c r="R40" s="303">
        <f t="shared" ca="1" si="39"/>
        <v>0</v>
      </c>
      <c r="S40" s="303">
        <f t="shared" ca="1" si="40"/>
        <v>0</v>
      </c>
      <c r="T40" s="303">
        <f t="shared" ca="1" si="9"/>
        <v>0</v>
      </c>
      <c r="U40" s="303">
        <f t="shared" ca="1" si="10"/>
        <v>0</v>
      </c>
      <c r="V40" s="303">
        <f t="shared" ca="1" si="11"/>
        <v>0</v>
      </c>
      <c r="W40" s="303">
        <f t="shared" ca="1" si="12"/>
        <v>0</v>
      </c>
      <c r="X40" s="303">
        <f t="shared" ca="1" si="13"/>
        <v>0</v>
      </c>
      <c r="Y40" s="303">
        <f t="shared" ca="1" si="14"/>
        <v>0</v>
      </c>
      <c r="Z40" s="303">
        <f t="shared" ca="1" si="15"/>
        <v>0</v>
      </c>
      <c r="AA40" s="303">
        <f t="shared" ca="1" si="16"/>
        <v>0</v>
      </c>
      <c r="AB40" s="303">
        <f t="shared" ca="1" si="17"/>
        <v>0</v>
      </c>
      <c r="AC40" s="303">
        <f t="shared" ca="1" si="18"/>
        <v>0</v>
      </c>
      <c r="AD40" s="303">
        <f t="shared" ca="1" si="19"/>
        <v>0</v>
      </c>
      <c r="AE40" s="303">
        <f t="shared" ca="1" si="20"/>
        <v>0</v>
      </c>
      <c r="AF40" s="303">
        <f t="shared" ca="1" si="21"/>
        <v>0</v>
      </c>
      <c r="AG40" s="303">
        <f t="shared" ca="1" si="22"/>
        <v>0</v>
      </c>
      <c r="AH40" s="303">
        <f t="shared" ca="1" si="23"/>
        <v>0</v>
      </c>
      <c r="AI40" s="303">
        <f t="shared" ca="1" si="24"/>
        <v>0</v>
      </c>
      <c r="AJ40" s="303">
        <f t="shared" ca="1" si="25"/>
        <v>0</v>
      </c>
      <c r="AK40" s="303">
        <f t="shared" ca="1" si="26"/>
        <v>0</v>
      </c>
      <c r="AL40" s="303">
        <f t="shared" ca="1" si="27"/>
        <v>0</v>
      </c>
      <c r="AM40" s="303">
        <f t="shared" ca="1" si="28"/>
        <v>0</v>
      </c>
      <c r="AN40" s="303">
        <f t="shared" ca="1" si="29"/>
        <v>5500</v>
      </c>
      <c r="AO40" s="303">
        <f t="shared" ca="1" si="30"/>
        <v>0</v>
      </c>
      <c r="AP40" s="303">
        <f t="shared" ca="1" si="31"/>
        <v>0</v>
      </c>
      <c r="AQ40" s="303">
        <f t="shared" ca="1" si="32"/>
        <v>0</v>
      </c>
      <c r="AR40" s="303">
        <f t="shared" ca="1" si="33"/>
        <v>0</v>
      </c>
      <c r="AS40" s="303">
        <f t="shared" ca="1" si="34"/>
        <v>0</v>
      </c>
      <c r="AT40" s="303">
        <f t="shared" ca="1" si="35"/>
        <v>0</v>
      </c>
      <c r="AU40" s="303">
        <f t="shared" ca="1" si="36"/>
        <v>0</v>
      </c>
      <c r="AV40" s="303">
        <f t="shared" ca="1" si="37"/>
        <v>0</v>
      </c>
      <c r="AW40" s="303">
        <f t="shared" ca="1" si="38"/>
        <v>0</v>
      </c>
    </row>
    <row r="41" spans="1:49" s="300" customFormat="1" ht="12.75" customHeight="1">
      <c r="A41" s="63">
        <f t="array" aca="1" ref="A41" ca="1">IF(C41&lt;&gt;0,SUM(($C$11:C41&lt;&gt;0)*1),"")</f>
        <v>31</v>
      </c>
      <c r="B41" s="301">
        <f ca="1">IF(ROWS($1:31)&gt;COUNT(Dong6),"",OFFSET(TH!C$1,SMALL(Dong6,ROWS($1:31)),))</f>
        <v>40623</v>
      </c>
      <c r="C41" s="301" t="str">
        <f ca="1">IF(ROWS($1:31)&gt;COUNT(Dong6),"",OFFSET(TH!D$1,SMALL(Dong6,ROWS($1:31)),))</f>
        <v>C05</v>
      </c>
      <c r="D41" s="301">
        <f ca="1">IF(ROWS($1:31)&gt;COUNT(Dong6),"",OFFSET(TH!E$1,SMALL(Dong6,ROWS($1:31)),))</f>
        <v>40630</v>
      </c>
      <c r="E41" s="351" t="str">
        <f ca="1">IF(ROWS($1:31)&gt;COUNT(Dong6),"",OFFSET(TH!F$1,SMALL(Dong6,ROWS($1:31)),))</f>
        <v>Trả tiền mượn vốn - An Lạc LA</v>
      </c>
      <c r="F41" s="352">
        <f ca="1">IF(ROWS($1:31)&gt;COUNT(Dong6),"",OFFSET(TH!I$1,SMALL(Dong6,ROWS($1:31)),))</f>
        <v>232500000</v>
      </c>
      <c r="G41" s="353" t="str">
        <f ca="1">IF(ROWS($1:31)&gt;COUNT(Dong6),"",OFFSET(TH!J$1,SMALL(Dong6,ROWS($1:31)),))</f>
        <v>3388</v>
      </c>
      <c r="H41" s="353" t="str">
        <f ca="1">IF(ROWS($1:31)&gt;COUNT(Dong6),"",OFFSET(TH!K$1,SMALL(Dong6,ROWS($1:31)),))</f>
        <v>1111</v>
      </c>
      <c r="I41" s="63">
        <f t="shared" ca="1" si="41"/>
        <v>31</v>
      </c>
      <c r="J41" s="303">
        <f t="shared" ca="1" si="1"/>
        <v>0</v>
      </c>
      <c r="K41" s="303">
        <f t="shared" ca="1" si="2"/>
        <v>232500000</v>
      </c>
      <c r="L41" s="303">
        <f t="shared" ca="1" si="3"/>
        <v>0</v>
      </c>
      <c r="M41" s="303">
        <f t="shared" ca="1" si="4"/>
        <v>0</v>
      </c>
      <c r="N41" s="303">
        <f t="shared" ca="1" si="5"/>
        <v>0</v>
      </c>
      <c r="O41" s="303">
        <f t="shared" ca="1" si="6"/>
        <v>0</v>
      </c>
      <c r="P41" s="303">
        <f t="shared" ca="1" si="7"/>
        <v>0</v>
      </c>
      <c r="Q41" s="303">
        <f t="shared" ca="1" si="8"/>
        <v>0</v>
      </c>
      <c r="R41" s="303">
        <f t="shared" ca="1" si="39"/>
        <v>0</v>
      </c>
      <c r="S41" s="303">
        <f t="shared" ca="1" si="40"/>
        <v>0</v>
      </c>
      <c r="T41" s="303">
        <f t="shared" ca="1" si="9"/>
        <v>0</v>
      </c>
      <c r="U41" s="303">
        <f t="shared" ca="1" si="10"/>
        <v>0</v>
      </c>
      <c r="V41" s="303">
        <f t="shared" ca="1" si="11"/>
        <v>0</v>
      </c>
      <c r="W41" s="303">
        <f t="shared" ca="1" si="12"/>
        <v>0</v>
      </c>
      <c r="X41" s="303">
        <f t="shared" ca="1" si="13"/>
        <v>0</v>
      </c>
      <c r="Y41" s="303">
        <f t="shared" ca="1" si="14"/>
        <v>0</v>
      </c>
      <c r="Z41" s="303">
        <f t="shared" ca="1" si="15"/>
        <v>232500000</v>
      </c>
      <c r="AA41" s="303">
        <f t="shared" ca="1" si="16"/>
        <v>0</v>
      </c>
      <c r="AB41" s="303">
        <f t="shared" ca="1" si="17"/>
        <v>0</v>
      </c>
      <c r="AC41" s="303">
        <f t="shared" ca="1" si="18"/>
        <v>0</v>
      </c>
      <c r="AD41" s="303">
        <f t="shared" ca="1" si="19"/>
        <v>0</v>
      </c>
      <c r="AE41" s="303">
        <f t="shared" ca="1" si="20"/>
        <v>0</v>
      </c>
      <c r="AF41" s="303">
        <f t="shared" ca="1" si="21"/>
        <v>0</v>
      </c>
      <c r="AG41" s="303">
        <f t="shared" ca="1" si="22"/>
        <v>0</v>
      </c>
      <c r="AH41" s="303">
        <f t="shared" ca="1" si="23"/>
        <v>0</v>
      </c>
      <c r="AI41" s="303">
        <f t="shared" ca="1" si="24"/>
        <v>0</v>
      </c>
      <c r="AJ41" s="303">
        <f t="shared" ca="1" si="25"/>
        <v>0</v>
      </c>
      <c r="AK41" s="303">
        <f t="shared" ca="1" si="26"/>
        <v>0</v>
      </c>
      <c r="AL41" s="303">
        <f t="shared" ca="1" si="27"/>
        <v>0</v>
      </c>
      <c r="AM41" s="303">
        <f t="shared" ca="1" si="28"/>
        <v>0</v>
      </c>
      <c r="AN41" s="303">
        <f t="shared" ca="1" si="29"/>
        <v>0</v>
      </c>
      <c r="AO41" s="303">
        <f t="shared" ca="1" si="30"/>
        <v>0</v>
      </c>
      <c r="AP41" s="303">
        <f t="shared" ca="1" si="31"/>
        <v>0</v>
      </c>
      <c r="AQ41" s="303">
        <f t="shared" ca="1" si="32"/>
        <v>0</v>
      </c>
      <c r="AR41" s="303">
        <f t="shared" ca="1" si="33"/>
        <v>0</v>
      </c>
      <c r="AS41" s="303">
        <f t="shared" ca="1" si="34"/>
        <v>0</v>
      </c>
      <c r="AT41" s="303">
        <f t="shared" ca="1" si="35"/>
        <v>0</v>
      </c>
      <c r="AU41" s="303">
        <f t="shared" ca="1" si="36"/>
        <v>0</v>
      </c>
      <c r="AV41" s="303">
        <f t="shared" ca="1" si="37"/>
        <v>0</v>
      </c>
      <c r="AW41" s="303">
        <f t="shared" ca="1" si="38"/>
        <v>0</v>
      </c>
    </row>
    <row r="42" spans="1:49" s="300" customFormat="1" ht="12.75" customHeight="1">
      <c r="A42" s="63">
        <f t="array" aca="1" ref="A42" ca="1">IF(C42&lt;&gt;0,SUM(($C$11:C42&lt;&gt;0)*1),"")</f>
        <v>32</v>
      </c>
      <c r="B42" s="301">
        <f ca="1">IF(ROWS($1:32)&gt;COUNT(Dong6),"",OFFSET(TH!C$1,SMALL(Dong6,ROWS($1:32)),))</f>
        <v>40623</v>
      </c>
      <c r="C42" s="301" t="str">
        <f ca="1">IF(ROWS($1:32)&gt;COUNT(Dong6),"",OFFSET(TH!D$1,SMALL(Dong6,ROWS($1:32)),))</f>
        <v>GBC</v>
      </c>
      <c r="D42" s="301">
        <f ca="1">IF(ROWS($1:32)&gt;COUNT(Dong6),"",OFFSET(TH!E$1,SMALL(Dong6,ROWS($1:32)),))</f>
        <v>40623</v>
      </c>
      <c r="E42" s="351" t="str">
        <f ca="1">IF(ROWS($1:32)&gt;COUNT(Dong6),"",OFFSET(TH!F$1,SMALL(Dong6,ROWS($1:32)),))</f>
        <v>An Lạc LA- Mượn vốn</v>
      </c>
      <c r="F42" s="352">
        <f ca="1">IF(ROWS($1:32)&gt;COUNT(Dong6),"",OFFSET(TH!I$1,SMALL(Dong6,ROWS($1:32)),))</f>
        <v>232500000</v>
      </c>
      <c r="G42" s="353" t="str">
        <f ca="1">IF(ROWS($1:32)&gt;COUNT(Dong6),"",OFFSET(TH!J$1,SMALL(Dong6,ROWS($1:32)),))</f>
        <v>1121</v>
      </c>
      <c r="H42" s="353" t="str">
        <f ca="1">IF(ROWS($1:32)&gt;COUNT(Dong6),"",OFFSET(TH!K$1,SMALL(Dong6,ROWS($1:32)),))</f>
        <v>3388</v>
      </c>
      <c r="I42" s="63">
        <f t="shared" ca="1" si="41"/>
        <v>32</v>
      </c>
      <c r="J42" s="303">
        <f t="shared" ca="1" si="1"/>
        <v>0</v>
      </c>
      <c r="K42" s="303">
        <f t="shared" ca="1" si="2"/>
        <v>0</v>
      </c>
      <c r="L42" s="303">
        <f t="shared" ca="1" si="3"/>
        <v>232500000</v>
      </c>
      <c r="M42" s="303">
        <f t="shared" ca="1" si="4"/>
        <v>0</v>
      </c>
      <c r="N42" s="303">
        <f t="shared" ca="1" si="5"/>
        <v>0</v>
      </c>
      <c r="O42" s="303">
        <f t="shared" ca="1" si="6"/>
        <v>0</v>
      </c>
      <c r="P42" s="303">
        <f t="shared" ca="1" si="7"/>
        <v>0</v>
      </c>
      <c r="Q42" s="303">
        <f t="shared" ca="1" si="8"/>
        <v>0</v>
      </c>
      <c r="R42" s="303">
        <f t="shared" ca="1" si="39"/>
        <v>0</v>
      </c>
      <c r="S42" s="303">
        <f t="shared" ca="1" si="40"/>
        <v>0</v>
      </c>
      <c r="T42" s="303">
        <f t="shared" ca="1" si="9"/>
        <v>0</v>
      </c>
      <c r="U42" s="303">
        <f t="shared" ca="1" si="10"/>
        <v>0</v>
      </c>
      <c r="V42" s="303">
        <f t="shared" ca="1" si="11"/>
        <v>0</v>
      </c>
      <c r="W42" s="303">
        <f t="shared" ca="1" si="12"/>
        <v>0</v>
      </c>
      <c r="X42" s="303">
        <f t="shared" ca="1" si="13"/>
        <v>0</v>
      </c>
      <c r="Y42" s="303">
        <f t="shared" ca="1" si="14"/>
        <v>0</v>
      </c>
      <c r="Z42" s="303">
        <f t="shared" ca="1" si="15"/>
        <v>0</v>
      </c>
      <c r="AA42" s="303">
        <f t="shared" ca="1" si="16"/>
        <v>232500000</v>
      </c>
      <c r="AB42" s="303">
        <f t="shared" ca="1" si="17"/>
        <v>0</v>
      </c>
      <c r="AC42" s="303">
        <f t="shared" ca="1" si="18"/>
        <v>0</v>
      </c>
      <c r="AD42" s="303">
        <f t="shared" ca="1" si="19"/>
        <v>0</v>
      </c>
      <c r="AE42" s="303">
        <f t="shared" ca="1" si="20"/>
        <v>0</v>
      </c>
      <c r="AF42" s="303">
        <f t="shared" ca="1" si="21"/>
        <v>0</v>
      </c>
      <c r="AG42" s="303">
        <f t="shared" ca="1" si="22"/>
        <v>0</v>
      </c>
      <c r="AH42" s="303">
        <f t="shared" ca="1" si="23"/>
        <v>0</v>
      </c>
      <c r="AI42" s="303">
        <f t="shared" ca="1" si="24"/>
        <v>0</v>
      </c>
      <c r="AJ42" s="303">
        <f t="shared" ca="1" si="25"/>
        <v>0</v>
      </c>
      <c r="AK42" s="303">
        <f t="shared" ca="1" si="26"/>
        <v>0</v>
      </c>
      <c r="AL42" s="303">
        <f t="shared" ca="1" si="27"/>
        <v>0</v>
      </c>
      <c r="AM42" s="303">
        <f t="shared" ca="1" si="28"/>
        <v>0</v>
      </c>
      <c r="AN42" s="303">
        <f t="shared" ca="1" si="29"/>
        <v>0</v>
      </c>
      <c r="AO42" s="303">
        <f t="shared" ca="1" si="30"/>
        <v>0</v>
      </c>
      <c r="AP42" s="303">
        <f t="shared" ca="1" si="31"/>
        <v>0</v>
      </c>
      <c r="AQ42" s="303">
        <f t="shared" ca="1" si="32"/>
        <v>0</v>
      </c>
      <c r="AR42" s="303">
        <f t="shared" ca="1" si="33"/>
        <v>0</v>
      </c>
      <c r="AS42" s="303">
        <f t="shared" ca="1" si="34"/>
        <v>0</v>
      </c>
      <c r="AT42" s="303">
        <f t="shared" ca="1" si="35"/>
        <v>0</v>
      </c>
      <c r="AU42" s="303">
        <f t="shared" ca="1" si="36"/>
        <v>0</v>
      </c>
      <c r="AV42" s="303">
        <f t="shared" ca="1" si="37"/>
        <v>0</v>
      </c>
      <c r="AW42" s="303">
        <f t="shared" ca="1" si="38"/>
        <v>0</v>
      </c>
    </row>
    <row r="43" spans="1:49" s="300" customFormat="1" ht="12.75" customHeight="1">
      <c r="A43" s="63">
        <f t="array" aca="1" ref="A43" ca="1">IF(C43&lt;&gt;0,SUM(($C$11:C43&lt;&gt;0)*1),"")</f>
        <v>33</v>
      </c>
      <c r="B43" s="301">
        <f ca="1">IF(ROWS($1:33)&gt;COUNT(Dong6),"",OFFSET(TH!C$1,SMALL(Dong6,ROWS($1:33)),))</f>
        <v>40623</v>
      </c>
      <c r="C43" s="301" t="str">
        <f ca="1">IF(ROWS($1:33)&gt;COUNT(Dong6),"",OFFSET(TH!D$1,SMALL(Dong6,ROWS($1:33)),))</f>
        <v>GBN</v>
      </c>
      <c r="D43" s="301">
        <f ca="1">IF(ROWS($1:33)&gt;COUNT(Dong6),"",OFFSET(TH!E$1,SMALL(Dong6,ROWS($1:33)),))</f>
        <v>40623</v>
      </c>
      <c r="E43" s="351" t="str">
        <f ca="1">IF(ROWS($1:33)&gt;COUNT(Dong6),"",OFFSET(TH!F$1,SMALL(Dong6,ROWS($1:33)),))</f>
        <v>Thanh toán tiền xây dựng - Khánh Trân</v>
      </c>
      <c r="F43" s="352">
        <f ca="1">IF(ROWS($1:33)&gt;COUNT(Dong6),"",OFFSET(TH!I$1,SMALL(Dong6,ROWS($1:33)),))</f>
        <v>200000000</v>
      </c>
      <c r="G43" s="353" t="str">
        <f ca="1">IF(ROWS($1:33)&gt;COUNT(Dong6),"",OFFSET(TH!J$1,SMALL(Dong6,ROWS($1:33)),))</f>
        <v>331</v>
      </c>
      <c r="H43" s="353" t="str">
        <f ca="1">IF(ROWS($1:33)&gt;COUNT(Dong6),"",OFFSET(TH!K$1,SMALL(Dong6,ROWS($1:33)),))</f>
        <v>1121</v>
      </c>
      <c r="I43" s="63">
        <f t="shared" ca="1" si="41"/>
        <v>33</v>
      </c>
      <c r="J43" s="303">
        <f t="shared" ca="1" si="1"/>
        <v>0</v>
      </c>
      <c r="K43" s="303">
        <f t="shared" ca="1" si="2"/>
        <v>0</v>
      </c>
      <c r="L43" s="303">
        <f t="shared" ca="1" si="3"/>
        <v>0</v>
      </c>
      <c r="M43" s="303">
        <f t="shared" ca="1" si="4"/>
        <v>200000000</v>
      </c>
      <c r="N43" s="303">
        <f t="shared" ca="1" si="5"/>
        <v>0</v>
      </c>
      <c r="O43" s="303">
        <f t="shared" ca="1" si="6"/>
        <v>0</v>
      </c>
      <c r="P43" s="303">
        <f t="shared" ca="1" si="7"/>
        <v>0</v>
      </c>
      <c r="Q43" s="303">
        <f t="shared" ca="1" si="8"/>
        <v>0</v>
      </c>
      <c r="R43" s="303">
        <f t="shared" ca="1" si="39"/>
        <v>0</v>
      </c>
      <c r="S43" s="303">
        <f t="shared" ca="1" si="40"/>
        <v>0</v>
      </c>
      <c r="T43" s="303">
        <f t="shared" ca="1" si="9"/>
        <v>200000000</v>
      </c>
      <c r="U43" s="303">
        <f t="shared" ca="1" si="10"/>
        <v>0</v>
      </c>
      <c r="V43" s="303">
        <f t="shared" ca="1" si="11"/>
        <v>0</v>
      </c>
      <c r="W43" s="303">
        <f t="shared" ca="1" si="12"/>
        <v>0</v>
      </c>
      <c r="X43" s="303">
        <f t="shared" ca="1" si="13"/>
        <v>0</v>
      </c>
      <c r="Y43" s="303">
        <f t="shared" ca="1" si="14"/>
        <v>0</v>
      </c>
      <c r="Z43" s="303">
        <f t="shared" ca="1" si="15"/>
        <v>0</v>
      </c>
      <c r="AA43" s="303">
        <f t="shared" ca="1" si="16"/>
        <v>0</v>
      </c>
      <c r="AB43" s="303">
        <f t="shared" ca="1" si="17"/>
        <v>0</v>
      </c>
      <c r="AC43" s="303">
        <f t="shared" ca="1" si="18"/>
        <v>0</v>
      </c>
      <c r="AD43" s="303">
        <f t="shared" ca="1" si="19"/>
        <v>0</v>
      </c>
      <c r="AE43" s="303">
        <f t="shared" ca="1" si="20"/>
        <v>0</v>
      </c>
      <c r="AF43" s="303">
        <f t="shared" ca="1" si="21"/>
        <v>0</v>
      </c>
      <c r="AG43" s="303">
        <f t="shared" ca="1" si="22"/>
        <v>0</v>
      </c>
      <c r="AH43" s="303">
        <f t="shared" ca="1" si="23"/>
        <v>0</v>
      </c>
      <c r="AI43" s="303">
        <f t="shared" ca="1" si="24"/>
        <v>0</v>
      </c>
      <c r="AJ43" s="303">
        <f t="shared" ca="1" si="25"/>
        <v>0</v>
      </c>
      <c r="AK43" s="303">
        <f t="shared" ca="1" si="26"/>
        <v>0</v>
      </c>
      <c r="AL43" s="303">
        <f t="shared" ca="1" si="27"/>
        <v>0</v>
      </c>
      <c r="AM43" s="303">
        <f t="shared" ca="1" si="28"/>
        <v>0</v>
      </c>
      <c r="AN43" s="303">
        <f t="shared" ca="1" si="29"/>
        <v>0</v>
      </c>
      <c r="AO43" s="303">
        <f t="shared" ca="1" si="30"/>
        <v>0</v>
      </c>
      <c r="AP43" s="303">
        <f t="shared" ca="1" si="31"/>
        <v>0</v>
      </c>
      <c r="AQ43" s="303">
        <f t="shared" ca="1" si="32"/>
        <v>0</v>
      </c>
      <c r="AR43" s="303">
        <f t="shared" ca="1" si="33"/>
        <v>0</v>
      </c>
      <c r="AS43" s="303">
        <f t="shared" ca="1" si="34"/>
        <v>0</v>
      </c>
      <c r="AT43" s="303">
        <f t="shared" ca="1" si="35"/>
        <v>0</v>
      </c>
      <c r="AU43" s="303">
        <f t="shared" ca="1" si="36"/>
        <v>0</v>
      </c>
      <c r="AV43" s="303">
        <f t="shared" ca="1" si="37"/>
        <v>0</v>
      </c>
      <c r="AW43" s="303">
        <f t="shared" ca="1" si="38"/>
        <v>0</v>
      </c>
    </row>
    <row r="44" spans="1:49" s="300" customFormat="1" ht="12.75" customHeight="1">
      <c r="A44" s="63">
        <f t="array" aca="1" ref="A44" ca="1">IF(C44&lt;&gt;0,SUM(($C$11:C44&lt;&gt;0)*1),"")</f>
        <v>34</v>
      </c>
      <c r="B44" s="301">
        <f ca="1">IF(ROWS($1:34)&gt;COUNT(Dong6),"",OFFSET(TH!C$1,SMALL(Dong6,ROWS($1:34)),))</f>
        <v>40623</v>
      </c>
      <c r="C44" s="301" t="str">
        <f ca="1">IF(ROWS($1:34)&gt;COUNT(Dong6),"",OFFSET(TH!D$1,SMALL(Dong6,ROWS($1:34)),))</f>
        <v>GBN</v>
      </c>
      <c r="D44" s="301">
        <f ca="1">IF(ROWS($1:34)&gt;COUNT(Dong6),"",OFFSET(TH!E$1,SMALL(Dong6,ROWS($1:34)),))</f>
        <v>40623</v>
      </c>
      <c r="E44" s="351" t="str">
        <f ca="1">IF(ROWS($1:34)&gt;COUNT(Dong6),"",OFFSET(TH!F$1,SMALL(Dong6,ROWS($1:34)),))</f>
        <v xml:space="preserve">Phí chuyển tiền </v>
      </c>
      <c r="F44" s="352">
        <f ca="1">IF(ROWS($1:34)&gt;COUNT(Dong6),"",OFFSET(TH!I$1,SMALL(Dong6,ROWS($1:34)),))</f>
        <v>100000</v>
      </c>
      <c r="G44" s="353" t="str">
        <f ca="1">IF(ROWS($1:34)&gt;COUNT(Dong6),"",OFFSET(TH!J$1,SMALL(Dong6,ROWS($1:34)),))</f>
        <v>642</v>
      </c>
      <c r="H44" s="353" t="str">
        <f ca="1">IF(ROWS($1:34)&gt;COUNT(Dong6),"",OFFSET(TH!K$1,SMALL(Dong6,ROWS($1:34)),))</f>
        <v>1121</v>
      </c>
      <c r="I44" s="63">
        <f t="shared" ca="1" si="41"/>
        <v>34</v>
      </c>
      <c r="J44" s="303">
        <f t="shared" ca="1" si="1"/>
        <v>0</v>
      </c>
      <c r="K44" s="303">
        <f t="shared" ca="1" si="2"/>
        <v>0</v>
      </c>
      <c r="L44" s="303">
        <f t="shared" ca="1" si="3"/>
        <v>0</v>
      </c>
      <c r="M44" s="303">
        <f t="shared" ca="1" si="4"/>
        <v>100000</v>
      </c>
      <c r="N44" s="303">
        <f t="shared" ca="1" si="5"/>
        <v>0</v>
      </c>
      <c r="O44" s="303">
        <f t="shared" ca="1" si="6"/>
        <v>0</v>
      </c>
      <c r="P44" s="303">
        <f t="shared" ca="1" si="7"/>
        <v>0</v>
      </c>
      <c r="Q44" s="303">
        <f t="shared" ca="1" si="8"/>
        <v>0</v>
      </c>
      <c r="R44" s="303">
        <f t="shared" ca="1" si="39"/>
        <v>0</v>
      </c>
      <c r="S44" s="303">
        <f t="shared" ca="1" si="40"/>
        <v>0</v>
      </c>
      <c r="T44" s="303">
        <f t="shared" ca="1" si="9"/>
        <v>0</v>
      </c>
      <c r="U44" s="303">
        <f t="shared" ca="1" si="10"/>
        <v>0</v>
      </c>
      <c r="V44" s="303">
        <f t="shared" ca="1" si="11"/>
        <v>0</v>
      </c>
      <c r="W44" s="303">
        <f t="shared" ca="1" si="12"/>
        <v>0</v>
      </c>
      <c r="X44" s="303">
        <f t="shared" ca="1" si="13"/>
        <v>0</v>
      </c>
      <c r="Y44" s="303">
        <f t="shared" ca="1" si="14"/>
        <v>0</v>
      </c>
      <c r="Z44" s="303">
        <f t="shared" ca="1" si="15"/>
        <v>0</v>
      </c>
      <c r="AA44" s="303">
        <f t="shared" ca="1" si="16"/>
        <v>0</v>
      </c>
      <c r="AB44" s="303">
        <f t="shared" ca="1" si="17"/>
        <v>0</v>
      </c>
      <c r="AC44" s="303">
        <f t="shared" ca="1" si="18"/>
        <v>0</v>
      </c>
      <c r="AD44" s="303">
        <f t="shared" ca="1" si="19"/>
        <v>0</v>
      </c>
      <c r="AE44" s="303">
        <f t="shared" ca="1" si="20"/>
        <v>0</v>
      </c>
      <c r="AF44" s="303">
        <f t="shared" ca="1" si="21"/>
        <v>0</v>
      </c>
      <c r="AG44" s="303">
        <f t="shared" ca="1" si="22"/>
        <v>0</v>
      </c>
      <c r="AH44" s="303">
        <f t="shared" ca="1" si="23"/>
        <v>0</v>
      </c>
      <c r="AI44" s="303">
        <f t="shared" ca="1" si="24"/>
        <v>0</v>
      </c>
      <c r="AJ44" s="303">
        <f t="shared" ca="1" si="25"/>
        <v>0</v>
      </c>
      <c r="AK44" s="303">
        <f t="shared" ca="1" si="26"/>
        <v>0</v>
      </c>
      <c r="AL44" s="303">
        <f t="shared" ca="1" si="27"/>
        <v>0</v>
      </c>
      <c r="AM44" s="303">
        <f t="shared" ca="1" si="28"/>
        <v>0</v>
      </c>
      <c r="AN44" s="303">
        <f t="shared" ca="1" si="29"/>
        <v>100000</v>
      </c>
      <c r="AO44" s="303">
        <f t="shared" ca="1" si="30"/>
        <v>0</v>
      </c>
      <c r="AP44" s="303">
        <f t="shared" ca="1" si="31"/>
        <v>0</v>
      </c>
      <c r="AQ44" s="303">
        <f t="shared" ca="1" si="32"/>
        <v>0</v>
      </c>
      <c r="AR44" s="303">
        <f t="shared" ca="1" si="33"/>
        <v>0</v>
      </c>
      <c r="AS44" s="303">
        <f t="shared" ca="1" si="34"/>
        <v>0</v>
      </c>
      <c r="AT44" s="303">
        <f t="shared" ca="1" si="35"/>
        <v>0</v>
      </c>
      <c r="AU44" s="303">
        <f t="shared" ca="1" si="36"/>
        <v>0</v>
      </c>
      <c r="AV44" s="303">
        <f t="shared" ca="1" si="37"/>
        <v>0</v>
      </c>
      <c r="AW44" s="303">
        <f t="shared" ca="1" si="38"/>
        <v>0</v>
      </c>
    </row>
    <row r="45" spans="1:49" s="300" customFormat="1" ht="12.75" customHeight="1">
      <c r="A45" s="63">
        <f t="array" aca="1" ref="A45" ca="1">IF(C45&lt;&gt;0,SUM(($C$11:C45&lt;&gt;0)*1),"")</f>
        <v>35</v>
      </c>
      <c r="B45" s="301">
        <f ca="1">IF(ROWS($1:35)&gt;COUNT(Dong6),"",OFFSET(TH!C$1,SMALL(Dong6,ROWS($1:35)),))</f>
        <v>40623</v>
      </c>
      <c r="C45" s="301" t="str">
        <f ca="1">IF(ROWS($1:35)&gt;COUNT(Dong6),"",OFFSET(TH!D$1,SMALL(Dong6,ROWS($1:35)),))</f>
        <v>GBN</v>
      </c>
      <c r="D45" s="301">
        <f ca="1">IF(ROWS($1:35)&gt;COUNT(Dong6),"",OFFSET(TH!E$1,SMALL(Dong6,ROWS($1:35)),))</f>
        <v>40623</v>
      </c>
      <c r="E45" s="351" t="str">
        <f ca="1">IF(ROWS($1:35)&gt;COUNT(Dong6),"",OFFSET(TH!F$1,SMALL(Dong6,ROWS($1:35)),))</f>
        <v xml:space="preserve">GTGT Phí chuyển tiền </v>
      </c>
      <c r="F45" s="352">
        <f ca="1">IF(ROWS($1:35)&gt;COUNT(Dong6),"",OFFSET(TH!I$1,SMALL(Dong6,ROWS($1:35)),))</f>
        <v>10000</v>
      </c>
      <c r="G45" s="353" t="str">
        <f ca="1">IF(ROWS($1:35)&gt;COUNT(Dong6),"",OFFSET(TH!J$1,SMALL(Dong6,ROWS($1:35)),))</f>
        <v>642</v>
      </c>
      <c r="H45" s="353" t="str">
        <f ca="1">IF(ROWS($1:35)&gt;COUNT(Dong6),"",OFFSET(TH!K$1,SMALL(Dong6,ROWS($1:35)),))</f>
        <v>1121</v>
      </c>
      <c r="I45" s="63">
        <f t="shared" ca="1" si="41"/>
        <v>35</v>
      </c>
      <c r="J45" s="303">
        <f t="shared" ca="1" si="1"/>
        <v>0</v>
      </c>
      <c r="K45" s="303">
        <f t="shared" ca="1" si="2"/>
        <v>0</v>
      </c>
      <c r="L45" s="303">
        <f t="shared" ca="1" si="3"/>
        <v>0</v>
      </c>
      <c r="M45" s="303">
        <f t="shared" ca="1" si="4"/>
        <v>10000</v>
      </c>
      <c r="N45" s="303">
        <f t="shared" ca="1" si="5"/>
        <v>0</v>
      </c>
      <c r="O45" s="303">
        <f t="shared" ca="1" si="6"/>
        <v>0</v>
      </c>
      <c r="P45" s="303">
        <f t="shared" ca="1" si="7"/>
        <v>0</v>
      </c>
      <c r="Q45" s="303">
        <f t="shared" ca="1" si="8"/>
        <v>0</v>
      </c>
      <c r="R45" s="303">
        <f t="shared" ca="1" si="39"/>
        <v>0</v>
      </c>
      <c r="S45" s="303">
        <f t="shared" ca="1" si="40"/>
        <v>0</v>
      </c>
      <c r="T45" s="303">
        <f t="shared" ca="1" si="9"/>
        <v>0</v>
      </c>
      <c r="U45" s="303">
        <f t="shared" ca="1" si="10"/>
        <v>0</v>
      </c>
      <c r="V45" s="303">
        <f t="shared" ca="1" si="11"/>
        <v>0</v>
      </c>
      <c r="W45" s="303">
        <f t="shared" ca="1" si="12"/>
        <v>0</v>
      </c>
      <c r="X45" s="303">
        <f t="shared" ca="1" si="13"/>
        <v>0</v>
      </c>
      <c r="Y45" s="303">
        <f t="shared" ca="1" si="14"/>
        <v>0</v>
      </c>
      <c r="Z45" s="303">
        <f t="shared" ca="1" si="15"/>
        <v>0</v>
      </c>
      <c r="AA45" s="303">
        <f t="shared" ca="1" si="16"/>
        <v>0</v>
      </c>
      <c r="AB45" s="303">
        <f t="shared" ca="1" si="17"/>
        <v>0</v>
      </c>
      <c r="AC45" s="303">
        <f t="shared" ca="1" si="18"/>
        <v>0</v>
      </c>
      <c r="AD45" s="303">
        <f t="shared" ca="1" si="19"/>
        <v>0</v>
      </c>
      <c r="AE45" s="303">
        <f t="shared" ca="1" si="20"/>
        <v>0</v>
      </c>
      <c r="AF45" s="303">
        <f t="shared" ca="1" si="21"/>
        <v>0</v>
      </c>
      <c r="AG45" s="303">
        <f t="shared" ca="1" si="22"/>
        <v>0</v>
      </c>
      <c r="AH45" s="303">
        <f t="shared" ca="1" si="23"/>
        <v>0</v>
      </c>
      <c r="AI45" s="303">
        <f t="shared" ca="1" si="24"/>
        <v>0</v>
      </c>
      <c r="AJ45" s="303">
        <f t="shared" ca="1" si="25"/>
        <v>0</v>
      </c>
      <c r="AK45" s="303">
        <f t="shared" ca="1" si="26"/>
        <v>0</v>
      </c>
      <c r="AL45" s="303">
        <f t="shared" ca="1" si="27"/>
        <v>0</v>
      </c>
      <c r="AM45" s="303">
        <f t="shared" ca="1" si="28"/>
        <v>0</v>
      </c>
      <c r="AN45" s="303">
        <f t="shared" ca="1" si="29"/>
        <v>10000</v>
      </c>
      <c r="AO45" s="303">
        <f t="shared" ca="1" si="30"/>
        <v>0</v>
      </c>
      <c r="AP45" s="303">
        <f t="shared" ca="1" si="31"/>
        <v>0</v>
      </c>
      <c r="AQ45" s="303">
        <f t="shared" ca="1" si="32"/>
        <v>0</v>
      </c>
      <c r="AR45" s="303">
        <f t="shared" ca="1" si="33"/>
        <v>0</v>
      </c>
      <c r="AS45" s="303">
        <f t="shared" ca="1" si="34"/>
        <v>0</v>
      </c>
      <c r="AT45" s="303">
        <f t="shared" ca="1" si="35"/>
        <v>0</v>
      </c>
      <c r="AU45" s="303">
        <f t="shared" ca="1" si="36"/>
        <v>0</v>
      </c>
      <c r="AV45" s="303">
        <f t="shared" ca="1" si="37"/>
        <v>0</v>
      </c>
      <c r="AW45" s="303">
        <f t="shared" ca="1" si="38"/>
        <v>0</v>
      </c>
    </row>
    <row r="46" spans="1:49" s="300" customFormat="1" ht="12.75" customHeight="1">
      <c r="A46" s="63">
        <f t="array" aca="1" ref="A46" ca="1">IF(C46&lt;&gt;0,SUM(($C$11:C46&lt;&gt;0)*1),"")</f>
        <v>36</v>
      </c>
      <c r="B46" s="301">
        <f ca="1">IF(ROWS($1:36)&gt;COUNT(Dong6),"",OFFSET(TH!C$1,SMALL(Dong6,ROWS($1:36)),))</f>
        <v>40623</v>
      </c>
      <c r="C46" s="301" t="str">
        <f ca="1">IF(ROWS($1:36)&gt;COUNT(Dong6),"",OFFSET(TH!D$1,SMALL(Dong6,ROWS($1:36)),))</f>
        <v>GBN</v>
      </c>
      <c r="D46" s="301">
        <f ca="1">IF(ROWS($1:36)&gt;COUNT(Dong6),"",OFFSET(TH!E$1,SMALL(Dong6,ROWS($1:36)),))</f>
        <v>40623</v>
      </c>
      <c r="E46" s="351" t="str">
        <f ca="1">IF(ROWS($1:36)&gt;COUNT(Dong6),"",OFFSET(TH!F$1,SMALL(Dong6,ROWS($1:36)),))</f>
        <v>Thanh toán Thuê quyền SDĐ - KCN Long Đức 15/9/10-15/9/11</v>
      </c>
      <c r="F46" s="352">
        <f ca="1">IF(ROWS($1:36)&gt;COUNT(Dong6),"",OFFSET(TH!I$1,SMALL(Dong6,ROWS($1:36)),))</f>
        <v>32288666</v>
      </c>
      <c r="G46" s="353" t="str">
        <f ca="1">IF(ROWS($1:36)&gt;COUNT(Dong6),"",OFFSET(TH!J$1,SMALL(Dong6,ROWS($1:36)),))</f>
        <v>331</v>
      </c>
      <c r="H46" s="353" t="str">
        <f ca="1">IF(ROWS($1:36)&gt;COUNT(Dong6),"",OFFSET(TH!K$1,SMALL(Dong6,ROWS($1:36)),))</f>
        <v>1121</v>
      </c>
      <c r="I46" s="63">
        <f t="shared" ca="1" si="41"/>
        <v>36</v>
      </c>
      <c r="J46" s="303">
        <f t="shared" ca="1" si="1"/>
        <v>0</v>
      </c>
      <c r="K46" s="303">
        <f t="shared" ca="1" si="2"/>
        <v>0</v>
      </c>
      <c r="L46" s="303">
        <f t="shared" ca="1" si="3"/>
        <v>0</v>
      </c>
      <c r="M46" s="303">
        <f t="shared" ca="1" si="4"/>
        <v>32288666</v>
      </c>
      <c r="N46" s="303">
        <f t="shared" ca="1" si="5"/>
        <v>0</v>
      </c>
      <c r="O46" s="303">
        <f t="shared" ca="1" si="6"/>
        <v>0</v>
      </c>
      <c r="P46" s="303">
        <f t="shared" ca="1" si="7"/>
        <v>0</v>
      </c>
      <c r="Q46" s="303">
        <f t="shared" ca="1" si="8"/>
        <v>0</v>
      </c>
      <c r="R46" s="303">
        <f t="shared" ca="1" si="39"/>
        <v>0</v>
      </c>
      <c r="S46" s="303">
        <f t="shared" ca="1" si="40"/>
        <v>0</v>
      </c>
      <c r="T46" s="303">
        <f t="shared" ca="1" si="9"/>
        <v>32288666</v>
      </c>
      <c r="U46" s="303">
        <f t="shared" ca="1" si="10"/>
        <v>0</v>
      </c>
      <c r="V46" s="303">
        <f t="shared" ca="1" si="11"/>
        <v>0</v>
      </c>
      <c r="W46" s="303">
        <f t="shared" ca="1" si="12"/>
        <v>0</v>
      </c>
      <c r="X46" s="303">
        <f t="shared" ca="1" si="13"/>
        <v>0</v>
      </c>
      <c r="Y46" s="303">
        <f t="shared" ca="1" si="14"/>
        <v>0</v>
      </c>
      <c r="Z46" s="303">
        <f t="shared" ca="1" si="15"/>
        <v>0</v>
      </c>
      <c r="AA46" s="303">
        <f t="shared" ca="1" si="16"/>
        <v>0</v>
      </c>
      <c r="AB46" s="303">
        <f t="shared" ca="1" si="17"/>
        <v>0</v>
      </c>
      <c r="AC46" s="303">
        <f t="shared" ca="1" si="18"/>
        <v>0</v>
      </c>
      <c r="AD46" s="303">
        <f t="shared" ca="1" si="19"/>
        <v>0</v>
      </c>
      <c r="AE46" s="303">
        <f t="shared" ca="1" si="20"/>
        <v>0</v>
      </c>
      <c r="AF46" s="303">
        <f t="shared" ca="1" si="21"/>
        <v>0</v>
      </c>
      <c r="AG46" s="303">
        <f t="shared" ca="1" si="22"/>
        <v>0</v>
      </c>
      <c r="AH46" s="303">
        <f t="shared" ca="1" si="23"/>
        <v>0</v>
      </c>
      <c r="AI46" s="303">
        <f t="shared" ca="1" si="24"/>
        <v>0</v>
      </c>
      <c r="AJ46" s="303">
        <f t="shared" ca="1" si="25"/>
        <v>0</v>
      </c>
      <c r="AK46" s="303">
        <f t="shared" ca="1" si="26"/>
        <v>0</v>
      </c>
      <c r="AL46" s="303">
        <f t="shared" ca="1" si="27"/>
        <v>0</v>
      </c>
      <c r="AM46" s="303">
        <f t="shared" ca="1" si="28"/>
        <v>0</v>
      </c>
      <c r="AN46" s="303">
        <f t="shared" ca="1" si="29"/>
        <v>0</v>
      </c>
      <c r="AO46" s="303">
        <f t="shared" ca="1" si="30"/>
        <v>0</v>
      </c>
      <c r="AP46" s="303">
        <f t="shared" ca="1" si="31"/>
        <v>0</v>
      </c>
      <c r="AQ46" s="303">
        <f t="shared" ca="1" si="32"/>
        <v>0</v>
      </c>
      <c r="AR46" s="303">
        <f t="shared" ca="1" si="33"/>
        <v>0</v>
      </c>
      <c r="AS46" s="303">
        <f t="shared" ca="1" si="34"/>
        <v>0</v>
      </c>
      <c r="AT46" s="303">
        <f t="shared" ca="1" si="35"/>
        <v>0</v>
      </c>
      <c r="AU46" s="303">
        <f t="shared" ca="1" si="36"/>
        <v>0</v>
      </c>
      <c r="AV46" s="303">
        <f t="shared" ca="1" si="37"/>
        <v>0</v>
      </c>
      <c r="AW46" s="303">
        <f t="shared" ca="1" si="38"/>
        <v>0</v>
      </c>
    </row>
    <row r="47" spans="1:49" s="300" customFormat="1" ht="12.75" customHeight="1">
      <c r="A47" s="63">
        <f t="array" aca="1" ref="A47" ca="1">IF(C47&lt;&gt;0,SUM(($C$11:C47&lt;&gt;0)*1),"")</f>
        <v>37</v>
      </c>
      <c r="B47" s="301">
        <f ca="1">IF(ROWS($1:37)&gt;COUNT(Dong6),"",OFFSET(TH!C$1,SMALL(Dong6,ROWS($1:37)),))</f>
        <v>40623</v>
      </c>
      <c r="C47" s="301" t="str">
        <f ca="1">IF(ROWS($1:37)&gt;COUNT(Dong6),"",OFFSET(TH!D$1,SMALL(Dong6,ROWS($1:37)),))</f>
        <v>GBN</v>
      </c>
      <c r="D47" s="301">
        <f ca="1">IF(ROWS($1:37)&gt;COUNT(Dong6),"",OFFSET(TH!E$1,SMALL(Dong6,ROWS($1:37)),))</f>
        <v>40623</v>
      </c>
      <c r="E47" s="351" t="str">
        <f ca="1">IF(ROWS($1:37)&gt;COUNT(Dong6),"",OFFSET(TH!F$1,SMALL(Dong6,ROWS($1:37)),))</f>
        <v xml:space="preserve">Phí chuyển tiền </v>
      </c>
      <c r="F47" s="352">
        <f ca="1">IF(ROWS($1:37)&gt;COUNT(Dong6),"",OFFSET(TH!I$1,SMALL(Dong6,ROWS($1:37)),))</f>
        <v>20000</v>
      </c>
      <c r="G47" s="353" t="str">
        <f ca="1">IF(ROWS($1:37)&gt;COUNT(Dong6),"",OFFSET(TH!J$1,SMALL(Dong6,ROWS($1:37)),))</f>
        <v>642</v>
      </c>
      <c r="H47" s="353" t="str">
        <f ca="1">IF(ROWS($1:37)&gt;COUNT(Dong6),"",OFFSET(TH!K$1,SMALL(Dong6,ROWS($1:37)),))</f>
        <v>1121</v>
      </c>
      <c r="I47" s="63">
        <f t="shared" ca="1" si="41"/>
        <v>37</v>
      </c>
      <c r="J47" s="303">
        <f t="shared" ca="1" si="1"/>
        <v>0</v>
      </c>
      <c r="K47" s="303">
        <f t="shared" ca="1" si="2"/>
        <v>0</v>
      </c>
      <c r="L47" s="303">
        <f t="shared" ca="1" si="3"/>
        <v>0</v>
      </c>
      <c r="M47" s="303">
        <f t="shared" ca="1" si="4"/>
        <v>20000</v>
      </c>
      <c r="N47" s="303">
        <f t="shared" ca="1" si="5"/>
        <v>0</v>
      </c>
      <c r="O47" s="303">
        <f t="shared" ca="1" si="6"/>
        <v>0</v>
      </c>
      <c r="P47" s="303">
        <f t="shared" ca="1" si="7"/>
        <v>0</v>
      </c>
      <c r="Q47" s="303">
        <f t="shared" ca="1" si="8"/>
        <v>0</v>
      </c>
      <c r="R47" s="303">
        <f t="shared" ca="1" si="39"/>
        <v>0</v>
      </c>
      <c r="S47" s="303">
        <f t="shared" ca="1" si="40"/>
        <v>0</v>
      </c>
      <c r="T47" s="303">
        <f t="shared" ca="1" si="9"/>
        <v>0</v>
      </c>
      <c r="U47" s="303">
        <f t="shared" ca="1" si="10"/>
        <v>0</v>
      </c>
      <c r="V47" s="303">
        <f t="shared" ca="1" si="11"/>
        <v>0</v>
      </c>
      <c r="W47" s="303">
        <f t="shared" ca="1" si="12"/>
        <v>0</v>
      </c>
      <c r="X47" s="303">
        <f t="shared" ca="1" si="13"/>
        <v>0</v>
      </c>
      <c r="Y47" s="303">
        <f t="shared" ca="1" si="14"/>
        <v>0</v>
      </c>
      <c r="Z47" s="303">
        <f t="shared" ca="1" si="15"/>
        <v>0</v>
      </c>
      <c r="AA47" s="303">
        <f t="shared" ca="1" si="16"/>
        <v>0</v>
      </c>
      <c r="AB47" s="303">
        <f t="shared" ca="1" si="17"/>
        <v>0</v>
      </c>
      <c r="AC47" s="303">
        <f t="shared" ca="1" si="18"/>
        <v>0</v>
      </c>
      <c r="AD47" s="303">
        <f t="shared" ca="1" si="19"/>
        <v>0</v>
      </c>
      <c r="AE47" s="303">
        <f t="shared" ca="1" si="20"/>
        <v>0</v>
      </c>
      <c r="AF47" s="303">
        <f t="shared" ca="1" si="21"/>
        <v>0</v>
      </c>
      <c r="AG47" s="303">
        <f t="shared" ca="1" si="22"/>
        <v>0</v>
      </c>
      <c r="AH47" s="303">
        <f t="shared" ca="1" si="23"/>
        <v>0</v>
      </c>
      <c r="AI47" s="303">
        <f t="shared" ca="1" si="24"/>
        <v>0</v>
      </c>
      <c r="AJ47" s="303">
        <f t="shared" ca="1" si="25"/>
        <v>0</v>
      </c>
      <c r="AK47" s="303">
        <f t="shared" ca="1" si="26"/>
        <v>0</v>
      </c>
      <c r="AL47" s="303">
        <f t="shared" ca="1" si="27"/>
        <v>0</v>
      </c>
      <c r="AM47" s="303">
        <f t="shared" ca="1" si="28"/>
        <v>0</v>
      </c>
      <c r="AN47" s="303">
        <f t="shared" ca="1" si="29"/>
        <v>20000</v>
      </c>
      <c r="AO47" s="303">
        <f t="shared" ca="1" si="30"/>
        <v>0</v>
      </c>
      <c r="AP47" s="303">
        <f t="shared" ca="1" si="31"/>
        <v>0</v>
      </c>
      <c r="AQ47" s="303">
        <f t="shared" ca="1" si="32"/>
        <v>0</v>
      </c>
      <c r="AR47" s="303">
        <f t="shared" ca="1" si="33"/>
        <v>0</v>
      </c>
      <c r="AS47" s="303">
        <f t="shared" ca="1" si="34"/>
        <v>0</v>
      </c>
      <c r="AT47" s="303">
        <f t="shared" ca="1" si="35"/>
        <v>0</v>
      </c>
      <c r="AU47" s="303">
        <f t="shared" ca="1" si="36"/>
        <v>0</v>
      </c>
      <c r="AV47" s="303">
        <f t="shared" ca="1" si="37"/>
        <v>0</v>
      </c>
      <c r="AW47" s="303">
        <f t="shared" ca="1" si="38"/>
        <v>0</v>
      </c>
    </row>
    <row r="48" spans="1:49" s="300" customFormat="1" ht="12.75" customHeight="1">
      <c r="A48" s="63">
        <f t="array" aca="1" ref="A48" ca="1">IF(C48&lt;&gt;0,SUM(($C$11:C48&lt;&gt;0)*1),"")</f>
        <v>38</v>
      </c>
      <c r="B48" s="301">
        <f ca="1">IF(ROWS($1:38)&gt;COUNT(Dong6),"",OFFSET(TH!C$1,SMALL(Dong6,ROWS($1:38)),))</f>
        <v>40623</v>
      </c>
      <c r="C48" s="301" t="str">
        <f ca="1">IF(ROWS($1:38)&gt;COUNT(Dong6),"",OFFSET(TH!D$1,SMALL(Dong6,ROWS($1:38)),))</f>
        <v>GBN</v>
      </c>
      <c r="D48" s="301">
        <f ca="1">IF(ROWS($1:38)&gt;COUNT(Dong6),"",OFFSET(TH!E$1,SMALL(Dong6,ROWS($1:38)),))</f>
        <v>40623</v>
      </c>
      <c r="E48" s="351" t="str">
        <f ca="1">IF(ROWS($1:38)&gt;COUNT(Dong6),"",OFFSET(TH!F$1,SMALL(Dong6,ROWS($1:38)),))</f>
        <v xml:space="preserve">GTGT Phí chuyển tiền </v>
      </c>
      <c r="F48" s="352">
        <f ca="1">IF(ROWS($1:38)&gt;COUNT(Dong6),"",OFFSET(TH!I$1,SMALL(Dong6,ROWS($1:38)),))</f>
        <v>2000</v>
      </c>
      <c r="G48" s="353" t="str">
        <f ca="1">IF(ROWS($1:38)&gt;COUNT(Dong6),"",OFFSET(TH!J$1,SMALL(Dong6,ROWS($1:38)),))</f>
        <v>642</v>
      </c>
      <c r="H48" s="353" t="str">
        <f ca="1">IF(ROWS($1:38)&gt;COUNT(Dong6),"",OFFSET(TH!K$1,SMALL(Dong6,ROWS($1:38)),))</f>
        <v>1121</v>
      </c>
      <c r="I48" s="63">
        <f t="shared" ca="1" si="41"/>
        <v>38</v>
      </c>
      <c r="J48" s="303">
        <f t="shared" ca="1" si="1"/>
        <v>0</v>
      </c>
      <c r="K48" s="303">
        <f t="shared" ca="1" si="2"/>
        <v>0</v>
      </c>
      <c r="L48" s="303">
        <f t="shared" ca="1" si="3"/>
        <v>0</v>
      </c>
      <c r="M48" s="303">
        <f t="shared" ca="1" si="4"/>
        <v>2000</v>
      </c>
      <c r="N48" s="303">
        <f t="shared" ca="1" si="5"/>
        <v>0</v>
      </c>
      <c r="O48" s="303">
        <f t="shared" ca="1" si="6"/>
        <v>0</v>
      </c>
      <c r="P48" s="303">
        <f t="shared" ca="1" si="7"/>
        <v>0</v>
      </c>
      <c r="Q48" s="303">
        <f t="shared" ca="1" si="8"/>
        <v>0</v>
      </c>
      <c r="R48" s="303">
        <f t="shared" ca="1" si="39"/>
        <v>0</v>
      </c>
      <c r="S48" s="303">
        <f t="shared" ca="1" si="40"/>
        <v>0</v>
      </c>
      <c r="T48" s="303">
        <f t="shared" ca="1" si="9"/>
        <v>0</v>
      </c>
      <c r="U48" s="303">
        <f t="shared" ca="1" si="10"/>
        <v>0</v>
      </c>
      <c r="V48" s="303">
        <f t="shared" ca="1" si="11"/>
        <v>0</v>
      </c>
      <c r="W48" s="303">
        <f t="shared" ca="1" si="12"/>
        <v>0</v>
      </c>
      <c r="X48" s="303">
        <f t="shared" ca="1" si="13"/>
        <v>0</v>
      </c>
      <c r="Y48" s="303">
        <f t="shared" ca="1" si="14"/>
        <v>0</v>
      </c>
      <c r="Z48" s="303">
        <f t="shared" ca="1" si="15"/>
        <v>0</v>
      </c>
      <c r="AA48" s="303">
        <f t="shared" ca="1" si="16"/>
        <v>0</v>
      </c>
      <c r="AB48" s="303">
        <f t="shared" ca="1" si="17"/>
        <v>0</v>
      </c>
      <c r="AC48" s="303">
        <f t="shared" ca="1" si="18"/>
        <v>0</v>
      </c>
      <c r="AD48" s="303">
        <f t="shared" ca="1" si="19"/>
        <v>0</v>
      </c>
      <c r="AE48" s="303">
        <f t="shared" ca="1" si="20"/>
        <v>0</v>
      </c>
      <c r="AF48" s="303">
        <f t="shared" ca="1" si="21"/>
        <v>0</v>
      </c>
      <c r="AG48" s="303">
        <f t="shared" ca="1" si="22"/>
        <v>0</v>
      </c>
      <c r="AH48" s="303">
        <f t="shared" ca="1" si="23"/>
        <v>0</v>
      </c>
      <c r="AI48" s="303">
        <f t="shared" ca="1" si="24"/>
        <v>0</v>
      </c>
      <c r="AJ48" s="303">
        <f t="shared" ca="1" si="25"/>
        <v>0</v>
      </c>
      <c r="AK48" s="303">
        <f t="shared" ca="1" si="26"/>
        <v>0</v>
      </c>
      <c r="AL48" s="303">
        <f t="shared" ca="1" si="27"/>
        <v>0</v>
      </c>
      <c r="AM48" s="303">
        <f t="shared" ca="1" si="28"/>
        <v>0</v>
      </c>
      <c r="AN48" s="303">
        <f t="shared" ca="1" si="29"/>
        <v>2000</v>
      </c>
      <c r="AO48" s="303">
        <f t="shared" ca="1" si="30"/>
        <v>0</v>
      </c>
      <c r="AP48" s="303">
        <f t="shared" ca="1" si="31"/>
        <v>0</v>
      </c>
      <c r="AQ48" s="303">
        <f t="shared" ca="1" si="32"/>
        <v>0</v>
      </c>
      <c r="AR48" s="303">
        <f t="shared" ca="1" si="33"/>
        <v>0</v>
      </c>
      <c r="AS48" s="303">
        <f t="shared" ca="1" si="34"/>
        <v>0</v>
      </c>
      <c r="AT48" s="303">
        <f t="shared" ca="1" si="35"/>
        <v>0</v>
      </c>
      <c r="AU48" s="303">
        <f t="shared" ca="1" si="36"/>
        <v>0</v>
      </c>
      <c r="AV48" s="303">
        <f t="shared" ca="1" si="37"/>
        <v>0</v>
      </c>
      <c r="AW48" s="303">
        <f t="shared" ca="1" si="38"/>
        <v>0</v>
      </c>
    </row>
    <row r="49" spans="1:49" s="300" customFormat="1" ht="12.75" customHeight="1">
      <c r="A49" s="63">
        <f t="array" aca="1" ref="A49" ca="1">IF(C49&lt;&gt;0,SUM(($C$11:C49&lt;&gt;0)*1),"")</f>
        <v>39</v>
      </c>
      <c r="B49" s="301">
        <f ca="1">IF(ROWS($1:39)&gt;COUNT(Dong6),"",OFFSET(TH!C$1,SMALL(Dong6,ROWS($1:39)),))</f>
        <v>40623</v>
      </c>
      <c r="C49" s="301" t="str">
        <f ca="1">IF(ROWS($1:39)&gt;COUNT(Dong6),"",OFFSET(TH!D$1,SMALL(Dong6,ROWS($1:39)),))</f>
        <v>CTGS</v>
      </c>
      <c r="D49" s="301">
        <f ca="1">IF(ROWS($1:39)&gt;COUNT(Dong6),"",OFFSET(TH!E$1,SMALL(Dong6,ROWS($1:39)),))</f>
        <v>40623</v>
      </c>
      <c r="E49" s="351" t="str">
        <f ca="1">IF(ROWS($1:39)&gt;COUNT(Dong6),"",OFFSET(TH!F$1,SMALL(Dong6,ROWS($1:39)),))</f>
        <v>Thuê quyền SDĐ - KCN Long Đức 26/8/10-15/9/11</v>
      </c>
      <c r="F49" s="352">
        <f ca="1">IF(ROWS($1:39)&gt;COUNT(Dong6),"",OFFSET(TH!I$1,SMALL(Dong6,ROWS($1:39)),))</f>
        <v>32288666</v>
      </c>
      <c r="G49" s="353" t="str">
        <f ca="1">IF(ROWS($1:39)&gt;COUNT(Dong6),"",OFFSET(TH!J$1,SMALL(Dong6,ROWS($1:39)),))</f>
        <v>642</v>
      </c>
      <c r="H49" s="353" t="str">
        <f ca="1">IF(ROWS($1:39)&gt;COUNT(Dong6),"",OFFSET(TH!K$1,SMALL(Dong6,ROWS($1:39)),))</f>
        <v>331</v>
      </c>
      <c r="I49" s="63">
        <f t="shared" ca="1" si="41"/>
        <v>39</v>
      </c>
      <c r="J49" s="303">
        <f t="shared" ca="1" si="1"/>
        <v>0</v>
      </c>
      <c r="K49" s="303">
        <f t="shared" ca="1" si="2"/>
        <v>0</v>
      </c>
      <c r="L49" s="303">
        <f t="shared" ca="1" si="3"/>
        <v>0</v>
      </c>
      <c r="M49" s="303">
        <f t="shared" ca="1" si="4"/>
        <v>0</v>
      </c>
      <c r="N49" s="303">
        <f t="shared" ca="1" si="5"/>
        <v>0</v>
      </c>
      <c r="O49" s="303">
        <f t="shared" ca="1" si="6"/>
        <v>0</v>
      </c>
      <c r="P49" s="303">
        <f t="shared" ca="1" si="7"/>
        <v>0</v>
      </c>
      <c r="Q49" s="303">
        <f t="shared" ca="1" si="8"/>
        <v>0</v>
      </c>
      <c r="R49" s="303">
        <f t="shared" ca="1" si="39"/>
        <v>0</v>
      </c>
      <c r="S49" s="303">
        <f t="shared" ca="1" si="40"/>
        <v>0</v>
      </c>
      <c r="T49" s="303">
        <f t="shared" ca="1" si="9"/>
        <v>0</v>
      </c>
      <c r="U49" s="303">
        <f t="shared" ca="1" si="10"/>
        <v>32288666</v>
      </c>
      <c r="V49" s="303">
        <f t="shared" ca="1" si="11"/>
        <v>0</v>
      </c>
      <c r="W49" s="303">
        <f t="shared" ca="1" si="12"/>
        <v>0</v>
      </c>
      <c r="X49" s="303">
        <f t="shared" ca="1" si="13"/>
        <v>0</v>
      </c>
      <c r="Y49" s="303">
        <f t="shared" ca="1" si="14"/>
        <v>0</v>
      </c>
      <c r="Z49" s="303">
        <f t="shared" ca="1" si="15"/>
        <v>0</v>
      </c>
      <c r="AA49" s="303">
        <f t="shared" ca="1" si="16"/>
        <v>0</v>
      </c>
      <c r="AB49" s="303">
        <f t="shared" ca="1" si="17"/>
        <v>0</v>
      </c>
      <c r="AC49" s="303">
        <f t="shared" ca="1" si="18"/>
        <v>0</v>
      </c>
      <c r="AD49" s="303">
        <f t="shared" ca="1" si="19"/>
        <v>0</v>
      </c>
      <c r="AE49" s="303">
        <f t="shared" ca="1" si="20"/>
        <v>0</v>
      </c>
      <c r="AF49" s="303">
        <f t="shared" ca="1" si="21"/>
        <v>0</v>
      </c>
      <c r="AG49" s="303">
        <f t="shared" ca="1" si="22"/>
        <v>0</v>
      </c>
      <c r="AH49" s="303">
        <f t="shared" ca="1" si="23"/>
        <v>0</v>
      </c>
      <c r="AI49" s="303">
        <f t="shared" ca="1" si="24"/>
        <v>0</v>
      </c>
      <c r="AJ49" s="303">
        <f t="shared" ca="1" si="25"/>
        <v>0</v>
      </c>
      <c r="AK49" s="303">
        <f t="shared" ca="1" si="26"/>
        <v>0</v>
      </c>
      <c r="AL49" s="303">
        <f t="shared" ca="1" si="27"/>
        <v>0</v>
      </c>
      <c r="AM49" s="303">
        <f t="shared" ca="1" si="28"/>
        <v>0</v>
      </c>
      <c r="AN49" s="303">
        <f t="shared" ca="1" si="29"/>
        <v>32288666</v>
      </c>
      <c r="AO49" s="303">
        <f t="shared" ca="1" si="30"/>
        <v>0</v>
      </c>
      <c r="AP49" s="303">
        <f t="shared" ca="1" si="31"/>
        <v>0</v>
      </c>
      <c r="AQ49" s="303">
        <f t="shared" ca="1" si="32"/>
        <v>0</v>
      </c>
      <c r="AR49" s="303">
        <f t="shared" ca="1" si="33"/>
        <v>0</v>
      </c>
      <c r="AS49" s="303">
        <f t="shared" ca="1" si="34"/>
        <v>0</v>
      </c>
      <c r="AT49" s="303">
        <f t="shared" ca="1" si="35"/>
        <v>0</v>
      </c>
      <c r="AU49" s="303">
        <f t="shared" ca="1" si="36"/>
        <v>0</v>
      </c>
      <c r="AV49" s="303">
        <f t="shared" ca="1" si="37"/>
        <v>0</v>
      </c>
      <c r="AW49" s="303">
        <f t="shared" ca="1" si="38"/>
        <v>0</v>
      </c>
    </row>
    <row r="50" spans="1:49" s="300" customFormat="1" ht="12.75" customHeight="1">
      <c r="A50" s="63">
        <f t="array" aca="1" ref="A50" ca="1">IF(C50&lt;&gt;0,SUM(($C$11:C50&lt;&gt;0)*1),"")</f>
        <v>40</v>
      </c>
      <c r="B50" s="301">
        <f ca="1">IF(ROWS($1:40)&gt;COUNT(Dong6),"",OFFSET(TH!C$1,SMALL(Dong6,ROWS($1:40)),))</f>
        <v>40630</v>
      </c>
      <c r="C50" s="301" t="str">
        <f ca="1">IF(ROWS($1:40)&gt;COUNT(Dong6),"",OFFSET(TH!D$1,SMALL(Dong6,ROWS($1:40)),))</f>
        <v>C06</v>
      </c>
      <c r="D50" s="301">
        <f ca="1">IF(ROWS($1:40)&gt;COUNT(Dong6),"",OFFSET(TH!E$1,SMALL(Dong6,ROWS($1:40)),))</f>
        <v>40630</v>
      </c>
      <c r="E50" s="351" t="str">
        <f ca="1">IF(ROWS($1:40)&gt;COUNT(Dong6),"",OFFSET(TH!F$1,SMALL(Dong6,ROWS($1:40)),))</f>
        <v>Trả tiền mượn vốn - An Lạc</v>
      </c>
      <c r="F50" s="352">
        <f ca="1">IF(ROWS($1:40)&gt;COUNT(Dong6),"",OFFSET(TH!I$1,SMALL(Dong6,ROWS($1:40)),))</f>
        <v>100000000</v>
      </c>
      <c r="G50" s="353" t="str">
        <f ca="1">IF(ROWS($1:40)&gt;COUNT(Dong6),"",OFFSET(TH!J$1,SMALL(Dong6,ROWS($1:40)),))</f>
        <v>3388</v>
      </c>
      <c r="H50" s="353" t="str">
        <f ca="1">IF(ROWS($1:40)&gt;COUNT(Dong6),"",OFFSET(TH!K$1,SMALL(Dong6,ROWS($1:40)),))</f>
        <v>1111</v>
      </c>
      <c r="I50" s="63">
        <f t="shared" ca="1" si="41"/>
        <v>40</v>
      </c>
      <c r="J50" s="303">
        <f t="shared" ca="1" si="1"/>
        <v>0</v>
      </c>
      <c r="K50" s="303">
        <f t="shared" ca="1" si="2"/>
        <v>100000000</v>
      </c>
      <c r="L50" s="303">
        <f t="shared" ca="1" si="3"/>
        <v>0</v>
      </c>
      <c r="M50" s="303">
        <f t="shared" ca="1" si="4"/>
        <v>0</v>
      </c>
      <c r="N50" s="303">
        <f t="shared" ca="1" si="5"/>
        <v>0</v>
      </c>
      <c r="O50" s="303">
        <f t="shared" ca="1" si="6"/>
        <v>0</v>
      </c>
      <c r="P50" s="303">
        <f t="shared" ca="1" si="7"/>
        <v>0</v>
      </c>
      <c r="Q50" s="303">
        <f t="shared" ca="1" si="8"/>
        <v>0</v>
      </c>
      <c r="R50" s="303">
        <f t="shared" ca="1" si="39"/>
        <v>0</v>
      </c>
      <c r="S50" s="303">
        <f t="shared" ca="1" si="40"/>
        <v>0</v>
      </c>
      <c r="T50" s="303">
        <f t="shared" ca="1" si="9"/>
        <v>0</v>
      </c>
      <c r="U50" s="303">
        <f t="shared" ca="1" si="10"/>
        <v>0</v>
      </c>
      <c r="V50" s="303">
        <f t="shared" ca="1" si="11"/>
        <v>0</v>
      </c>
      <c r="W50" s="303">
        <f t="shared" ca="1" si="12"/>
        <v>0</v>
      </c>
      <c r="X50" s="303">
        <f t="shared" ca="1" si="13"/>
        <v>0</v>
      </c>
      <c r="Y50" s="303">
        <f t="shared" ca="1" si="14"/>
        <v>0</v>
      </c>
      <c r="Z50" s="303">
        <f t="shared" ca="1" si="15"/>
        <v>100000000</v>
      </c>
      <c r="AA50" s="303">
        <f t="shared" ca="1" si="16"/>
        <v>0</v>
      </c>
      <c r="AB50" s="303">
        <f t="shared" ca="1" si="17"/>
        <v>0</v>
      </c>
      <c r="AC50" s="303">
        <f t="shared" ca="1" si="18"/>
        <v>0</v>
      </c>
      <c r="AD50" s="303">
        <f t="shared" ca="1" si="19"/>
        <v>0</v>
      </c>
      <c r="AE50" s="303">
        <f t="shared" ca="1" si="20"/>
        <v>0</v>
      </c>
      <c r="AF50" s="303">
        <f t="shared" ca="1" si="21"/>
        <v>0</v>
      </c>
      <c r="AG50" s="303">
        <f t="shared" ca="1" si="22"/>
        <v>0</v>
      </c>
      <c r="AH50" s="303">
        <f t="shared" ca="1" si="23"/>
        <v>0</v>
      </c>
      <c r="AI50" s="303">
        <f t="shared" ca="1" si="24"/>
        <v>0</v>
      </c>
      <c r="AJ50" s="303">
        <f t="shared" ca="1" si="25"/>
        <v>0</v>
      </c>
      <c r="AK50" s="303">
        <f t="shared" ca="1" si="26"/>
        <v>0</v>
      </c>
      <c r="AL50" s="303">
        <f t="shared" ca="1" si="27"/>
        <v>0</v>
      </c>
      <c r="AM50" s="303">
        <f t="shared" ca="1" si="28"/>
        <v>0</v>
      </c>
      <c r="AN50" s="303">
        <f t="shared" ca="1" si="29"/>
        <v>0</v>
      </c>
      <c r="AO50" s="303">
        <f t="shared" ca="1" si="30"/>
        <v>0</v>
      </c>
      <c r="AP50" s="303">
        <f t="shared" ca="1" si="31"/>
        <v>0</v>
      </c>
      <c r="AQ50" s="303">
        <f t="shared" ca="1" si="32"/>
        <v>0</v>
      </c>
      <c r="AR50" s="303">
        <f t="shared" ca="1" si="33"/>
        <v>0</v>
      </c>
      <c r="AS50" s="303">
        <f t="shared" ca="1" si="34"/>
        <v>0</v>
      </c>
      <c r="AT50" s="303">
        <f t="shared" ca="1" si="35"/>
        <v>0</v>
      </c>
      <c r="AU50" s="303">
        <f t="shared" ca="1" si="36"/>
        <v>0</v>
      </c>
      <c r="AV50" s="303">
        <f t="shared" ca="1" si="37"/>
        <v>0</v>
      </c>
      <c r="AW50" s="303">
        <f t="shared" ca="1" si="38"/>
        <v>0</v>
      </c>
    </row>
    <row r="51" spans="1:49" s="300" customFormat="1" ht="12.75" customHeight="1">
      <c r="A51" s="63">
        <f t="array" aca="1" ref="A51" ca="1">IF(C51&lt;&gt;0,SUM(($C$11:C51&lt;&gt;0)*1),"")</f>
        <v>41</v>
      </c>
      <c r="B51" s="301">
        <f ca="1">IF(ROWS($1:41)&gt;COUNT(Dong6),"",OFFSET(TH!C$1,SMALL(Dong6,ROWS($1:41)),))</f>
        <v>40630</v>
      </c>
      <c r="C51" s="301" t="str">
        <f ca="1">IF(ROWS($1:41)&gt;COUNT(Dong6),"",OFFSET(TH!D$1,SMALL(Dong6,ROWS($1:41)),))</f>
        <v>GBC</v>
      </c>
      <c r="D51" s="301">
        <f ca="1">IF(ROWS($1:41)&gt;COUNT(Dong6),"",OFFSET(TH!E$1,SMALL(Dong6,ROWS($1:41)),))</f>
        <v>40630</v>
      </c>
      <c r="E51" s="351" t="str">
        <f ca="1">IF(ROWS($1:41)&gt;COUNT(Dong6),"",OFFSET(TH!F$1,SMALL(Dong6,ROWS($1:41)),))</f>
        <v>An Lạc - Mượn vốn</v>
      </c>
      <c r="F51" s="352">
        <f ca="1">IF(ROWS($1:41)&gt;COUNT(Dong6),"",OFFSET(TH!I$1,SMALL(Dong6,ROWS($1:41)),))</f>
        <v>100000000</v>
      </c>
      <c r="G51" s="353" t="str">
        <f ca="1">IF(ROWS($1:41)&gt;COUNT(Dong6),"",OFFSET(TH!J$1,SMALL(Dong6,ROWS($1:41)),))</f>
        <v>1121</v>
      </c>
      <c r="H51" s="353" t="str">
        <f ca="1">IF(ROWS($1:41)&gt;COUNT(Dong6),"",OFFSET(TH!K$1,SMALL(Dong6,ROWS($1:41)),))</f>
        <v>3388</v>
      </c>
      <c r="I51" s="63">
        <f t="shared" ca="1" si="41"/>
        <v>41</v>
      </c>
      <c r="J51" s="303">
        <f t="shared" ca="1" si="1"/>
        <v>0</v>
      </c>
      <c r="K51" s="303">
        <f t="shared" ca="1" si="2"/>
        <v>0</v>
      </c>
      <c r="L51" s="303">
        <f t="shared" ca="1" si="3"/>
        <v>100000000</v>
      </c>
      <c r="M51" s="303">
        <f t="shared" ca="1" si="4"/>
        <v>0</v>
      </c>
      <c r="N51" s="303">
        <f t="shared" ca="1" si="5"/>
        <v>0</v>
      </c>
      <c r="O51" s="303">
        <f t="shared" ca="1" si="6"/>
        <v>0</v>
      </c>
      <c r="P51" s="303">
        <f t="shared" ca="1" si="7"/>
        <v>0</v>
      </c>
      <c r="Q51" s="303">
        <f t="shared" ca="1" si="8"/>
        <v>0</v>
      </c>
      <c r="R51" s="303">
        <f t="shared" ca="1" si="39"/>
        <v>0</v>
      </c>
      <c r="S51" s="303">
        <f t="shared" ca="1" si="40"/>
        <v>0</v>
      </c>
      <c r="T51" s="303">
        <f t="shared" ca="1" si="9"/>
        <v>0</v>
      </c>
      <c r="U51" s="303">
        <f t="shared" ca="1" si="10"/>
        <v>0</v>
      </c>
      <c r="V51" s="303">
        <f t="shared" ca="1" si="11"/>
        <v>0</v>
      </c>
      <c r="W51" s="303">
        <f t="shared" ca="1" si="12"/>
        <v>0</v>
      </c>
      <c r="X51" s="303">
        <f t="shared" ca="1" si="13"/>
        <v>0</v>
      </c>
      <c r="Y51" s="303">
        <f t="shared" ca="1" si="14"/>
        <v>0</v>
      </c>
      <c r="Z51" s="303">
        <f t="shared" ca="1" si="15"/>
        <v>0</v>
      </c>
      <c r="AA51" s="303">
        <f t="shared" ca="1" si="16"/>
        <v>100000000</v>
      </c>
      <c r="AB51" s="303">
        <f t="shared" ca="1" si="17"/>
        <v>0</v>
      </c>
      <c r="AC51" s="303">
        <f t="shared" ca="1" si="18"/>
        <v>0</v>
      </c>
      <c r="AD51" s="303">
        <f t="shared" ca="1" si="19"/>
        <v>0</v>
      </c>
      <c r="AE51" s="303">
        <f t="shared" ca="1" si="20"/>
        <v>0</v>
      </c>
      <c r="AF51" s="303">
        <f t="shared" ca="1" si="21"/>
        <v>0</v>
      </c>
      <c r="AG51" s="303">
        <f t="shared" ca="1" si="22"/>
        <v>0</v>
      </c>
      <c r="AH51" s="303">
        <f t="shared" ca="1" si="23"/>
        <v>0</v>
      </c>
      <c r="AI51" s="303">
        <f t="shared" ca="1" si="24"/>
        <v>0</v>
      </c>
      <c r="AJ51" s="303">
        <f t="shared" ca="1" si="25"/>
        <v>0</v>
      </c>
      <c r="AK51" s="303">
        <f t="shared" ca="1" si="26"/>
        <v>0</v>
      </c>
      <c r="AL51" s="303">
        <f t="shared" ca="1" si="27"/>
        <v>0</v>
      </c>
      <c r="AM51" s="303">
        <f t="shared" ca="1" si="28"/>
        <v>0</v>
      </c>
      <c r="AN51" s="303">
        <f t="shared" ca="1" si="29"/>
        <v>0</v>
      </c>
      <c r="AO51" s="303">
        <f t="shared" ca="1" si="30"/>
        <v>0</v>
      </c>
      <c r="AP51" s="303">
        <f t="shared" ca="1" si="31"/>
        <v>0</v>
      </c>
      <c r="AQ51" s="303">
        <f t="shared" ca="1" si="32"/>
        <v>0</v>
      </c>
      <c r="AR51" s="303">
        <f t="shared" ca="1" si="33"/>
        <v>0</v>
      </c>
      <c r="AS51" s="303">
        <f t="shared" ca="1" si="34"/>
        <v>0</v>
      </c>
      <c r="AT51" s="303">
        <f t="shared" ca="1" si="35"/>
        <v>0</v>
      </c>
      <c r="AU51" s="303">
        <f t="shared" ca="1" si="36"/>
        <v>0</v>
      </c>
      <c r="AV51" s="303">
        <f t="shared" ca="1" si="37"/>
        <v>0</v>
      </c>
      <c r="AW51" s="303">
        <f t="shared" ca="1" si="38"/>
        <v>0</v>
      </c>
    </row>
    <row r="52" spans="1:49" s="300" customFormat="1" ht="12.75" customHeight="1">
      <c r="A52" s="63">
        <f t="array" aca="1" ref="A52" ca="1">IF(C52&lt;&gt;0,SUM(($C$11:C52&lt;&gt;0)*1),"")</f>
        <v>42</v>
      </c>
      <c r="B52" s="301">
        <f ca="1">IF(ROWS($1:42)&gt;COUNT(Dong6),"",OFFSET(TH!C$1,SMALL(Dong6,ROWS($1:42)),))</f>
        <v>40630</v>
      </c>
      <c r="C52" s="301" t="str">
        <f ca="1">IF(ROWS($1:42)&gt;COUNT(Dong6),"",OFFSET(TH!D$1,SMALL(Dong6,ROWS($1:42)),))</f>
        <v>GBN</v>
      </c>
      <c r="D52" s="301">
        <f ca="1">IF(ROWS($1:42)&gt;COUNT(Dong6),"",OFFSET(TH!E$1,SMALL(Dong6,ROWS($1:42)),))</f>
        <v>40630</v>
      </c>
      <c r="E52" s="351" t="str">
        <f ca="1">IF(ROWS($1:42)&gt;COUNT(Dong6),"",OFFSET(TH!F$1,SMALL(Dong6,ROWS($1:42)),))</f>
        <v>Thanh toán tiền xây dựng - Khánh Trân</v>
      </c>
      <c r="F52" s="352">
        <f ca="1">IF(ROWS($1:42)&gt;COUNT(Dong6),"",OFFSET(TH!I$1,SMALL(Dong6,ROWS($1:42)),))</f>
        <v>100000000</v>
      </c>
      <c r="G52" s="353" t="str">
        <f ca="1">IF(ROWS($1:42)&gt;COUNT(Dong6),"",OFFSET(TH!J$1,SMALL(Dong6,ROWS($1:42)),))</f>
        <v>331</v>
      </c>
      <c r="H52" s="353" t="str">
        <f ca="1">IF(ROWS($1:42)&gt;COUNT(Dong6),"",OFFSET(TH!K$1,SMALL(Dong6,ROWS($1:42)),))</f>
        <v>1121</v>
      </c>
      <c r="I52" s="63">
        <f t="shared" ca="1" si="41"/>
        <v>42</v>
      </c>
      <c r="J52" s="303">
        <f t="shared" ca="1" si="1"/>
        <v>0</v>
      </c>
      <c r="K52" s="303">
        <f t="shared" ca="1" si="2"/>
        <v>0</v>
      </c>
      <c r="L52" s="303">
        <f t="shared" ca="1" si="3"/>
        <v>0</v>
      </c>
      <c r="M52" s="303">
        <f t="shared" ca="1" si="4"/>
        <v>100000000</v>
      </c>
      <c r="N52" s="303">
        <f t="shared" ca="1" si="5"/>
        <v>0</v>
      </c>
      <c r="O52" s="303">
        <f t="shared" ca="1" si="6"/>
        <v>0</v>
      </c>
      <c r="P52" s="303">
        <f t="shared" ca="1" si="7"/>
        <v>0</v>
      </c>
      <c r="Q52" s="303">
        <f t="shared" ca="1" si="8"/>
        <v>0</v>
      </c>
      <c r="R52" s="303">
        <f t="shared" ca="1" si="39"/>
        <v>0</v>
      </c>
      <c r="S52" s="303">
        <f t="shared" ca="1" si="40"/>
        <v>0</v>
      </c>
      <c r="T52" s="303">
        <f t="shared" ca="1" si="9"/>
        <v>100000000</v>
      </c>
      <c r="U52" s="303">
        <f t="shared" ca="1" si="10"/>
        <v>0</v>
      </c>
      <c r="V52" s="303">
        <f t="shared" ca="1" si="11"/>
        <v>0</v>
      </c>
      <c r="W52" s="303">
        <f t="shared" ca="1" si="12"/>
        <v>0</v>
      </c>
      <c r="X52" s="303">
        <f t="shared" ca="1" si="13"/>
        <v>0</v>
      </c>
      <c r="Y52" s="303">
        <f t="shared" ca="1" si="14"/>
        <v>0</v>
      </c>
      <c r="Z52" s="303">
        <f t="shared" ca="1" si="15"/>
        <v>0</v>
      </c>
      <c r="AA52" s="303">
        <f t="shared" ca="1" si="16"/>
        <v>0</v>
      </c>
      <c r="AB52" s="303">
        <f t="shared" ca="1" si="17"/>
        <v>0</v>
      </c>
      <c r="AC52" s="303">
        <f t="shared" ca="1" si="18"/>
        <v>0</v>
      </c>
      <c r="AD52" s="303">
        <f t="shared" ca="1" si="19"/>
        <v>0</v>
      </c>
      <c r="AE52" s="303">
        <f t="shared" ca="1" si="20"/>
        <v>0</v>
      </c>
      <c r="AF52" s="303">
        <f t="shared" ca="1" si="21"/>
        <v>0</v>
      </c>
      <c r="AG52" s="303">
        <f t="shared" ca="1" si="22"/>
        <v>0</v>
      </c>
      <c r="AH52" s="303">
        <f t="shared" ca="1" si="23"/>
        <v>0</v>
      </c>
      <c r="AI52" s="303">
        <f t="shared" ca="1" si="24"/>
        <v>0</v>
      </c>
      <c r="AJ52" s="303">
        <f t="shared" ca="1" si="25"/>
        <v>0</v>
      </c>
      <c r="AK52" s="303">
        <f t="shared" ca="1" si="26"/>
        <v>0</v>
      </c>
      <c r="AL52" s="303">
        <f t="shared" ca="1" si="27"/>
        <v>0</v>
      </c>
      <c r="AM52" s="303">
        <f t="shared" ca="1" si="28"/>
        <v>0</v>
      </c>
      <c r="AN52" s="303">
        <f t="shared" ca="1" si="29"/>
        <v>0</v>
      </c>
      <c r="AO52" s="303">
        <f t="shared" ca="1" si="30"/>
        <v>0</v>
      </c>
      <c r="AP52" s="303">
        <f t="shared" ca="1" si="31"/>
        <v>0</v>
      </c>
      <c r="AQ52" s="303">
        <f t="shared" ca="1" si="32"/>
        <v>0</v>
      </c>
      <c r="AR52" s="303">
        <f t="shared" ca="1" si="33"/>
        <v>0</v>
      </c>
      <c r="AS52" s="303">
        <f t="shared" ca="1" si="34"/>
        <v>0</v>
      </c>
      <c r="AT52" s="303">
        <f t="shared" ca="1" si="35"/>
        <v>0</v>
      </c>
      <c r="AU52" s="303">
        <f t="shared" ca="1" si="36"/>
        <v>0</v>
      </c>
      <c r="AV52" s="303">
        <f t="shared" ca="1" si="37"/>
        <v>0</v>
      </c>
      <c r="AW52" s="303">
        <f t="shared" ca="1" si="38"/>
        <v>0</v>
      </c>
    </row>
    <row r="53" spans="1:49" s="300" customFormat="1" ht="12.75" customHeight="1">
      <c r="A53" s="63">
        <f t="array" aca="1" ref="A53" ca="1">IF(C53&lt;&gt;0,SUM(($C$11:C53&lt;&gt;0)*1),"")</f>
        <v>43</v>
      </c>
      <c r="B53" s="301">
        <f ca="1">IF(ROWS($1:43)&gt;COUNT(Dong6),"",OFFSET(TH!C$1,SMALL(Dong6,ROWS($1:43)),))</f>
        <v>40630</v>
      </c>
      <c r="C53" s="301" t="str">
        <f ca="1">IF(ROWS($1:43)&gt;COUNT(Dong6),"",OFFSET(TH!D$1,SMALL(Dong6,ROWS($1:43)),))</f>
        <v>GBN</v>
      </c>
      <c r="D53" s="301">
        <f ca="1">IF(ROWS($1:43)&gt;COUNT(Dong6),"",OFFSET(TH!E$1,SMALL(Dong6,ROWS($1:43)),))</f>
        <v>40630</v>
      </c>
      <c r="E53" s="351" t="str">
        <f ca="1">IF(ROWS($1:43)&gt;COUNT(Dong6),"",OFFSET(TH!F$1,SMALL(Dong6,ROWS($1:43)),))</f>
        <v xml:space="preserve">Phí chuyển tiền </v>
      </c>
      <c r="F53" s="352">
        <f ca="1">IF(ROWS($1:43)&gt;COUNT(Dong6),"",OFFSET(TH!I$1,SMALL(Dong6,ROWS($1:43)),))</f>
        <v>50000</v>
      </c>
      <c r="G53" s="353" t="str">
        <f ca="1">IF(ROWS($1:43)&gt;COUNT(Dong6),"",OFFSET(TH!J$1,SMALL(Dong6,ROWS($1:43)),))</f>
        <v>642</v>
      </c>
      <c r="H53" s="353" t="str">
        <f ca="1">IF(ROWS($1:43)&gt;COUNT(Dong6),"",OFFSET(TH!K$1,SMALL(Dong6,ROWS($1:43)),))</f>
        <v>1121</v>
      </c>
      <c r="I53" s="63">
        <f t="shared" ca="1" si="41"/>
        <v>43</v>
      </c>
      <c r="J53" s="303">
        <f t="shared" ca="1" si="1"/>
        <v>0</v>
      </c>
      <c r="K53" s="303">
        <f t="shared" ca="1" si="2"/>
        <v>0</v>
      </c>
      <c r="L53" s="303">
        <f t="shared" ca="1" si="3"/>
        <v>0</v>
      </c>
      <c r="M53" s="303">
        <f t="shared" ca="1" si="4"/>
        <v>50000</v>
      </c>
      <c r="N53" s="303">
        <f t="shared" ca="1" si="5"/>
        <v>0</v>
      </c>
      <c r="O53" s="303">
        <f t="shared" ca="1" si="6"/>
        <v>0</v>
      </c>
      <c r="P53" s="303">
        <f t="shared" ca="1" si="7"/>
        <v>0</v>
      </c>
      <c r="Q53" s="303">
        <f t="shared" ca="1" si="8"/>
        <v>0</v>
      </c>
      <c r="R53" s="303">
        <f t="shared" ca="1" si="39"/>
        <v>0</v>
      </c>
      <c r="S53" s="303">
        <f t="shared" ca="1" si="40"/>
        <v>0</v>
      </c>
      <c r="T53" s="303">
        <f t="shared" ca="1" si="9"/>
        <v>0</v>
      </c>
      <c r="U53" s="303">
        <f t="shared" ca="1" si="10"/>
        <v>0</v>
      </c>
      <c r="V53" s="303">
        <f t="shared" ca="1" si="11"/>
        <v>0</v>
      </c>
      <c r="W53" s="303">
        <f t="shared" ca="1" si="12"/>
        <v>0</v>
      </c>
      <c r="X53" s="303">
        <f t="shared" ca="1" si="13"/>
        <v>0</v>
      </c>
      <c r="Y53" s="303">
        <f t="shared" ca="1" si="14"/>
        <v>0</v>
      </c>
      <c r="Z53" s="303">
        <f t="shared" ca="1" si="15"/>
        <v>0</v>
      </c>
      <c r="AA53" s="303">
        <f t="shared" ca="1" si="16"/>
        <v>0</v>
      </c>
      <c r="AB53" s="303">
        <f t="shared" ca="1" si="17"/>
        <v>0</v>
      </c>
      <c r="AC53" s="303">
        <f t="shared" ca="1" si="18"/>
        <v>0</v>
      </c>
      <c r="AD53" s="303">
        <f t="shared" ca="1" si="19"/>
        <v>0</v>
      </c>
      <c r="AE53" s="303">
        <f t="shared" ca="1" si="20"/>
        <v>0</v>
      </c>
      <c r="AF53" s="303">
        <f t="shared" ca="1" si="21"/>
        <v>0</v>
      </c>
      <c r="AG53" s="303">
        <f t="shared" ca="1" si="22"/>
        <v>0</v>
      </c>
      <c r="AH53" s="303">
        <f t="shared" ca="1" si="23"/>
        <v>0</v>
      </c>
      <c r="AI53" s="303">
        <f t="shared" ca="1" si="24"/>
        <v>0</v>
      </c>
      <c r="AJ53" s="303">
        <f t="shared" ca="1" si="25"/>
        <v>0</v>
      </c>
      <c r="AK53" s="303">
        <f t="shared" ca="1" si="26"/>
        <v>0</v>
      </c>
      <c r="AL53" s="303">
        <f t="shared" ca="1" si="27"/>
        <v>0</v>
      </c>
      <c r="AM53" s="303">
        <f t="shared" ca="1" si="28"/>
        <v>0</v>
      </c>
      <c r="AN53" s="303">
        <f t="shared" ca="1" si="29"/>
        <v>50000</v>
      </c>
      <c r="AO53" s="303">
        <f t="shared" ca="1" si="30"/>
        <v>0</v>
      </c>
      <c r="AP53" s="303">
        <f t="shared" ca="1" si="31"/>
        <v>0</v>
      </c>
      <c r="AQ53" s="303">
        <f t="shared" ca="1" si="32"/>
        <v>0</v>
      </c>
      <c r="AR53" s="303">
        <f t="shared" ca="1" si="33"/>
        <v>0</v>
      </c>
      <c r="AS53" s="303">
        <f t="shared" ca="1" si="34"/>
        <v>0</v>
      </c>
      <c r="AT53" s="303">
        <f t="shared" ca="1" si="35"/>
        <v>0</v>
      </c>
      <c r="AU53" s="303">
        <f t="shared" ca="1" si="36"/>
        <v>0</v>
      </c>
      <c r="AV53" s="303">
        <f t="shared" ca="1" si="37"/>
        <v>0</v>
      </c>
      <c r="AW53" s="303">
        <f t="shared" ca="1" si="38"/>
        <v>0</v>
      </c>
    </row>
    <row r="54" spans="1:49" s="300" customFormat="1" ht="12.75" customHeight="1">
      <c r="A54" s="63">
        <f t="array" aca="1" ref="A54" ca="1">IF(C54&lt;&gt;0,SUM(($C$11:C54&lt;&gt;0)*1),"")</f>
        <v>44</v>
      </c>
      <c r="B54" s="301">
        <f ca="1">IF(ROWS($1:44)&gt;COUNT(Dong6),"",OFFSET(TH!C$1,SMALL(Dong6,ROWS($1:44)),))</f>
        <v>40630</v>
      </c>
      <c r="C54" s="301" t="str">
        <f ca="1">IF(ROWS($1:44)&gt;COUNT(Dong6),"",OFFSET(TH!D$1,SMALL(Dong6,ROWS($1:44)),))</f>
        <v>GBN</v>
      </c>
      <c r="D54" s="301">
        <f ca="1">IF(ROWS($1:44)&gt;COUNT(Dong6),"",OFFSET(TH!E$1,SMALL(Dong6,ROWS($1:44)),))</f>
        <v>40630</v>
      </c>
      <c r="E54" s="351" t="str">
        <f ca="1">IF(ROWS($1:44)&gt;COUNT(Dong6),"",OFFSET(TH!F$1,SMALL(Dong6,ROWS($1:44)),))</f>
        <v xml:space="preserve">GTGT Phí chuyển tiền </v>
      </c>
      <c r="F54" s="352">
        <f ca="1">IF(ROWS($1:44)&gt;COUNT(Dong6),"",OFFSET(TH!I$1,SMALL(Dong6,ROWS($1:44)),))</f>
        <v>5000</v>
      </c>
      <c r="G54" s="353" t="str">
        <f ca="1">IF(ROWS($1:44)&gt;COUNT(Dong6),"",OFFSET(TH!J$1,SMALL(Dong6,ROWS($1:44)),))</f>
        <v>642</v>
      </c>
      <c r="H54" s="353" t="str">
        <f ca="1">IF(ROWS($1:44)&gt;COUNT(Dong6),"",OFFSET(TH!K$1,SMALL(Dong6,ROWS($1:44)),))</f>
        <v>1121</v>
      </c>
      <c r="I54" s="63">
        <f t="shared" ca="1" si="41"/>
        <v>44</v>
      </c>
      <c r="J54" s="303">
        <f t="shared" ca="1" si="1"/>
        <v>0</v>
      </c>
      <c r="K54" s="303">
        <f t="shared" ca="1" si="2"/>
        <v>0</v>
      </c>
      <c r="L54" s="303">
        <f t="shared" ca="1" si="3"/>
        <v>0</v>
      </c>
      <c r="M54" s="303">
        <f t="shared" ca="1" si="4"/>
        <v>5000</v>
      </c>
      <c r="N54" s="303">
        <f t="shared" ca="1" si="5"/>
        <v>0</v>
      </c>
      <c r="O54" s="303">
        <f t="shared" ca="1" si="6"/>
        <v>0</v>
      </c>
      <c r="P54" s="303">
        <f t="shared" ca="1" si="7"/>
        <v>0</v>
      </c>
      <c r="Q54" s="303">
        <f t="shared" ca="1" si="8"/>
        <v>0</v>
      </c>
      <c r="R54" s="303">
        <f t="shared" ca="1" si="39"/>
        <v>0</v>
      </c>
      <c r="S54" s="303">
        <f t="shared" ca="1" si="40"/>
        <v>0</v>
      </c>
      <c r="T54" s="303">
        <f t="shared" ca="1" si="9"/>
        <v>0</v>
      </c>
      <c r="U54" s="303">
        <f t="shared" ca="1" si="10"/>
        <v>0</v>
      </c>
      <c r="V54" s="303">
        <f t="shared" ca="1" si="11"/>
        <v>0</v>
      </c>
      <c r="W54" s="303">
        <f t="shared" ca="1" si="12"/>
        <v>0</v>
      </c>
      <c r="X54" s="303">
        <f t="shared" ca="1" si="13"/>
        <v>0</v>
      </c>
      <c r="Y54" s="303">
        <f t="shared" ca="1" si="14"/>
        <v>0</v>
      </c>
      <c r="Z54" s="303">
        <f t="shared" ca="1" si="15"/>
        <v>0</v>
      </c>
      <c r="AA54" s="303">
        <f t="shared" ca="1" si="16"/>
        <v>0</v>
      </c>
      <c r="AB54" s="303">
        <f t="shared" ca="1" si="17"/>
        <v>0</v>
      </c>
      <c r="AC54" s="303">
        <f t="shared" ca="1" si="18"/>
        <v>0</v>
      </c>
      <c r="AD54" s="303">
        <f t="shared" ca="1" si="19"/>
        <v>0</v>
      </c>
      <c r="AE54" s="303">
        <f t="shared" ca="1" si="20"/>
        <v>0</v>
      </c>
      <c r="AF54" s="303">
        <f t="shared" ca="1" si="21"/>
        <v>0</v>
      </c>
      <c r="AG54" s="303">
        <f t="shared" ca="1" si="22"/>
        <v>0</v>
      </c>
      <c r="AH54" s="303">
        <f t="shared" ca="1" si="23"/>
        <v>0</v>
      </c>
      <c r="AI54" s="303">
        <f t="shared" ca="1" si="24"/>
        <v>0</v>
      </c>
      <c r="AJ54" s="303">
        <f t="shared" ca="1" si="25"/>
        <v>0</v>
      </c>
      <c r="AK54" s="303">
        <f t="shared" ca="1" si="26"/>
        <v>0</v>
      </c>
      <c r="AL54" s="303">
        <f t="shared" ca="1" si="27"/>
        <v>0</v>
      </c>
      <c r="AM54" s="303">
        <f t="shared" ca="1" si="28"/>
        <v>0</v>
      </c>
      <c r="AN54" s="303">
        <f t="shared" ca="1" si="29"/>
        <v>5000</v>
      </c>
      <c r="AO54" s="303">
        <f t="shared" ca="1" si="30"/>
        <v>0</v>
      </c>
      <c r="AP54" s="303">
        <f t="shared" ca="1" si="31"/>
        <v>0</v>
      </c>
      <c r="AQ54" s="303">
        <f t="shared" ca="1" si="32"/>
        <v>0</v>
      </c>
      <c r="AR54" s="303">
        <f t="shared" ca="1" si="33"/>
        <v>0</v>
      </c>
      <c r="AS54" s="303">
        <f t="shared" ca="1" si="34"/>
        <v>0</v>
      </c>
      <c r="AT54" s="303">
        <f t="shared" ca="1" si="35"/>
        <v>0</v>
      </c>
      <c r="AU54" s="303">
        <f t="shared" ca="1" si="36"/>
        <v>0</v>
      </c>
      <c r="AV54" s="303">
        <f t="shared" ca="1" si="37"/>
        <v>0</v>
      </c>
      <c r="AW54" s="303">
        <f t="shared" ca="1" si="38"/>
        <v>0</v>
      </c>
    </row>
    <row r="55" spans="1:49" s="300" customFormat="1" ht="12.75" customHeight="1">
      <c r="A55" s="63">
        <f t="array" aca="1" ref="A55" ca="1">IF(C55&lt;&gt;0,SUM(($C$11:C55&lt;&gt;0)*1),"")</f>
        <v>45</v>
      </c>
      <c r="B55" s="301">
        <v>40633</v>
      </c>
      <c r="C55" s="304" t="s">
        <v>132</v>
      </c>
      <c r="D55" s="304">
        <f>B55</f>
        <v>40633</v>
      </c>
      <c r="E55" s="305" t="s">
        <v>238</v>
      </c>
      <c r="F55" s="90">
        <f>AH10</f>
        <v>1910000</v>
      </c>
      <c r="G55" s="306" t="s">
        <v>109</v>
      </c>
      <c r="H55" s="306" t="s">
        <v>111</v>
      </c>
      <c r="I55" s="63">
        <f ca="1">A55</f>
        <v>45</v>
      </c>
      <c r="J55" s="303">
        <f t="shared" si="1"/>
        <v>0</v>
      </c>
      <c r="K55" s="303">
        <f t="shared" si="2"/>
        <v>0</v>
      </c>
      <c r="L55" s="303">
        <f t="shared" si="3"/>
        <v>0</v>
      </c>
      <c r="M55" s="303">
        <f t="shared" si="4"/>
        <v>0</v>
      </c>
      <c r="N55" s="303">
        <f t="shared" si="5"/>
        <v>0</v>
      </c>
      <c r="O55" s="303">
        <f t="shared" si="6"/>
        <v>0</v>
      </c>
      <c r="P55" s="303">
        <f t="shared" si="7"/>
        <v>0</v>
      </c>
      <c r="Q55" s="303">
        <f t="shared" si="8"/>
        <v>0</v>
      </c>
      <c r="R55" s="303">
        <f t="shared" si="39"/>
        <v>0</v>
      </c>
      <c r="S55" s="303">
        <f t="shared" si="40"/>
        <v>0</v>
      </c>
      <c r="T55" s="303">
        <f t="shared" si="9"/>
        <v>0</v>
      </c>
      <c r="U55" s="303">
        <f t="shared" si="10"/>
        <v>0</v>
      </c>
      <c r="V55" s="303">
        <f t="shared" si="11"/>
        <v>0</v>
      </c>
      <c r="W55" s="303">
        <f t="shared" si="12"/>
        <v>0</v>
      </c>
      <c r="X55" s="303">
        <f t="shared" si="13"/>
        <v>0</v>
      </c>
      <c r="Y55" s="303">
        <f t="shared" si="14"/>
        <v>0</v>
      </c>
      <c r="Z55" s="303">
        <f t="shared" si="15"/>
        <v>0</v>
      </c>
      <c r="AA55" s="303">
        <f t="shared" si="16"/>
        <v>0</v>
      </c>
      <c r="AB55" s="303">
        <f t="shared" si="17"/>
        <v>0</v>
      </c>
      <c r="AC55" s="303">
        <f t="shared" si="18"/>
        <v>0</v>
      </c>
      <c r="AD55" s="303">
        <f t="shared" si="19"/>
        <v>0</v>
      </c>
      <c r="AE55" s="303">
        <f t="shared" si="20"/>
        <v>0</v>
      </c>
      <c r="AF55" s="303">
        <f t="shared" si="21"/>
        <v>1910000</v>
      </c>
      <c r="AG55" s="303">
        <f t="shared" si="22"/>
        <v>0</v>
      </c>
      <c r="AH55" s="303">
        <f t="shared" si="23"/>
        <v>0</v>
      </c>
      <c r="AI55" s="303">
        <f t="shared" si="24"/>
        <v>1910000</v>
      </c>
      <c r="AJ55" s="303">
        <f t="shared" si="25"/>
        <v>0</v>
      </c>
      <c r="AK55" s="303">
        <f t="shared" si="26"/>
        <v>0</v>
      </c>
      <c r="AL55" s="303">
        <f t="shared" si="27"/>
        <v>0</v>
      </c>
      <c r="AM55" s="303">
        <f t="shared" si="28"/>
        <v>0</v>
      </c>
      <c r="AN55" s="303">
        <f t="shared" si="29"/>
        <v>0</v>
      </c>
      <c r="AO55" s="303">
        <f t="shared" si="30"/>
        <v>0</v>
      </c>
      <c r="AP55" s="303">
        <f t="shared" si="31"/>
        <v>0</v>
      </c>
      <c r="AQ55" s="303">
        <f t="shared" si="32"/>
        <v>0</v>
      </c>
      <c r="AR55" s="303">
        <f t="shared" si="33"/>
        <v>0</v>
      </c>
      <c r="AS55" s="303">
        <f t="shared" si="34"/>
        <v>0</v>
      </c>
      <c r="AT55" s="303">
        <f t="shared" si="35"/>
        <v>0</v>
      </c>
      <c r="AU55" s="303">
        <f t="shared" si="36"/>
        <v>0</v>
      </c>
      <c r="AV55" s="303">
        <f t="shared" si="37"/>
        <v>0</v>
      </c>
      <c r="AW55" s="303">
        <f t="shared" si="38"/>
        <v>0</v>
      </c>
    </row>
    <row r="56" spans="1:49" s="300" customFormat="1" ht="12.75" customHeight="1">
      <c r="A56" s="63">
        <f t="array" aca="1" ref="A56" ca="1">IF(C56&lt;&gt;0,SUM(($C$11:C56&lt;&gt;0)*1),"")</f>
        <v>46</v>
      </c>
      <c r="B56" s="301">
        <v>40633</v>
      </c>
      <c r="C56" s="304" t="s">
        <v>132</v>
      </c>
      <c r="D56" s="304">
        <f t="shared" ref="D56:D59" si="42">B56</f>
        <v>40633</v>
      </c>
      <c r="E56" s="305" t="s">
        <v>133</v>
      </c>
      <c r="F56" s="90">
        <f ca="1">AL63</f>
        <v>0</v>
      </c>
      <c r="G56" s="306" t="s">
        <v>184</v>
      </c>
      <c r="H56" s="306" t="s">
        <v>116</v>
      </c>
      <c r="I56" s="63">
        <f t="shared" ref="I56:I62" ca="1" si="43">A56</f>
        <v>46</v>
      </c>
      <c r="J56" s="303">
        <f t="shared" si="1"/>
        <v>0</v>
      </c>
      <c r="K56" s="303">
        <f t="shared" si="2"/>
        <v>0</v>
      </c>
      <c r="L56" s="303">
        <f t="shared" si="3"/>
        <v>0</v>
      </c>
      <c r="M56" s="303">
        <f t="shared" si="4"/>
        <v>0</v>
      </c>
      <c r="N56" s="303">
        <f t="shared" si="5"/>
        <v>0</v>
      </c>
      <c r="O56" s="303">
        <f t="shared" si="6"/>
        <v>0</v>
      </c>
      <c r="P56" s="303">
        <f t="shared" si="7"/>
        <v>0</v>
      </c>
      <c r="Q56" s="303">
        <f t="shared" si="8"/>
        <v>0</v>
      </c>
      <c r="R56" s="303">
        <f t="shared" ca="1" si="39"/>
        <v>0</v>
      </c>
      <c r="S56" s="303">
        <f t="shared" si="40"/>
        <v>0</v>
      </c>
      <c r="T56" s="303">
        <f t="shared" si="9"/>
        <v>0</v>
      </c>
      <c r="U56" s="303">
        <f t="shared" si="10"/>
        <v>0</v>
      </c>
      <c r="V56" s="303">
        <f t="shared" si="11"/>
        <v>0</v>
      </c>
      <c r="W56" s="303">
        <f t="shared" si="12"/>
        <v>0</v>
      </c>
      <c r="X56" s="303">
        <f t="shared" si="13"/>
        <v>0</v>
      </c>
      <c r="Y56" s="303">
        <f t="shared" si="14"/>
        <v>0</v>
      </c>
      <c r="Z56" s="303">
        <f t="shared" si="15"/>
        <v>0</v>
      </c>
      <c r="AA56" s="303">
        <f t="shared" si="16"/>
        <v>0</v>
      </c>
      <c r="AB56" s="303">
        <f t="shared" si="17"/>
        <v>0</v>
      </c>
      <c r="AC56" s="303">
        <f t="shared" si="18"/>
        <v>0</v>
      </c>
      <c r="AD56" s="303">
        <f t="shared" si="19"/>
        <v>0</v>
      </c>
      <c r="AE56" s="303">
        <f t="shared" si="20"/>
        <v>0</v>
      </c>
      <c r="AF56" s="303">
        <f t="shared" si="21"/>
        <v>0</v>
      </c>
      <c r="AG56" s="303">
        <f t="shared" si="22"/>
        <v>0</v>
      </c>
      <c r="AH56" s="303">
        <f t="shared" si="23"/>
        <v>0</v>
      </c>
      <c r="AI56" s="303">
        <f t="shared" si="24"/>
        <v>0</v>
      </c>
      <c r="AJ56" s="303">
        <f t="shared" si="25"/>
        <v>0</v>
      </c>
      <c r="AK56" s="303">
        <f t="shared" si="26"/>
        <v>0</v>
      </c>
      <c r="AL56" s="303">
        <f t="shared" si="27"/>
        <v>0</v>
      </c>
      <c r="AM56" s="303">
        <f t="shared" ca="1" si="28"/>
        <v>0</v>
      </c>
      <c r="AN56" s="303">
        <f t="shared" si="29"/>
        <v>0</v>
      </c>
      <c r="AO56" s="303">
        <f t="shared" si="30"/>
        <v>0</v>
      </c>
      <c r="AP56" s="303">
        <f t="shared" si="31"/>
        <v>0</v>
      </c>
      <c r="AQ56" s="303">
        <f t="shared" si="32"/>
        <v>0</v>
      </c>
      <c r="AR56" s="303">
        <f t="shared" si="33"/>
        <v>0</v>
      </c>
      <c r="AS56" s="303">
        <f t="shared" si="34"/>
        <v>0</v>
      </c>
      <c r="AT56" s="303">
        <f t="shared" si="35"/>
        <v>0</v>
      </c>
      <c r="AU56" s="303">
        <f t="shared" si="36"/>
        <v>0</v>
      </c>
      <c r="AV56" s="303">
        <f t="shared" si="37"/>
        <v>0</v>
      </c>
      <c r="AW56" s="303">
        <f t="shared" si="38"/>
        <v>0</v>
      </c>
    </row>
    <row r="57" spans="1:49" s="300" customFormat="1" ht="12.75" customHeight="1">
      <c r="A57" s="63">
        <f t="array" aca="1" ref="A57" ca="1">IF(C57&lt;&gt;0,SUM(($C$11:C57&lt;&gt;0)*1),"")</f>
        <v>47</v>
      </c>
      <c r="B57" s="301">
        <v>40633</v>
      </c>
      <c r="C57" s="304" t="s">
        <v>132</v>
      </c>
      <c r="D57" s="304">
        <f t="shared" si="42"/>
        <v>40633</v>
      </c>
      <c r="E57" s="305" t="s">
        <v>134</v>
      </c>
      <c r="F57" s="90">
        <f ca="1">AN63</f>
        <v>34212166</v>
      </c>
      <c r="G57" s="306" t="s">
        <v>126</v>
      </c>
      <c r="H57" s="306" t="s">
        <v>118</v>
      </c>
      <c r="I57" s="63">
        <f t="shared" ca="1" si="43"/>
        <v>47</v>
      </c>
      <c r="J57" s="303">
        <f t="shared" si="1"/>
        <v>0</v>
      </c>
      <c r="K57" s="303">
        <f t="shared" si="2"/>
        <v>0</v>
      </c>
      <c r="L57" s="303">
        <f t="shared" si="3"/>
        <v>0</v>
      </c>
      <c r="M57" s="303">
        <f t="shared" si="4"/>
        <v>0</v>
      </c>
      <c r="N57" s="303">
        <f t="shared" si="5"/>
        <v>0</v>
      </c>
      <c r="O57" s="303">
        <f t="shared" si="6"/>
        <v>0</v>
      </c>
      <c r="P57" s="303">
        <f t="shared" si="7"/>
        <v>0</v>
      </c>
      <c r="Q57" s="303">
        <f t="shared" si="8"/>
        <v>0</v>
      </c>
      <c r="R57" s="303">
        <f t="shared" si="39"/>
        <v>0</v>
      </c>
      <c r="S57" s="303">
        <f t="shared" si="40"/>
        <v>0</v>
      </c>
      <c r="T57" s="303">
        <f t="shared" si="9"/>
        <v>0</v>
      </c>
      <c r="U57" s="303">
        <f t="shared" si="10"/>
        <v>0</v>
      </c>
      <c r="V57" s="303">
        <f t="shared" si="11"/>
        <v>0</v>
      </c>
      <c r="W57" s="303">
        <f t="shared" si="12"/>
        <v>0</v>
      </c>
      <c r="X57" s="303">
        <f t="shared" si="13"/>
        <v>0</v>
      </c>
      <c r="Y57" s="303">
        <f t="shared" si="14"/>
        <v>0</v>
      </c>
      <c r="Z57" s="303">
        <f t="shared" si="15"/>
        <v>0</v>
      </c>
      <c r="AA57" s="303">
        <f t="shared" si="16"/>
        <v>0</v>
      </c>
      <c r="AB57" s="303">
        <f t="shared" si="17"/>
        <v>0</v>
      </c>
      <c r="AC57" s="303">
        <f t="shared" si="18"/>
        <v>0</v>
      </c>
      <c r="AD57" s="303">
        <f t="shared" si="19"/>
        <v>0</v>
      </c>
      <c r="AE57" s="303">
        <f t="shared" si="20"/>
        <v>0</v>
      </c>
      <c r="AF57" s="303">
        <f t="shared" si="21"/>
        <v>0</v>
      </c>
      <c r="AG57" s="303">
        <f t="shared" si="22"/>
        <v>0</v>
      </c>
      <c r="AH57" s="303">
        <f t="shared" si="23"/>
        <v>0</v>
      </c>
      <c r="AI57" s="303">
        <f t="shared" si="24"/>
        <v>0</v>
      </c>
      <c r="AJ57" s="303">
        <f t="shared" si="25"/>
        <v>0</v>
      </c>
      <c r="AK57" s="303">
        <f t="shared" si="26"/>
        <v>0</v>
      </c>
      <c r="AL57" s="303">
        <f t="shared" si="27"/>
        <v>0</v>
      </c>
      <c r="AM57" s="303">
        <f t="shared" si="28"/>
        <v>0</v>
      </c>
      <c r="AN57" s="303">
        <f t="shared" si="29"/>
        <v>0</v>
      </c>
      <c r="AO57" s="303">
        <f t="shared" ca="1" si="30"/>
        <v>34212166</v>
      </c>
      <c r="AP57" s="303">
        <f t="shared" si="31"/>
        <v>0</v>
      </c>
      <c r="AQ57" s="303">
        <f t="shared" si="32"/>
        <v>0</v>
      </c>
      <c r="AR57" s="303">
        <f t="shared" si="33"/>
        <v>0</v>
      </c>
      <c r="AS57" s="303">
        <f t="shared" si="34"/>
        <v>0</v>
      </c>
      <c r="AT57" s="303">
        <f t="shared" si="35"/>
        <v>0</v>
      </c>
      <c r="AU57" s="303">
        <f t="shared" si="36"/>
        <v>0</v>
      </c>
      <c r="AV57" s="303">
        <f t="shared" ca="1" si="37"/>
        <v>34212166</v>
      </c>
      <c r="AW57" s="303">
        <f t="shared" si="38"/>
        <v>0</v>
      </c>
    </row>
    <row r="58" spans="1:49" s="300" customFormat="1" ht="12.75" customHeight="1">
      <c r="A58" s="63">
        <f t="array" aca="1" ref="A58" ca="1">IF(C58&lt;&gt;0,SUM(($C$11:C58&lt;&gt;0)*1),"")</f>
        <v>48</v>
      </c>
      <c r="B58" s="301">
        <v>40633</v>
      </c>
      <c r="C58" s="304" t="s">
        <v>132</v>
      </c>
      <c r="D58" s="304">
        <f t="shared" si="42"/>
        <v>40633</v>
      </c>
      <c r="E58" s="305" t="s">
        <v>239</v>
      </c>
      <c r="F58" s="90">
        <f ca="1">AV63</f>
        <v>34212166</v>
      </c>
      <c r="G58" s="306" t="s">
        <v>111</v>
      </c>
      <c r="H58" s="306" t="s">
        <v>126</v>
      </c>
      <c r="I58" s="63">
        <f t="shared" ca="1" si="43"/>
        <v>48</v>
      </c>
      <c r="J58" s="303">
        <f t="shared" si="1"/>
        <v>0</v>
      </c>
      <c r="K58" s="303">
        <f t="shared" si="2"/>
        <v>0</v>
      </c>
      <c r="L58" s="303">
        <f t="shared" si="3"/>
        <v>0</v>
      </c>
      <c r="M58" s="303">
        <f t="shared" si="4"/>
        <v>0</v>
      </c>
      <c r="N58" s="303">
        <f t="shared" si="5"/>
        <v>0</v>
      </c>
      <c r="O58" s="303">
        <f t="shared" si="6"/>
        <v>0</v>
      </c>
      <c r="P58" s="303">
        <f t="shared" si="7"/>
        <v>0</v>
      </c>
      <c r="Q58" s="303">
        <f t="shared" si="8"/>
        <v>0</v>
      </c>
      <c r="R58" s="303">
        <f t="shared" si="39"/>
        <v>0</v>
      </c>
      <c r="S58" s="303">
        <f t="shared" si="40"/>
        <v>0</v>
      </c>
      <c r="T58" s="303">
        <f t="shared" si="9"/>
        <v>0</v>
      </c>
      <c r="U58" s="303">
        <f t="shared" si="10"/>
        <v>0</v>
      </c>
      <c r="V58" s="303">
        <f t="shared" si="11"/>
        <v>0</v>
      </c>
      <c r="W58" s="303">
        <f t="shared" si="12"/>
        <v>0</v>
      </c>
      <c r="X58" s="303">
        <f t="shared" si="13"/>
        <v>0</v>
      </c>
      <c r="Y58" s="303">
        <f t="shared" si="14"/>
        <v>0</v>
      </c>
      <c r="Z58" s="303">
        <f t="shared" si="15"/>
        <v>0</v>
      </c>
      <c r="AA58" s="303">
        <f t="shared" si="16"/>
        <v>0</v>
      </c>
      <c r="AB58" s="303">
        <f t="shared" si="17"/>
        <v>0</v>
      </c>
      <c r="AC58" s="303">
        <f t="shared" si="18"/>
        <v>0</v>
      </c>
      <c r="AD58" s="303">
        <f t="shared" si="19"/>
        <v>0</v>
      </c>
      <c r="AE58" s="303">
        <f t="shared" si="20"/>
        <v>0</v>
      </c>
      <c r="AF58" s="303">
        <f t="shared" si="21"/>
        <v>0</v>
      </c>
      <c r="AG58" s="303">
        <f t="shared" si="22"/>
        <v>0</v>
      </c>
      <c r="AH58" s="303">
        <f t="shared" ca="1" si="23"/>
        <v>34212166</v>
      </c>
      <c r="AI58" s="303">
        <f t="shared" si="24"/>
        <v>0</v>
      </c>
      <c r="AJ58" s="303">
        <f t="shared" si="25"/>
        <v>0</v>
      </c>
      <c r="AK58" s="303">
        <f t="shared" si="26"/>
        <v>0</v>
      </c>
      <c r="AL58" s="303">
        <f t="shared" si="27"/>
        <v>0</v>
      </c>
      <c r="AM58" s="303">
        <f t="shared" si="28"/>
        <v>0</v>
      </c>
      <c r="AN58" s="303">
        <f t="shared" si="29"/>
        <v>0</v>
      </c>
      <c r="AO58" s="303">
        <f t="shared" si="30"/>
        <v>0</v>
      </c>
      <c r="AP58" s="303">
        <f t="shared" si="31"/>
        <v>0</v>
      </c>
      <c r="AQ58" s="303">
        <f t="shared" si="32"/>
        <v>0</v>
      </c>
      <c r="AR58" s="303">
        <f t="shared" si="33"/>
        <v>0</v>
      </c>
      <c r="AS58" s="303">
        <f t="shared" si="34"/>
        <v>0</v>
      </c>
      <c r="AT58" s="303">
        <f t="shared" si="35"/>
        <v>0</v>
      </c>
      <c r="AU58" s="303">
        <f t="shared" si="36"/>
        <v>0</v>
      </c>
      <c r="AV58" s="303">
        <f t="shared" si="37"/>
        <v>0</v>
      </c>
      <c r="AW58" s="303">
        <f t="shared" ca="1" si="38"/>
        <v>34212166</v>
      </c>
    </row>
    <row r="59" spans="1:49" s="300" customFormat="1" ht="12.75" customHeight="1">
      <c r="A59" s="63">
        <f t="array" aca="1" ref="A59" ca="1">IF(C59&lt;&gt;0,SUM(($C$11:C59&lt;&gt;0)*1),"")</f>
        <v>49</v>
      </c>
      <c r="B59" s="301">
        <v>40633</v>
      </c>
      <c r="C59" s="304" t="s">
        <v>132</v>
      </c>
      <c r="D59" s="304">
        <f t="shared" si="42"/>
        <v>40633</v>
      </c>
      <c r="E59" s="305" t="s">
        <v>136</v>
      </c>
      <c r="F59" s="90">
        <f ca="1">AK63</f>
        <v>0</v>
      </c>
      <c r="G59" s="306" t="s">
        <v>58</v>
      </c>
      <c r="H59" s="306" t="s">
        <v>126</v>
      </c>
      <c r="I59" s="63">
        <f t="shared" ca="1" si="43"/>
        <v>49</v>
      </c>
      <c r="J59" s="303">
        <f t="shared" si="1"/>
        <v>0</v>
      </c>
      <c r="K59" s="303">
        <f t="shared" si="2"/>
        <v>0</v>
      </c>
      <c r="L59" s="303">
        <f t="shared" si="3"/>
        <v>0</v>
      </c>
      <c r="M59" s="303">
        <f t="shared" si="4"/>
        <v>0</v>
      </c>
      <c r="N59" s="303">
        <f t="shared" si="5"/>
        <v>0</v>
      </c>
      <c r="O59" s="303">
        <f t="shared" si="6"/>
        <v>0</v>
      </c>
      <c r="P59" s="303">
        <f t="shared" si="7"/>
        <v>0</v>
      </c>
      <c r="Q59" s="303">
        <f t="shared" si="8"/>
        <v>0</v>
      </c>
      <c r="R59" s="303">
        <f t="shared" si="39"/>
        <v>0</v>
      </c>
      <c r="S59" s="303">
        <f t="shared" si="40"/>
        <v>0</v>
      </c>
      <c r="T59" s="303">
        <f t="shared" si="9"/>
        <v>0</v>
      </c>
      <c r="U59" s="303">
        <f t="shared" si="10"/>
        <v>0</v>
      </c>
      <c r="V59" s="303">
        <f t="shared" si="11"/>
        <v>0</v>
      </c>
      <c r="W59" s="303">
        <f t="shared" si="12"/>
        <v>0</v>
      </c>
      <c r="X59" s="303">
        <f t="shared" si="13"/>
        <v>0</v>
      </c>
      <c r="Y59" s="303">
        <f t="shared" si="14"/>
        <v>0</v>
      </c>
      <c r="Z59" s="303">
        <f t="shared" si="15"/>
        <v>0</v>
      </c>
      <c r="AA59" s="303">
        <f t="shared" si="16"/>
        <v>0</v>
      </c>
      <c r="AB59" s="303">
        <f t="shared" si="17"/>
        <v>0</v>
      </c>
      <c r="AC59" s="303">
        <f t="shared" si="18"/>
        <v>0</v>
      </c>
      <c r="AD59" s="303">
        <f t="shared" si="19"/>
        <v>0</v>
      </c>
      <c r="AE59" s="303">
        <f t="shared" si="20"/>
        <v>0</v>
      </c>
      <c r="AF59" s="303">
        <f t="shared" si="21"/>
        <v>0</v>
      </c>
      <c r="AG59" s="303">
        <f t="shared" si="22"/>
        <v>0</v>
      </c>
      <c r="AH59" s="303">
        <f t="shared" si="23"/>
        <v>0</v>
      </c>
      <c r="AI59" s="303">
        <f t="shared" si="24"/>
        <v>0</v>
      </c>
      <c r="AJ59" s="303">
        <f t="shared" ca="1" si="25"/>
        <v>0</v>
      </c>
      <c r="AK59" s="303">
        <f t="shared" si="26"/>
        <v>0</v>
      </c>
      <c r="AL59" s="303">
        <f t="shared" si="27"/>
        <v>0</v>
      </c>
      <c r="AM59" s="303">
        <f t="shared" si="28"/>
        <v>0</v>
      </c>
      <c r="AN59" s="303">
        <f t="shared" si="29"/>
        <v>0</v>
      </c>
      <c r="AO59" s="303">
        <f t="shared" si="30"/>
        <v>0</v>
      </c>
      <c r="AP59" s="303">
        <f t="shared" si="31"/>
        <v>0</v>
      </c>
      <c r="AQ59" s="303">
        <f t="shared" si="32"/>
        <v>0</v>
      </c>
      <c r="AR59" s="303">
        <f t="shared" si="33"/>
        <v>0</v>
      </c>
      <c r="AS59" s="303">
        <f t="shared" si="34"/>
        <v>0</v>
      </c>
      <c r="AT59" s="303">
        <f t="shared" si="35"/>
        <v>0</v>
      </c>
      <c r="AU59" s="303">
        <f t="shared" si="36"/>
        <v>0</v>
      </c>
      <c r="AV59" s="303">
        <f t="shared" si="37"/>
        <v>0</v>
      </c>
      <c r="AW59" s="303">
        <f t="shared" ca="1" si="38"/>
        <v>0</v>
      </c>
    </row>
    <row r="60" spans="1:49" s="300" customFormat="1" ht="12.75" customHeight="1">
      <c r="A60" s="63">
        <f t="array" aca="1" ref="A60" ca="1">IF(C60&lt;&gt;0,SUM(($C$11:C60&lt;&gt;0)*1),"")</f>
        <v>50</v>
      </c>
      <c r="B60" s="301">
        <v>40633</v>
      </c>
      <c r="C60" s="304" t="s">
        <v>132</v>
      </c>
      <c r="D60" s="304">
        <f>B60</f>
        <v>40633</v>
      </c>
      <c r="E60" s="305" t="s">
        <v>137</v>
      </c>
      <c r="F60" s="90">
        <f ca="1">AQ63</f>
        <v>0</v>
      </c>
      <c r="G60" s="306" t="s">
        <v>120</v>
      </c>
      <c r="H60" s="306" t="s">
        <v>126</v>
      </c>
      <c r="I60" s="63">
        <f t="shared" ca="1" si="43"/>
        <v>50</v>
      </c>
      <c r="J60" s="303">
        <f t="shared" si="1"/>
        <v>0</v>
      </c>
      <c r="K60" s="303">
        <f t="shared" si="2"/>
        <v>0</v>
      </c>
      <c r="L60" s="303">
        <f t="shared" si="3"/>
        <v>0</v>
      </c>
      <c r="M60" s="303">
        <f t="shared" si="4"/>
        <v>0</v>
      </c>
      <c r="N60" s="303">
        <f t="shared" si="5"/>
        <v>0</v>
      </c>
      <c r="O60" s="303">
        <f t="shared" si="6"/>
        <v>0</v>
      </c>
      <c r="P60" s="303">
        <f t="shared" si="7"/>
        <v>0</v>
      </c>
      <c r="Q60" s="303">
        <f t="shared" si="8"/>
        <v>0</v>
      </c>
      <c r="R60" s="303">
        <f t="shared" si="39"/>
        <v>0</v>
      </c>
      <c r="S60" s="303">
        <f t="shared" si="40"/>
        <v>0</v>
      </c>
      <c r="T60" s="303">
        <f t="shared" si="9"/>
        <v>0</v>
      </c>
      <c r="U60" s="303">
        <f t="shared" si="10"/>
        <v>0</v>
      </c>
      <c r="V60" s="303">
        <f t="shared" si="11"/>
        <v>0</v>
      </c>
      <c r="W60" s="303">
        <f t="shared" si="12"/>
        <v>0</v>
      </c>
      <c r="X60" s="303">
        <f t="shared" si="13"/>
        <v>0</v>
      </c>
      <c r="Y60" s="303">
        <f t="shared" si="14"/>
        <v>0</v>
      </c>
      <c r="Z60" s="303">
        <f t="shared" si="15"/>
        <v>0</v>
      </c>
      <c r="AA60" s="303">
        <f t="shared" si="16"/>
        <v>0</v>
      </c>
      <c r="AB60" s="303">
        <f t="shared" si="17"/>
        <v>0</v>
      </c>
      <c r="AC60" s="303">
        <f t="shared" si="18"/>
        <v>0</v>
      </c>
      <c r="AD60" s="303">
        <f t="shared" si="19"/>
        <v>0</v>
      </c>
      <c r="AE60" s="303">
        <f t="shared" si="20"/>
        <v>0</v>
      </c>
      <c r="AF60" s="303">
        <f t="shared" si="21"/>
        <v>0</v>
      </c>
      <c r="AG60" s="303">
        <f t="shared" si="22"/>
        <v>0</v>
      </c>
      <c r="AH60" s="303">
        <f t="shared" si="23"/>
        <v>0</v>
      </c>
      <c r="AI60" s="303">
        <f t="shared" si="24"/>
        <v>0</v>
      </c>
      <c r="AJ60" s="303">
        <f t="shared" si="25"/>
        <v>0</v>
      </c>
      <c r="AK60" s="303">
        <f t="shared" si="26"/>
        <v>0</v>
      </c>
      <c r="AL60" s="303">
        <f t="shared" si="27"/>
        <v>0</v>
      </c>
      <c r="AM60" s="303">
        <f t="shared" si="28"/>
        <v>0</v>
      </c>
      <c r="AN60" s="303">
        <f t="shared" si="29"/>
        <v>0</v>
      </c>
      <c r="AO60" s="303">
        <f t="shared" si="30"/>
        <v>0</v>
      </c>
      <c r="AP60" s="303">
        <f t="shared" ca="1" si="31"/>
        <v>0</v>
      </c>
      <c r="AQ60" s="303">
        <f t="shared" si="32"/>
        <v>0</v>
      </c>
      <c r="AR60" s="303">
        <f t="shared" si="33"/>
        <v>0</v>
      </c>
      <c r="AS60" s="303">
        <f t="shared" si="34"/>
        <v>0</v>
      </c>
      <c r="AT60" s="303">
        <f t="shared" si="35"/>
        <v>0</v>
      </c>
      <c r="AU60" s="303">
        <f t="shared" si="36"/>
        <v>0</v>
      </c>
      <c r="AV60" s="303">
        <f t="shared" si="37"/>
        <v>0</v>
      </c>
      <c r="AW60" s="303">
        <f t="shared" ca="1" si="38"/>
        <v>0</v>
      </c>
    </row>
    <row r="61" spans="1:49" s="300" customFormat="1" ht="12.75" customHeight="1">
      <c r="A61" s="63">
        <f t="array" aca="1" ref="A61" ca="1">IF(C61&lt;&gt;0,SUM(($C$11:C61&lt;&gt;0)*1),"")</f>
        <v>51</v>
      </c>
      <c r="B61" s="301">
        <v>40633</v>
      </c>
      <c r="C61" s="304" t="s">
        <v>132</v>
      </c>
      <c r="D61" s="304">
        <f>B61</f>
        <v>40633</v>
      </c>
      <c r="E61" s="305" t="s">
        <v>138</v>
      </c>
      <c r="F61" s="90">
        <f ca="1">AR63</f>
        <v>0</v>
      </c>
      <c r="G61" s="306" t="s">
        <v>126</v>
      </c>
      <c r="H61" s="306" t="s">
        <v>122</v>
      </c>
      <c r="I61" s="63">
        <f t="shared" ca="1" si="43"/>
        <v>51</v>
      </c>
      <c r="J61" s="303">
        <f t="shared" si="1"/>
        <v>0</v>
      </c>
      <c r="K61" s="303">
        <f t="shared" si="2"/>
        <v>0</v>
      </c>
      <c r="L61" s="303">
        <f t="shared" si="3"/>
        <v>0</v>
      </c>
      <c r="M61" s="303">
        <f t="shared" si="4"/>
        <v>0</v>
      </c>
      <c r="N61" s="303">
        <f t="shared" si="5"/>
        <v>0</v>
      </c>
      <c r="O61" s="303">
        <f t="shared" si="6"/>
        <v>0</v>
      </c>
      <c r="P61" s="303">
        <f t="shared" si="7"/>
        <v>0</v>
      </c>
      <c r="Q61" s="303">
        <f t="shared" si="8"/>
        <v>0</v>
      </c>
      <c r="R61" s="303">
        <f t="shared" si="39"/>
        <v>0</v>
      </c>
      <c r="S61" s="303">
        <f t="shared" si="40"/>
        <v>0</v>
      </c>
      <c r="T61" s="303">
        <f t="shared" si="9"/>
        <v>0</v>
      </c>
      <c r="U61" s="303">
        <f t="shared" si="10"/>
        <v>0</v>
      </c>
      <c r="V61" s="303">
        <f t="shared" si="11"/>
        <v>0</v>
      </c>
      <c r="W61" s="303">
        <f t="shared" si="12"/>
        <v>0</v>
      </c>
      <c r="X61" s="303">
        <f t="shared" si="13"/>
        <v>0</v>
      </c>
      <c r="Y61" s="303">
        <f t="shared" si="14"/>
        <v>0</v>
      </c>
      <c r="Z61" s="303">
        <f t="shared" si="15"/>
        <v>0</v>
      </c>
      <c r="AA61" s="303">
        <f t="shared" si="16"/>
        <v>0</v>
      </c>
      <c r="AB61" s="303">
        <f t="shared" si="17"/>
        <v>0</v>
      </c>
      <c r="AC61" s="303">
        <f t="shared" si="18"/>
        <v>0</v>
      </c>
      <c r="AD61" s="303">
        <f t="shared" si="19"/>
        <v>0</v>
      </c>
      <c r="AE61" s="303">
        <f t="shared" si="20"/>
        <v>0</v>
      </c>
      <c r="AF61" s="303">
        <f t="shared" si="21"/>
        <v>0</v>
      </c>
      <c r="AG61" s="303">
        <f t="shared" si="22"/>
        <v>0</v>
      </c>
      <c r="AH61" s="303">
        <f t="shared" si="23"/>
        <v>0</v>
      </c>
      <c r="AI61" s="303">
        <f t="shared" si="24"/>
        <v>0</v>
      </c>
      <c r="AJ61" s="303">
        <f t="shared" si="25"/>
        <v>0</v>
      </c>
      <c r="AK61" s="303">
        <f t="shared" si="26"/>
        <v>0</v>
      </c>
      <c r="AL61" s="303">
        <f t="shared" si="27"/>
        <v>0</v>
      </c>
      <c r="AM61" s="303">
        <f t="shared" si="28"/>
        <v>0</v>
      </c>
      <c r="AN61" s="303">
        <f t="shared" si="29"/>
        <v>0</v>
      </c>
      <c r="AO61" s="303">
        <f t="shared" si="30"/>
        <v>0</v>
      </c>
      <c r="AP61" s="303">
        <f t="shared" si="31"/>
        <v>0</v>
      </c>
      <c r="AQ61" s="303">
        <f t="shared" si="32"/>
        <v>0</v>
      </c>
      <c r="AR61" s="303">
        <f t="shared" si="33"/>
        <v>0</v>
      </c>
      <c r="AS61" s="303">
        <f t="shared" ca="1" si="34"/>
        <v>0</v>
      </c>
      <c r="AT61" s="303">
        <f t="shared" si="35"/>
        <v>0</v>
      </c>
      <c r="AU61" s="303">
        <f t="shared" si="36"/>
        <v>0</v>
      </c>
      <c r="AV61" s="303">
        <f t="shared" ca="1" si="37"/>
        <v>0</v>
      </c>
      <c r="AW61" s="303">
        <f t="shared" si="38"/>
        <v>0</v>
      </c>
    </row>
    <row r="62" spans="1:49" s="300" customFormat="1" ht="12.75" customHeight="1">
      <c r="A62" s="63" t="str">
        <f t="array" ref="A62">IF(C62&lt;&gt;0,SUM(($C$11:C62&lt;&gt;0)*1),"")</f>
        <v/>
      </c>
      <c r="B62" s="251"/>
      <c r="C62" s="307"/>
      <c r="D62" s="251"/>
      <c r="E62" s="302"/>
      <c r="F62" s="65"/>
      <c r="G62" s="308"/>
      <c r="H62" s="308"/>
      <c r="I62" s="63" t="str">
        <f t="shared" si="43"/>
        <v/>
      </c>
      <c r="J62" s="303">
        <f t="shared" si="1"/>
        <v>0</v>
      </c>
      <c r="K62" s="303">
        <f t="shared" si="2"/>
        <v>0</v>
      </c>
      <c r="L62" s="303">
        <f t="shared" si="3"/>
        <v>0</v>
      </c>
      <c r="M62" s="303">
        <f t="shared" si="4"/>
        <v>0</v>
      </c>
      <c r="N62" s="303">
        <f t="shared" si="5"/>
        <v>0</v>
      </c>
      <c r="O62" s="303">
        <f t="shared" si="6"/>
        <v>0</v>
      </c>
      <c r="P62" s="303">
        <f t="shared" si="7"/>
        <v>0</v>
      </c>
      <c r="Q62" s="303">
        <f t="shared" si="8"/>
        <v>0</v>
      </c>
      <c r="R62" s="303">
        <f t="shared" si="39"/>
        <v>0</v>
      </c>
      <c r="S62" s="303">
        <f t="shared" si="40"/>
        <v>0</v>
      </c>
      <c r="T62" s="303">
        <f t="shared" si="9"/>
        <v>0</v>
      </c>
      <c r="U62" s="303">
        <f t="shared" si="10"/>
        <v>0</v>
      </c>
      <c r="V62" s="303">
        <f t="shared" si="11"/>
        <v>0</v>
      </c>
      <c r="W62" s="303">
        <f t="shared" si="12"/>
        <v>0</v>
      </c>
      <c r="X62" s="303">
        <f t="shared" si="13"/>
        <v>0</v>
      </c>
      <c r="Y62" s="303">
        <f t="shared" si="14"/>
        <v>0</v>
      </c>
      <c r="Z62" s="303">
        <f t="shared" si="15"/>
        <v>0</v>
      </c>
      <c r="AA62" s="303">
        <f t="shared" si="16"/>
        <v>0</v>
      </c>
      <c r="AB62" s="303">
        <f t="shared" si="17"/>
        <v>0</v>
      </c>
      <c r="AC62" s="303">
        <f t="shared" si="18"/>
        <v>0</v>
      </c>
      <c r="AD62" s="303">
        <f t="shared" si="19"/>
        <v>0</v>
      </c>
      <c r="AE62" s="303">
        <f t="shared" si="20"/>
        <v>0</v>
      </c>
      <c r="AF62" s="303">
        <f t="shared" si="21"/>
        <v>0</v>
      </c>
      <c r="AG62" s="303">
        <f t="shared" si="22"/>
        <v>0</v>
      </c>
      <c r="AH62" s="303">
        <f t="shared" si="23"/>
        <v>0</v>
      </c>
      <c r="AI62" s="303">
        <f t="shared" si="24"/>
        <v>0</v>
      </c>
      <c r="AJ62" s="303">
        <f t="shared" si="25"/>
        <v>0</v>
      </c>
      <c r="AK62" s="303">
        <f t="shared" si="26"/>
        <v>0</v>
      </c>
      <c r="AL62" s="303">
        <f t="shared" si="27"/>
        <v>0</v>
      </c>
      <c r="AM62" s="303">
        <f t="shared" si="28"/>
        <v>0</v>
      </c>
      <c r="AN62" s="303">
        <f t="shared" si="29"/>
        <v>0</v>
      </c>
      <c r="AO62" s="303">
        <f t="shared" si="30"/>
        <v>0</v>
      </c>
      <c r="AP62" s="303">
        <f t="shared" si="31"/>
        <v>0</v>
      </c>
      <c r="AQ62" s="303">
        <f t="shared" si="32"/>
        <v>0</v>
      </c>
      <c r="AR62" s="303">
        <f t="shared" si="33"/>
        <v>0</v>
      </c>
      <c r="AS62" s="303">
        <f t="shared" si="34"/>
        <v>0</v>
      </c>
      <c r="AT62" s="303">
        <f t="shared" si="35"/>
        <v>0</v>
      </c>
      <c r="AU62" s="303">
        <f t="shared" si="36"/>
        <v>0</v>
      </c>
      <c r="AV62" s="303">
        <f t="shared" si="37"/>
        <v>0</v>
      </c>
      <c r="AW62" s="303">
        <f t="shared" si="38"/>
        <v>0</v>
      </c>
    </row>
    <row r="63" spans="1:49" s="300" customFormat="1" ht="12.75" customHeight="1">
      <c r="A63" s="63" t="str">
        <f t="array" ref="A63">IF(C63&lt;&gt;0,SUM(($C$11:C63&lt;&gt;0)*1),"")</f>
        <v/>
      </c>
      <c r="B63" s="309"/>
      <c r="C63" s="309"/>
      <c r="D63" s="309"/>
      <c r="E63" s="302" t="s">
        <v>201</v>
      </c>
      <c r="F63" s="309"/>
      <c r="G63" s="308"/>
      <c r="H63" s="308"/>
      <c r="I63" s="309"/>
      <c r="J63" s="303">
        <f t="shared" ref="J63:AW63" ca="1" si="44">SUM(J11:J62)</f>
        <v>0</v>
      </c>
      <c r="K63" s="303">
        <f t="shared" ca="1" si="44"/>
        <v>584600000</v>
      </c>
      <c r="L63" s="303">
        <f t="shared" ca="1" si="44"/>
        <v>584600000</v>
      </c>
      <c r="M63" s="303">
        <f t="shared" ca="1" si="44"/>
        <v>584212166</v>
      </c>
      <c r="N63" s="303">
        <f t="shared" ca="1" si="44"/>
        <v>0</v>
      </c>
      <c r="O63" s="303">
        <f t="shared" ca="1" si="44"/>
        <v>0</v>
      </c>
      <c r="P63" s="303">
        <f t="shared" ca="1" si="44"/>
        <v>0</v>
      </c>
      <c r="Q63" s="303">
        <f t="shared" ca="1" si="44"/>
        <v>0</v>
      </c>
      <c r="R63" s="303">
        <f t="shared" ca="1" si="44"/>
        <v>0</v>
      </c>
      <c r="S63" s="303">
        <f t="shared" ca="1" si="44"/>
        <v>0</v>
      </c>
      <c r="T63" s="303">
        <f t="shared" ca="1" si="44"/>
        <v>582288666</v>
      </c>
      <c r="U63" s="303">
        <f t="shared" ca="1" si="44"/>
        <v>32288666</v>
      </c>
      <c r="V63" s="303">
        <f t="shared" ca="1" si="44"/>
        <v>0</v>
      </c>
      <c r="W63" s="303">
        <f t="shared" ca="1" si="44"/>
        <v>0</v>
      </c>
      <c r="X63" s="303">
        <f t="shared" ca="1" si="44"/>
        <v>1500000</v>
      </c>
      <c r="Y63" s="303">
        <f t="shared" ca="1" si="44"/>
        <v>1500000</v>
      </c>
      <c r="Z63" s="303">
        <f t="shared" ca="1" si="44"/>
        <v>484500000</v>
      </c>
      <c r="AA63" s="303">
        <f t="shared" ca="1" si="44"/>
        <v>484500000</v>
      </c>
      <c r="AB63" s="303">
        <f t="shared" ca="1" si="44"/>
        <v>0</v>
      </c>
      <c r="AC63" s="303">
        <f t="shared" ca="1" si="44"/>
        <v>0</v>
      </c>
      <c r="AD63" s="303">
        <f t="shared" ca="1" si="44"/>
        <v>0</v>
      </c>
      <c r="AE63" s="303">
        <f t="shared" ca="1" si="44"/>
        <v>0</v>
      </c>
      <c r="AF63" s="303">
        <f t="shared" ca="1" si="44"/>
        <v>1910000</v>
      </c>
      <c r="AG63" s="303">
        <f t="shared" ca="1" si="44"/>
        <v>0</v>
      </c>
      <c r="AH63" s="303">
        <f t="shared" ca="1" si="44"/>
        <v>34212166</v>
      </c>
      <c r="AI63" s="303">
        <f t="shared" ca="1" si="44"/>
        <v>1910000</v>
      </c>
      <c r="AJ63" s="303">
        <f t="shared" ca="1" si="44"/>
        <v>0</v>
      </c>
      <c r="AK63" s="303">
        <f t="shared" ca="1" si="44"/>
        <v>0</v>
      </c>
      <c r="AL63" s="303">
        <f t="shared" ca="1" si="44"/>
        <v>0</v>
      </c>
      <c r="AM63" s="303">
        <f t="shared" ca="1" si="44"/>
        <v>0</v>
      </c>
      <c r="AN63" s="303">
        <f t="shared" ca="1" si="44"/>
        <v>34212166</v>
      </c>
      <c r="AO63" s="303">
        <f t="shared" ca="1" si="44"/>
        <v>34212166</v>
      </c>
      <c r="AP63" s="303">
        <f t="shared" ca="1" si="44"/>
        <v>0</v>
      </c>
      <c r="AQ63" s="303">
        <f t="shared" ca="1" si="44"/>
        <v>0</v>
      </c>
      <c r="AR63" s="303">
        <f t="shared" ca="1" si="44"/>
        <v>0</v>
      </c>
      <c r="AS63" s="303">
        <f t="shared" ca="1" si="44"/>
        <v>0</v>
      </c>
      <c r="AT63" s="303">
        <f t="shared" ca="1" si="44"/>
        <v>0</v>
      </c>
      <c r="AU63" s="303">
        <f t="shared" ca="1" si="44"/>
        <v>0</v>
      </c>
      <c r="AV63" s="303">
        <f t="shared" ca="1" si="44"/>
        <v>34212166</v>
      </c>
      <c r="AW63" s="303">
        <f t="shared" ca="1" si="44"/>
        <v>34212166</v>
      </c>
    </row>
    <row r="64" spans="1:49" s="300" customFormat="1" ht="12.75" customHeight="1">
      <c r="A64" s="310"/>
      <c r="B64" s="310"/>
      <c r="C64" s="310"/>
      <c r="D64" s="310"/>
      <c r="E64" s="311" t="s">
        <v>240</v>
      </c>
      <c r="F64" s="310"/>
      <c r="G64" s="312"/>
      <c r="H64" s="312"/>
      <c r="I64" s="310"/>
      <c r="J64" s="313">
        <f ca="1">MAX(J10+J63-K10-K63,0)</f>
        <v>3410190000</v>
      </c>
      <c r="K64" s="313">
        <f ca="1">MAX(K10+K63-J10-J63,0)</f>
        <v>0</v>
      </c>
      <c r="L64" s="313">
        <f ca="1">MAX(L10+L63-M10-M63,0)</f>
        <v>387834</v>
      </c>
      <c r="M64" s="313">
        <f ca="1">MAX(M10+M63-L10-L63,0)</f>
        <v>0</v>
      </c>
      <c r="N64" s="313">
        <f ca="1">MAX(N10+N63-O10-O63,0)</f>
        <v>0</v>
      </c>
      <c r="O64" s="313">
        <f ca="1">MAX(O10+O63-N10-N63,0)</f>
        <v>0</v>
      </c>
      <c r="P64" s="313">
        <f ca="1">MAX(P10+P63-Q10-Q63,0)</f>
        <v>0</v>
      </c>
      <c r="Q64" s="313">
        <f ca="1">MAX(Q10+Q63-P10-P63,0)</f>
        <v>0</v>
      </c>
      <c r="R64" s="313">
        <f ca="1">MAX(R10+R63-S10-S63,0)</f>
        <v>0</v>
      </c>
      <c r="S64" s="313">
        <f ca="1">MAX(S10+S63-R10-R63,0)</f>
        <v>0</v>
      </c>
      <c r="T64" s="313">
        <f ca="1">MAX(T10+T63-U10-U63,0)</f>
        <v>550000000</v>
      </c>
      <c r="U64" s="313">
        <f ca="1">MAX(U10+U63-T10-T63,0)</f>
        <v>0</v>
      </c>
      <c r="V64" s="313">
        <f ca="1">MAX(V10+V63-W10-W63,0)</f>
        <v>0</v>
      </c>
      <c r="W64" s="313">
        <f ca="1">MAX(W10+W63-V10-V63,0)</f>
        <v>0</v>
      </c>
      <c r="X64" s="313">
        <f ca="1">MAX(X10+X63-Y10-Y63,0)</f>
        <v>0</v>
      </c>
      <c r="Y64" s="313">
        <f ca="1">MAX(Y10+Y63-X10-X63,0)</f>
        <v>0</v>
      </c>
      <c r="Z64" s="313">
        <f ca="1">MAX(Z10+Z63-AA10-AA63,0)</f>
        <v>0</v>
      </c>
      <c r="AA64" s="313">
        <f ca="1">MAX(AA10+AA63-Z10-Z63,0)</f>
        <v>0</v>
      </c>
      <c r="AB64" s="313">
        <f ca="1">MAX(AB10+AB63-AC10-AC63,0)</f>
        <v>0</v>
      </c>
      <c r="AC64" s="313">
        <f ca="1">MAX(AC10+AC63-AB10-AB63,0)</f>
        <v>0</v>
      </c>
      <c r="AD64" s="313">
        <f ca="1">MAX(AD10+AD63-AE10-AE63,0)</f>
        <v>0</v>
      </c>
      <c r="AE64" s="313">
        <f ca="1">MAX(AE10+AE63-AD10-AD63,0)</f>
        <v>4000000000</v>
      </c>
      <c r="AF64" s="313">
        <f ca="1">MAX(AF10+AF63-AG10-AG63,0)</f>
        <v>5210000</v>
      </c>
      <c r="AG64" s="313">
        <f ca="1">MAX(AG10+AG63-AF10-AF63,0)</f>
        <v>0</v>
      </c>
      <c r="AH64" s="313">
        <f ca="1">MAX(AH10+AH63-AI10-AI63,0)</f>
        <v>34212166</v>
      </c>
      <c r="AI64" s="313">
        <f ca="1">MAX(AI10+AI63-AH10-AH63,0)</f>
        <v>0</v>
      </c>
      <c r="AJ64" s="313">
        <f ca="1">MAX(AJ10+AJ63-AK10-AK63,0)</f>
        <v>0</v>
      </c>
      <c r="AK64" s="313">
        <f ca="1">MAX(AK10+AK63-AJ10-AJ63,0)</f>
        <v>0</v>
      </c>
      <c r="AL64" s="313">
        <f ca="1">MAX(AL10+AL63-AM10-AM63,0)</f>
        <v>0</v>
      </c>
      <c r="AM64" s="313">
        <f ca="1">MAX(AM10+AM63-AL10-AL63,0)</f>
        <v>0</v>
      </c>
      <c r="AN64" s="313">
        <f ca="1">MAX(AN10+AN63-AO10-AO63,0)</f>
        <v>0</v>
      </c>
      <c r="AO64" s="313">
        <f ca="1">MAX(AO10+AO63-AN10-AN63,0)</f>
        <v>0</v>
      </c>
      <c r="AP64" s="313">
        <f ca="1">MAX(AP10+AP63-AQ10-AQ63,0)</f>
        <v>0</v>
      </c>
      <c r="AQ64" s="313">
        <f ca="1">MAX(AQ10+AQ63-AP10-AP63,0)</f>
        <v>0</v>
      </c>
      <c r="AR64" s="313">
        <f ca="1">MAX(AR10+AR63-AS10-AS63,0)</f>
        <v>0</v>
      </c>
      <c r="AS64" s="313">
        <f ca="1">MAX(AS10+AS63-AR10-AR63,0)</f>
        <v>0</v>
      </c>
      <c r="AT64" s="313">
        <f ca="1">MAX(AT10+AT63-AU10-AU63,0)</f>
        <v>0</v>
      </c>
      <c r="AU64" s="313">
        <f ca="1">MAX(AU10+AU63-AT10-AT63,0)</f>
        <v>0</v>
      </c>
      <c r="AV64" s="313">
        <f ca="1">MAX(AV10+AV63-AW10-AW63,0)</f>
        <v>0</v>
      </c>
      <c r="AW64" s="313">
        <f ca="1">MAX(AW10+AW63-AV10-AV63,0)</f>
        <v>0</v>
      </c>
    </row>
    <row r="65" spans="1:49" s="300" customFormat="1" ht="12.75" customHeight="1">
      <c r="A65" s="314"/>
      <c r="B65" s="314"/>
      <c r="C65" s="315"/>
      <c r="D65" s="314"/>
      <c r="E65" s="316" t="s">
        <v>241</v>
      </c>
      <c r="F65" s="314"/>
      <c r="G65" s="317"/>
      <c r="H65" s="317"/>
      <c r="I65" s="314"/>
      <c r="J65" s="318">
        <f ca="1">J63</f>
        <v>0</v>
      </c>
      <c r="K65" s="318">
        <f ca="1">K63</f>
        <v>584600000</v>
      </c>
      <c r="L65" s="318">
        <f t="shared" ref="L65:AW65" ca="1" si="45">L63</f>
        <v>584600000</v>
      </c>
      <c r="M65" s="318">
        <f t="shared" ca="1" si="45"/>
        <v>584212166</v>
      </c>
      <c r="N65" s="318">
        <f t="shared" ca="1" si="45"/>
        <v>0</v>
      </c>
      <c r="O65" s="318">
        <f t="shared" ca="1" si="45"/>
        <v>0</v>
      </c>
      <c r="P65" s="318">
        <f t="shared" ca="1" si="45"/>
        <v>0</v>
      </c>
      <c r="Q65" s="318">
        <f t="shared" ca="1" si="45"/>
        <v>0</v>
      </c>
      <c r="R65" s="318">
        <f t="shared" ca="1" si="45"/>
        <v>0</v>
      </c>
      <c r="S65" s="318">
        <f t="shared" ca="1" si="45"/>
        <v>0</v>
      </c>
      <c r="T65" s="318">
        <f t="shared" ca="1" si="45"/>
        <v>582288666</v>
      </c>
      <c r="U65" s="318">
        <f t="shared" ca="1" si="45"/>
        <v>32288666</v>
      </c>
      <c r="V65" s="318">
        <f t="shared" ca="1" si="45"/>
        <v>0</v>
      </c>
      <c r="W65" s="318">
        <f t="shared" ca="1" si="45"/>
        <v>0</v>
      </c>
      <c r="X65" s="318">
        <f t="shared" ca="1" si="45"/>
        <v>1500000</v>
      </c>
      <c r="Y65" s="318">
        <f t="shared" ca="1" si="45"/>
        <v>1500000</v>
      </c>
      <c r="Z65" s="318">
        <f ca="1">Z63</f>
        <v>484500000</v>
      </c>
      <c r="AA65" s="318">
        <f t="shared" ca="1" si="45"/>
        <v>484500000</v>
      </c>
      <c r="AB65" s="318">
        <f t="shared" ca="1" si="45"/>
        <v>0</v>
      </c>
      <c r="AC65" s="318">
        <f t="shared" ca="1" si="45"/>
        <v>0</v>
      </c>
      <c r="AD65" s="318">
        <f t="shared" ca="1" si="45"/>
        <v>0</v>
      </c>
      <c r="AE65" s="318">
        <f t="shared" ca="1" si="45"/>
        <v>0</v>
      </c>
      <c r="AF65" s="318">
        <f t="shared" ca="1" si="45"/>
        <v>1910000</v>
      </c>
      <c r="AG65" s="318">
        <f t="shared" ca="1" si="45"/>
        <v>0</v>
      </c>
      <c r="AH65" s="318">
        <f t="shared" ca="1" si="45"/>
        <v>34212166</v>
      </c>
      <c r="AI65" s="318">
        <f t="shared" ca="1" si="45"/>
        <v>1910000</v>
      </c>
      <c r="AJ65" s="318">
        <f t="shared" ca="1" si="45"/>
        <v>0</v>
      </c>
      <c r="AK65" s="318">
        <f t="shared" ca="1" si="45"/>
        <v>0</v>
      </c>
      <c r="AL65" s="318">
        <f t="shared" ca="1" si="45"/>
        <v>0</v>
      </c>
      <c r="AM65" s="318">
        <f t="shared" ca="1" si="45"/>
        <v>0</v>
      </c>
      <c r="AN65" s="318">
        <f t="shared" ca="1" si="45"/>
        <v>34212166</v>
      </c>
      <c r="AO65" s="318">
        <f t="shared" ca="1" si="45"/>
        <v>34212166</v>
      </c>
      <c r="AP65" s="318">
        <f t="shared" ca="1" si="45"/>
        <v>0</v>
      </c>
      <c r="AQ65" s="318">
        <f t="shared" ca="1" si="45"/>
        <v>0</v>
      </c>
      <c r="AR65" s="318">
        <f t="shared" ca="1" si="45"/>
        <v>0</v>
      </c>
      <c r="AS65" s="318">
        <f t="shared" ca="1" si="45"/>
        <v>0</v>
      </c>
      <c r="AT65" s="318">
        <f ca="1">AT63</f>
        <v>0</v>
      </c>
      <c r="AU65" s="318">
        <f ca="1">AU63</f>
        <v>0</v>
      </c>
      <c r="AV65" s="318">
        <f t="shared" ca="1" si="45"/>
        <v>34212166</v>
      </c>
      <c r="AW65" s="318">
        <f t="shared" ca="1" si="45"/>
        <v>34212166</v>
      </c>
    </row>
    <row r="66" spans="1:49" ht="12" customHeight="1">
      <c r="B66" s="319"/>
      <c r="C66" s="320"/>
      <c r="D66" s="320"/>
      <c r="E66" s="320"/>
      <c r="F66" s="320"/>
      <c r="G66" s="321"/>
      <c r="H66" s="321"/>
      <c r="I66" s="320"/>
      <c r="J66" s="320"/>
      <c r="K66" s="320"/>
    </row>
    <row r="67" spans="1:49">
      <c r="F67" s="322"/>
      <c r="M67" s="322"/>
      <c r="O67" s="322"/>
      <c r="P67" s="322"/>
      <c r="Q67" s="322"/>
      <c r="R67" s="322"/>
      <c r="S67" s="322"/>
      <c r="T67" s="322"/>
      <c r="AH67" s="323" t="s">
        <v>242</v>
      </c>
      <c r="AI67" s="324"/>
      <c r="AJ67" s="324"/>
      <c r="AK67" s="324"/>
      <c r="AL67" s="324"/>
      <c r="AM67" s="324"/>
      <c r="AN67" s="325"/>
      <c r="AO67" s="325"/>
      <c r="AP67" s="324"/>
    </row>
    <row r="68" spans="1:49">
      <c r="F68" s="322"/>
      <c r="M68" s="322"/>
      <c r="O68" s="322"/>
      <c r="P68" s="322"/>
      <c r="Q68" s="322"/>
      <c r="R68" s="322"/>
      <c r="S68" s="322"/>
      <c r="T68" s="322"/>
      <c r="AH68" s="326" t="s">
        <v>243</v>
      </c>
      <c r="AI68" s="324"/>
      <c r="AJ68" s="324"/>
      <c r="AK68" s="324"/>
      <c r="AL68" s="324"/>
      <c r="AM68" s="324"/>
      <c r="AN68" s="325"/>
      <c r="AO68" s="325"/>
      <c r="AP68" s="324"/>
    </row>
    <row r="69" spans="1:49">
      <c r="F69" s="322"/>
      <c r="M69" s="322"/>
      <c r="O69" s="322"/>
      <c r="P69" s="322"/>
      <c r="Q69" s="322"/>
      <c r="R69" s="322"/>
      <c r="S69" s="322"/>
      <c r="T69" s="322"/>
      <c r="AH69" s="324"/>
      <c r="AI69" s="324"/>
      <c r="AJ69" s="324"/>
      <c r="AK69" s="324"/>
      <c r="AL69" s="324"/>
      <c r="AM69" s="324"/>
      <c r="AN69" s="324"/>
      <c r="AO69" s="324"/>
      <c r="AP69" s="325"/>
    </row>
    <row r="70" spans="1:49">
      <c r="F70" s="322"/>
      <c r="AH70" s="324"/>
      <c r="AI70" s="324"/>
      <c r="AJ70" s="324"/>
      <c r="AK70" s="324"/>
      <c r="AL70" s="324"/>
      <c r="AM70" s="324"/>
      <c r="AN70" s="324"/>
      <c r="AO70" s="324"/>
      <c r="AP70" s="325"/>
      <c r="AV70" s="327" t="str">
        <f>"Ngày 31 tháng 03 năm 2015 "</f>
        <v xml:space="preserve">Ngày 31 tháng 03 năm 2015 </v>
      </c>
    </row>
    <row r="71" spans="1:49">
      <c r="F71" s="322"/>
      <c r="M71" s="322"/>
      <c r="O71" s="322"/>
      <c r="P71" s="322"/>
      <c r="Q71" s="322"/>
      <c r="R71" s="322"/>
      <c r="S71" s="322"/>
      <c r="T71" s="322"/>
      <c r="AH71" s="324"/>
      <c r="AI71" s="328" t="s">
        <v>13</v>
      </c>
      <c r="AJ71" s="324"/>
      <c r="AK71" s="324"/>
      <c r="AL71" s="324"/>
      <c r="AM71" s="324"/>
      <c r="AN71" s="324"/>
      <c r="AO71" s="329" t="s">
        <v>14</v>
      </c>
      <c r="AP71" s="325"/>
      <c r="AV71" s="328" t="s">
        <v>150</v>
      </c>
    </row>
    <row r="72" spans="1:49">
      <c r="F72" s="322"/>
      <c r="M72" s="322"/>
      <c r="O72" s="322"/>
      <c r="P72" s="322"/>
      <c r="Q72" s="322"/>
      <c r="R72" s="322"/>
      <c r="S72" s="322"/>
      <c r="T72" s="322"/>
      <c r="AH72" s="324"/>
      <c r="AI72" s="330" t="s">
        <v>15</v>
      </c>
      <c r="AJ72" s="324"/>
      <c r="AK72" s="324"/>
      <c r="AL72" s="324"/>
      <c r="AM72" s="324"/>
      <c r="AN72" s="324"/>
      <c r="AO72" s="331" t="s">
        <v>15</v>
      </c>
      <c r="AP72" s="325"/>
      <c r="AV72" s="330" t="s">
        <v>182</v>
      </c>
    </row>
    <row r="73" spans="1:49">
      <c r="F73" s="322"/>
      <c r="M73" s="322"/>
      <c r="O73" s="322"/>
      <c r="P73" s="322"/>
      <c r="Q73" s="322"/>
      <c r="R73" s="322"/>
      <c r="S73" s="322"/>
      <c r="T73" s="322"/>
      <c r="AH73" s="324"/>
      <c r="AI73" s="324"/>
      <c r="AJ73" s="324"/>
      <c r="AK73" s="324"/>
      <c r="AL73" s="324"/>
      <c r="AM73" s="324"/>
      <c r="AN73" s="324"/>
      <c r="AO73" s="324"/>
      <c r="AP73" s="325"/>
      <c r="AV73" s="324"/>
    </row>
    <row r="74" spans="1:49">
      <c r="F74" s="322"/>
      <c r="M74" s="322"/>
      <c r="O74" s="322"/>
      <c r="P74" s="322"/>
      <c r="Q74" s="322"/>
      <c r="R74" s="322"/>
      <c r="S74" s="322"/>
      <c r="T74" s="322"/>
      <c r="AV74" s="324"/>
    </row>
    <row r="75" spans="1:49">
      <c r="F75" s="322"/>
      <c r="M75" s="322"/>
      <c r="O75" s="322"/>
      <c r="P75" s="322"/>
      <c r="Q75" s="322"/>
      <c r="R75" s="322"/>
      <c r="S75" s="322"/>
      <c r="T75" s="322"/>
    </row>
    <row r="76" spans="1:49">
      <c r="F76" s="322"/>
      <c r="M76" s="322"/>
      <c r="O76" s="322"/>
      <c r="P76" s="322"/>
      <c r="Q76" s="322"/>
      <c r="R76" s="322"/>
      <c r="S76" s="322"/>
      <c r="T76" s="322"/>
    </row>
    <row r="77" spans="1:49">
      <c r="F77" s="322"/>
    </row>
    <row r="78" spans="1:49">
      <c r="F78" s="322"/>
      <c r="M78" s="322"/>
      <c r="O78" s="322"/>
      <c r="P78" s="322"/>
      <c r="Q78" s="322"/>
      <c r="R78" s="322"/>
      <c r="S78" s="322"/>
      <c r="T78" s="322"/>
    </row>
    <row r="79" spans="1:49">
      <c r="F79" s="322"/>
      <c r="M79" s="322"/>
      <c r="O79" s="322"/>
      <c r="P79" s="322"/>
      <c r="Q79" s="322"/>
      <c r="R79" s="322"/>
      <c r="S79" s="322"/>
      <c r="T79" s="322"/>
    </row>
    <row r="80" spans="1:49">
      <c r="F80" s="322"/>
      <c r="M80" s="322"/>
      <c r="O80" s="322"/>
      <c r="P80" s="322"/>
      <c r="Q80" s="322"/>
      <c r="R80" s="322"/>
      <c r="S80" s="322"/>
      <c r="T80" s="322"/>
    </row>
    <row r="81" spans="6:20">
      <c r="F81" s="322"/>
      <c r="M81" s="322"/>
      <c r="O81" s="322"/>
      <c r="P81" s="322"/>
      <c r="Q81" s="322"/>
      <c r="R81" s="322"/>
      <c r="S81" s="322"/>
      <c r="T81" s="322"/>
    </row>
    <row r="82" spans="6:20">
      <c r="F82" s="322"/>
      <c r="M82" s="322"/>
      <c r="O82" s="322"/>
      <c r="P82" s="322"/>
      <c r="Q82" s="322"/>
      <c r="R82" s="322"/>
      <c r="S82" s="322"/>
      <c r="T82" s="322"/>
    </row>
    <row r="83" spans="6:20">
      <c r="F83" s="322"/>
      <c r="M83" s="322"/>
      <c r="O83" s="322"/>
      <c r="P83" s="322"/>
      <c r="Q83" s="322"/>
      <c r="R83" s="322"/>
      <c r="S83" s="322"/>
      <c r="T83" s="322"/>
    </row>
    <row r="84" spans="6:20">
      <c r="F84" s="322"/>
      <c r="M84" s="322"/>
      <c r="O84" s="322"/>
      <c r="P84" s="322"/>
      <c r="Q84" s="322"/>
      <c r="R84" s="322"/>
      <c r="S84" s="322"/>
      <c r="T84" s="322"/>
    </row>
    <row r="85" spans="6:20">
      <c r="F85" s="322"/>
      <c r="M85" s="322"/>
      <c r="O85" s="322"/>
      <c r="P85" s="322"/>
      <c r="Q85" s="322"/>
      <c r="R85" s="322"/>
      <c r="S85" s="322"/>
      <c r="T85" s="322"/>
    </row>
    <row r="86" spans="6:20">
      <c r="F86" s="322"/>
      <c r="M86" s="322"/>
      <c r="O86" s="322"/>
      <c r="P86" s="322"/>
      <c r="Q86" s="322"/>
      <c r="R86" s="322"/>
      <c r="S86" s="322"/>
      <c r="T86" s="322"/>
    </row>
    <row r="87" spans="6:20">
      <c r="F87" s="322"/>
      <c r="M87" s="322"/>
      <c r="O87" s="322"/>
      <c r="P87" s="322"/>
      <c r="Q87" s="322"/>
      <c r="R87" s="322"/>
      <c r="S87" s="322"/>
      <c r="T87" s="322"/>
    </row>
    <row r="88" spans="6:20">
      <c r="F88" s="322"/>
      <c r="M88" s="322"/>
      <c r="O88" s="322"/>
      <c r="P88" s="322"/>
      <c r="Q88" s="322"/>
      <c r="R88" s="322"/>
      <c r="S88" s="322"/>
      <c r="T88" s="322"/>
    </row>
    <row r="89" spans="6:20">
      <c r="F89" s="322"/>
      <c r="M89" s="322"/>
      <c r="O89" s="322"/>
      <c r="P89" s="322"/>
      <c r="Q89" s="322"/>
      <c r="R89" s="322"/>
      <c r="S89" s="322"/>
      <c r="T89" s="322"/>
    </row>
    <row r="90" spans="6:20">
      <c r="F90" s="322"/>
      <c r="M90" s="322"/>
      <c r="O90" s="322"/>
      <c r="P90" s="322"/>
      <c r="Q90" s="322"/>
      <c r="R90" s="322"/>
      <c r="S90" s="322"/>
      <c r="T90" s="322"/>
    </row>
    <row r="91" spans="6:20">
      <c r="F91" s="322"/>
      <c r="M91" s="322"/>
      <c r="O91" s="322"/>
      <c r="P91" s="322"/>
      <c r="Q91" s="322"/>
      <c r="R91" s="322"/>
      <c r="S91" s="322"/>
      <c r="T91" s="322"/>
    </row>
    <row r="92" spans="6:20">
      <c r="F92" s="322"/>
      <c r="M92" s="322"/>
      <c r="O92" s="322"/>
      <c r="P92" s="322"/>
      <c r="Q92" s="322"/>
      <c r="R92" s="322"/>
      <c r="S92" s="322"/>
      <c r="T92" s="322"/>
    </row>
    <row r="93" spans="6:20">
      <c r="F93" s="322"/>
      <c r="M93" s="322"/>
      <c r="O93" s="322"/>
      <c r="P93" s="322"/>
      <c r="Q93" s="322"/>
      <c r="R93" s="322"/>
      <c r="S93" s="322"/>
      <c r="T93" s="322"/>
    </row>
    <row r="94" spans="6:20">
      <c r="F94" s="322"/>
      <c r="M94" s="322"/>
      <c r="O94" s="322"/>
      <c r="P94" s="322"/>
      <c r="Q94" s="322"/>
      <c r="R94" s="322"/>
      <c r="S94" s="322"/>
      <c r="T94" s="322"/>
    </row>
    <row r="95" spans="6:20">
      <c r="F95" s="322"/>
      <c r="M95" s="322"/>
      <c r="O95" s="322"/>
      <c r="P95" s="322"/>
      <c r="Q95" s="322"/>
      <c r="R95" s="322"/>
      <c r="S95" s="322"/>
      <c r="T95" s="322"/>
    </row>
    <row r="96" spans="6:20">
      <c r="F96" s="322"/>
      <c r="M96" s="322"/>
      <c r="O96" s="322"/>
      <c r="P96" s="322"/>
      <c r="Q96" s="322"/>
      <c r="R96" s="322"/>
      <c r="S96" s="322"/>
      <c r="T96" s="322"/>
    </row>
    <row r="97" spans="6:20">
      <c r="F97" s="322"/>
      <c r="M97" s="322"/>
      <c r="O97" s="322"/>
      <c r="P97" s="322"/>
      <c r="Q97" s="322"/>
      <c r="R97" s="322"/>
      <c r="S97" s="322"/>
      <c r="T97" s="322"/>
    </row>
    <row r="98" spans="6:20">
      <c r="F98" s="322"/>
      <c r="M98" s="322"/>
      <c r="O98" s="322"/>
      <c r="P98" s="322"/>
      <c r="Q98" s="322"/>
      <c r="R98" s="322"/>
      <c r="S98" s="322"/>
      <c r="T98" s="322"/>
    </row>
    <row r="99" spans="6:20">
      <c r="F99" s="322"/>
      <c r="M99" s="322"/>
      <c r="O99" s="322"/>
      <c r="P99" s="322"/>
      <c r="Q99" s="322"/>
      <c r="R99" s="322"/>
      <c r="S99" s="322"/>
      <c r="T99" s="322"/>
    </row>
    <row r="100" spans="6:20">
      <c r="F100" s="322"/>
      <c r="M100" s="322"/>
      <c r="O100" s="322"/>
      <c r="P100" s="322"/>
      <c r="Q100" s="322"/>
      <c r="R100" s="322"/>
      <c r="S100" s="322"/>
      <c r="T100" s="322"/>
    </row>
    <row r="101" spans="6:20">
      <c r="F101" s="322"/>
      <c r="M101" s="322"/>
      <c r="O101" s="322"/>
      <c r="P101" s="322"/>
      <c r="Q101" s="322"/>
      <c r="R101" s="322"/>
      <c r="S101" s="322"/>
      <c r="T101" s="322"/>
    </row>
    <row r="102" spans="6:20">
      <c r="F102" s="322"/>
      <c r="M102" s="322"/>
      <c r="O102" s="322"/>
      <c r="P102" s="322"/>
      <c r="Q102" s="322"/>
      <c r="R102" s="322"/>
      <c r="S102" s="322"/>
      <c r="T102" s="322"/>
    </row>
    <row r="103" spans="6:20">
      <c r="F103" s="322"/>
      <c r="M103" s="322"/>
      <c r="O103" s="322"/>
      <c r="P103" s="322"/>
      <c r="Q103" s="322"/>
      <c r="R103" s="322"/>
      <c r="S103" s="322"/>
      <c r="T103" s="322"/>
    </row>
    <row r="104" spans="6:20">
      <c r="F104" s="322"/>
      <c r="M104" s="322"/>
      <c r="O104" s="322"/>
      <c r="P104" s="322"/>
      <c r="Q104" s="322"/>
      <c r="R104" s="322"/>
      <c r="S104" s="322"/>
      <c r="T104" s="322"/>
    </row>
    <row r="105" spans="6:20">
      <c r="F105" s="322"/>
      <c r="M105" s="322"/>
      <c r="O105" s="322"/>
      <c r="P105" s="322"/>
      <c r="Q105" s="322"/>
      <c r="R105" s="322"/>
      <c r="S105" s="322"/>
      <c r="T105" s="322"/>
    </row>
    <row r="106" spans="6:20">
      <c r="F106" s="322"/>
      <c r="M106" s="322"/>
      <c r="O106" s="322"/>
      <c r="P106" s="322"/>
      <c r="Q106" s="322"/>
      <c r="R106" s="322"/>
      <c r="S106" s="322"/>
      <c r="T106" s="322"/>
    </row>
    <row r="107" spans="6:20">
      <c r="F107" s="322"/>
      <c r="M107" s="322"/>
      <c r="O107" s="322"/>
      <c r="P107" s="322"/>
      <c r="Q107" s="322"/>
      <c r="R107" s="322"/>
      <c r="S107" s="322"/>
      <c r="T107" s="322"/>
    </row>
    <row r="108" spans="6:20">
      <c r="F108" s="322"/>
      <c r="M108" s="322"/>
      <c r="O108" s="322"/>
      <c r="P108" s="322"/>
      <c r="Q108" s="322"/>
      <c r="R108" s="322"/>
      <c r="S108" s="322"/>
      <c r="T108" s="322"/>
    </row>
    <row r="109" spans="6:20">
      <c r="F109" s="322"/>
      <c r="M109" s="322"/>
      <c r="O109" s="322"/>
      <c r="P109" s="322"/>
      <c r="Q109" s="322"/>
      <c r="R109" s="322"/>
      <c r="S109" s="322"/>
      <c r="T109" s="322"/>
    </row>
    <row r="110" spans="6:20">
      <c r="F110" s="322"/>
      <c r="M110" s="322"/>
      <c r="O110" s="322"/>
      <c r="P110" s="322"/>
      <c r="Q110" s="322"/>
      <c r="R110" s="322"/>
      <c r="S110" s="322"/>
      <c r="T110" s="322"/>
    </row>
    <row r="111" spans="6:20">
      <c r="F111" s="322"/>
      <c r="M111" s="322"/>
      <c r="O111" s="322"/>
      <c r="P111" s="322"/>
      <c r="Q111" s="322"/>
      <c r="R111" s="322"/>
      <c r="S111" s="322"/>
      <c r="T111" s="322"/>
    </row>
    <row r="112" spans="6:20">
      <c r="F112" s="322"/>
      <c r="M112" s="322"/>
      <c r="O112" s="322"/>
      <c r="P112" s="322"/>
      <c r="Q112" s="322"/>
      <c r="R112" s="322"/>
      <c r="S112" s="322"/>
      <c r="T112" s="322"/>
    </row>
    <row r="113" spans="6:20">
      <c r="F113" s="322"/>
      <c r="M113" s="322"/>
      <c r="O113" s="322"/>
      <c r="P113" s="322"/>
      <c r="Q113" s="322"/>
      <c r="R113" s="322"/>
      <c r="S113" s="322"/>
      <c r="T113" s="322"/>
    </row>
    <row r="114" spans="6:20">
      <c r="F114" s="322"/>
      <c r="M114" s="322"/>
      <c r="O114" s="322"/>
      <c r="P114" s="322"/>
      <c r="Q114" s="322"/>
      <c r="R114" s="322"/>
      <c r="S114" s="322"/>
      <c r="T114" s="322"/>
    </row>
    <row r="115" spans="6:20">
      <c r="F115" s="322"/>
      <c r="M115" s="322"/>
      <c r="O115" s="322"/>
      <c r="P115" s="322"/>
      <c r="Q115" s="322"/>
      <c r="R115" s="322"/>
      <c r="S115" s="322"/>
      <c r="T115" s="322"/>
    </row>
    <row r="116" spans="6:20">
      <c r="F116" s="322"/>
      <c r="M116" s="322"/>
      <c r="O116" s="322"/>
      <c r="P116" s="322"/>
      <c r="Q116" s="322"/>
      <c r="R116" s="322"/>
      <c r="S116" s="322"/>
      <c r="T116" s="322"/>
    </row>
    <row r="117" spans="6:20">
      <c r="F117" s="322"/>
      <c r="M117" s="322"/>
      <c r="O117" s="322"/>
      <c r="P117" s="322"/>
      <c r="Q117" s="322"/>
      <c r="R117" s="322"/>
      <c r="S117" s="322"/>
      <c r="T117" s="322"/>
    </row>
    <row r="118" spans="6:20">
      <c r="F118" s="322"/>
      <c r="M118" s="322"/>
      <c r="O118" s="322"/>
      <c r="P118" s="322"/>
      <c r="Q118" s="322"/>
      <c r="R118" s="322"/>
      <c r="S118" s="322"/>
      <c r="T118" s="322"/>
    </row>
    <row r="119" spans="6:20">
      <c r="F119" s="322"/>
      <c r="M119" s="322"/>
      <c r="O119" s="322"/>
      <c r="P119" s="322"/>
      <c r="Q119" s="322"/>
      <c r="R119" s="322"/>
      <c r="S119" s="322"/>
      <c r="T119" s="322"/>
    </row>
    <row r="120" spans="6:20">
      <c r="F120" s="322"/>
      <c r="M120" s="322"/>
      <c r="O120" s="322"/>
      <c r="P120" s="322"/>
      <c r="Q120" s="322"/>
      <c r="R120" s="322"/>
      <c r="S120" s="322"/>
      <c r="T120" s="322"/>
    </row>
    <row r="121" spans="6:20">
      <c r="F121" s="322"/>
      <c r="M121" s="322"/>
      <c r="O121" s="322"/>
      <c r="P121" s="322"/>
      <c r="Q121" s="322"/>
      <c r="R121" s="322"/>
      <c r="S121" s="322"/>
      <c r="T121" s="322"/>
    </row>
    <row r="122" spans="6:20">
      <c r="M122" s="322"/>
      <c r="O122" s="322"/>
      <c r="P122" s="322"/>
      <c r="Q122" s="322"/>
      <c r="R122" s="322"/>
      <c r="S122" s="322"/>
      <c r="T122" s="322"/>
    </row>
    <row r="123" spans="6:20">
      <c r="M123" s="322"/>
      <c r="O123" s="322"/>
      <c r="P123" s="322"/>
      <c r="Q123" s="322"/>
      <c r="R123" s="322"/>
      <c r="S123" s="322"/>
      <c r="T123" s="322"/>
    </row>
  </sheetData>
  <autoFilter ref="A9:AW65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03"/>
  <sheetViews>
    <sheetView topLeftCell="A7" workbookViewId="0">
      <pane xSplit="8" ySplit="5" topLeftCell="AS15" activePane="bottomRight" state="frozen"/>
      <selection activeCell="E170" sqref="E170"/>
      <selection pane="topRight" activeCell="E170" sqref="E170"/>
      <selection pane="bottomLeft" activeCell="E170" sqref="E170"/>
      <selection pane="bottomRight" activeCell="F37" sqref="F37"/>
    </sheetView>
  </sheetViews>
  <sheetFormatPr defaultRowHeight="12.75"/>
  <cols>
    <col min="1" max="1" width="4.85546875" style="278" customWidth="1"/>
    <col min="2" max="2" width="9" style="278" customWidth="1"/>
    <col min="3" max="3" width="7.85546875" style="278" customWidth="1"/>
    <col min="4" max="4" width="9.42578125" style="278" customWidth="1"/>
    <col min="5" max="5" width="53.28515625" style="278" customWidth="1"/>
    <col min="6" max="6" width="14.42578125" style="278" customWidth="1"/>
    <col min="7" max="8" width="5.85546875" style="279" customWidth="1"/>
    <col min="9" max="9" width="4.85546875" style="278" customWidth="1"/>
    <col min="10" max="10" width="15.42578125" style="278" customWidth="1"/>
    <col min="11" max="11" width="15.140625" style="278" customWidth="1"/>
    <col min="12" max="12" width="15" style="278" customWidth="1"/>
    <col min="13" max="13" width="15.5703125" style="278" customWidth="1"/>
    <col min="14" max="14" width="14.28515625" style="278" customWidth="1"/>
    <col min="15" max="15" width="7.85546875" style="278" customWidth="1"/>
    <col min="16" max="16" width="13" style="278" customWidth="1"/>
    <col min="17" max="17" width="12.7109375" style="278" customWidth="1"/>
    <col min="18" max="18" width="14.5703125" style="278" customWidth="1"/>
    <col min="19" max="19" width="6" style="278" customWidth="1"/>
    <col min="20" max="20" width="14.5703125" style="278" customWidth="1"/>
    <col min="21" max="21" width="14" style="278" customWidth="1"/>
    <col min="22" max="22" width="6.5703125" style="278" customWidth="1"/>
    <col min="23" max="23" width="7.42578125" style="278" customWidth="1"/>
    <col min="24" max="25" width="11.140625" style="278" customWidth="1"/>
    <col min="26" max="27" width="12.5703125" style="278" customWidth="1"/>
    <col min="28" max="28" width="5.28515625" style="278" customWidth="1"/>
    <col min="29" max="29" width="15" style="278" customWidth="1"/>
    <col min="30" max="30" width="5.85546875" style="278" customWidth="1"/>
    <col min="31" max="31" width="13.85546875" style="278" customWidth="1"/>
    <col min="32" max="32" width="12.5703125" style="278" customWidth="1"/>
    <col min="33" max="33" width="5.7109375" style="278" customWidth="1"/>
    <col min="34" max="34" width="14.42578125" style="278" customWidth="1"/>
    <col min="35" max="35" width="13.85546875" style="278" customWidth="1"/>
    <col min="36" max="36" width="9.85546875" style="278" customWidth="1"/>
    <col min="37" max="37" width="9.7109375" style="278" customWidth="1"/>
    <col min="38" max="38" width="13.140625" style="278" customWidth="1"/>
    <col min="39" max="39" width="12.5703125" style="278" customWidth="1"/>
    <col min="40" max="41" width="14.28515625" style="278" customWidth="1"/>
    <col min="42" max="42" width="7" style="278" customWidth="1"/>
    <col min="43" max="43" width="7.5703125" style="278" customWidth="1"/>
    <col min="44" max="44" width="4.7109375" style="278" customWidth="1"/>
    <col min="45" max="45" width="9.5703125" style="278" customWidth="1"/>
    <col min="46" max="47" width="12.28515625" style="278" customWidth="1"/>
    <col min="48" max="48" width="15.7109375" style="278" customWidth="1"/>
    <col min="49" max="49" width="15.85546875" style="278" customWidth="1"/>
    <col min="50" max="16384" width="9.140625" style="278"/>
  </cols>
  <sheetData>
    <row r="1" spans="1:49" ht="12.75" customHeight="1">
      <c r="A1" s="274"/>
      <c r="B1" s="275" t="s">
        <v>139</v>
      </c>
      <c r="C1" s="276"/>
      <c r="D1" s="276"/>
      <c r="E1" s="277"/>
      <c r="I1" s="276"/>
      <c r="M1" s="389" t="s">
        <v>214</v>
      </c>
      <c r="N1" s="389"/>
      <c r="O1" s="389"/>
      <c r="P1" s="277"/>
      <c r="V1" s="276"/>
      <c r="W1" s="276"/>
      <c r="X1" s="276"/>
      <c r="Y1" s="276"/>
      <c r="Z1" s="277"/>
      <c r="AA1" s="277"/>
      <c r="AB1" s="277"/>
      <c r="AC1" s="277"/>
      <c r="AD1" s="277"/>
      <c r="AE1" s="277"/>
      <c r="AF1" s="277"/>
      <c r="AG1" s="277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</row>
    <row r="2" spans="1:49" ht="12.75" customHeight="1">
      <c r="A2" s="274"/>
      <c r="B2" s="275" t="s">
        <v>203</v>
      </c>
      <c r="C2" s="276"/>
      <c r="D2" s="276"/>
      <c r="E2" s="276"/>
      <c r="I2" s="280"/>
      <c r="M2" s="390" t="s">
        <v>215</v>
      </c>
      <c r="N2" s="390"/>
      <c r="O2" s="390"/>
      <c r="P2" s="281"/>
      <c r="V2" s="280"/>
      <c r="W2" s="280"/>
      <c r="X2" s="280"/>
      <c r="Y2" s="280"/>
      <c r="Z2" s="281"/>
      <c r="AA2" s="281"/>
      <c r="AB2" s="281"/>
      <c r="AC2" s="281"/>
      <c r="AD2" s="281"/>
      <c r="AE2" s="281"/>
      <c r="AF2" s="281"/>
      <c r="AG2" s="281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</row>
    <row r="3" spans="1:49" ht="10.5" customHeight="1">
      <c r="A3" s="276"/>
      <c r="B3" s="276"/>
      <c r="C3" s="276"/>
      <c r="D3" s="276"/>
      <c r="E3" s="276"/>
      <c r="F3" s="280"/>
      <c r="G3" s="282"/>
      <c r="H3" s="282"/>
      <c r="I3" s="280"/>
      <c r="M3" s="390"/>
      <c r="N3" s="390"/>
      <c r="O3" s="390"/>
      <c r="P3" s="281"/>
      <c r="V3" s="280"/>
      <c r="W3" s="280"/>
      <c r="X3" s="280"/>
      <c r="Y3" s="280"/>
      <c r="Z3" s="281"/>
      <c r="AA3" s="281"/>
      <c r="AB3" s="281"/>
      <c r="AC3" s="281"/>
      <c r="AD3" s="281"/>
      <c r="AE3" s="281"/>
      <c r="AF3" s="281"/>
      <c r="AG3" s="281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</row>
    <row r="4" spans="1:49" ht="19.5" customHeight="1">
      <c r="B4" s="391" t="s">
        <v>129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283"/>
      <c r="R4" s="283"/>
      <c r="S4" s="283"/>
      <c r="T4" s="283"/>
      <c r="U4" s="283"/>
      <c r="V4" s="284"/>
      <c r="W4" s="284"/>
      <c r="X4" s="285"/>
      <c r="Y4" s="285"/>
      <c r="Z4" s="283"/>
      <c r="AA4" s="283"/>
      <c r="AB4" s="283"/>
      <c r="AC4" s="283"/>
      <c r="AD4" s="283"/>
      <c r="AE4" s="283"/>
      <c r="AF4" s="283"/>
      <c r="AG4" s="283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</row>
    <row r="5" spans="1:49" ht="15">
      <c r="B5" s="392" t="s">
        <v>244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6"/>
      <c r="R5" s="286"/>
      <c r="S5" s="286"/>
      <c r="T5" s="286"/>
      <c r="U5" s="286"/>
      <c r="V5" s="287"/>
      <c r="W5" s="287"/>
      <c r="Z5" s="286"/>
      <c r="AA5" s="286"/>
      <c r="AB5" s="286"/>
      <c r="AC5" s="286"/>
      <c r="AD5" s="286"/>
      <c r="AE5" s="286"/>
      <c r="AF5" s="286"/>
      <c r="AG5" s="286"/>
    </row>
    <row r="6" spans="1:49">
      <c r="N6" s="278" t="s">
        <v>169</v>
      </c>
    </row>
    <row r="7" spans="1:49" ht="13.5" customHeight="1">
      <c r="A7" s="393" t="s">
        <v>48</v>
      </c>
      <c r="B7" s="395" t="s">
        <v>28</v>
      </c>
      <c r="C7" s="396" t="s">
        <v>1</v>
      </c>
      <c r="D7" s="397"/>
      <c r="E7" s="395" t="s">
        <v>0</v>
      </c>
      <c r="F7" s="395" t="s">
        <v>130</v>
      </c>
      <c r="G7" s="398" t="s">
        <v>131</v>
      </c>
      <c r="H7" s="398"/>
      <c r="I7" s="399" t="s">
        <v>48</v>
      </c>
      <c r="J7" s="395" t="s">
        <v>217</v>
      </c>
      <c r="K7" s="395"/>
      <c r="L7" s="395" t="s">
        <v>218</v>
      </c>
      <c r="M7" s="395"/>
      <c r="N7" s="395" t="s">
        <v>219</v>
      </c>
      <c r="O7" s="395"/>
      <c r="P7" s="395" t="s">
        <v>220</v>
      </c>
      <c r="Q7" s="395"/>
      <c r="R7" s="395" t="s">
        <v>221</v>
      </c>
      <c r="S7" s="395"/>
      <c r="T7" s="395" t="s">
        <v>222</v>
      </c>
      <c r="U7" s="395"/>
      <c r="V7" s="395" t="s">
        <v>223</v>
      </c>
      <c r="W7" s="395"/>
      <c r="X7" s="395" t="s">
        <v>224</v>
      </c>
      <c r="Y7" s="395"/>
      <c r="Z7" s="395" t="s">
        <v>225</v>
      </c>
      <c r="AA7" s="395"/>
      <c r="AB7" s="395" t="s">
        <v>226</v>
      </c>
      <c r="AC7" s="395"/>
      <c r="AD7" s="395" t="s">
        <v>227</v>
      </c>
      <c r="AE7" s="395"/>
      <c r="AF7" s="395" t="s">
        <v>228</v>
      </c>
      <c r="AG7" s="395"/>
      <c r="AH7" s="395" t="s">
        <v>229</v>
      </c>
      <c r="AI7" s="395"/>
      <c r="AJ7" s="395" t="s">
        <v>230</v>
      </c>
      <c r="AK7" s="395"/>
      <c r="AL7" s="395" t="s">
        <v>231</v>
      </c>
      <c r="AM7" s="395"/>
      <c r="AN7" s="395" t="s">
        <v>232</v>
      </c>
      <c r="AO7" s="395"/>
      <c r="AP7" s="395" t="s">
        <v>233</v>
      </c>
      <c r="AQ7" s="395"/>
      <c r="AR7" s="395" t="s">
        <v>234</v>
      </c>
      <c r="AS7" s="395"/>
      <c r="AT7" s="395" t="s">
        <v>235</v>
      </c>
      <c r="AU7" s="395"/>
      <c r="AV7" s="395" t="s">
        <v>236</v>
      </c>
      <c r="AW7" s="395"/>
    </row>
    <row r="8" spans="1:49" ht="22.5" customHeight="1">
      <c r="A8" s="394"/>
      <c r="B8" s="395"/>
      <c r="C8" s="289" t="s">
        <v>19</v>
      </c>
      <c r="D8" s="288" t="s">
        <v>40</v>
      </c>
      <c r="E8" s="395"/>
      <c r="F8" s="395"/>
      <c r="G8" s="290" t="s">
        <v>30</v>
      </c>
      <c r="H8" s="290" t="s">
        <v>31</v>
      </c>
      <c r="I8" s="399"/>
      <c r="J8" s="288" t="s">
        <v>30</v>
      </c>
      <c r="K8" s="288" t="s">
        <v>31</v>
      </c>
      <c r="L8" s="288" t="s">
        <v>30</v>
      </c>
      <c r="M8" s="288" t="s">
        <v>31</v>
      </c>
      <c r="N8" s="288" t="s">
        <v>30</v>
      </c>
      <c r="O8" s="288" t="s">
        <v>31</v>
      </c>
      <c r="P8" s="288" t="s">
        <v>30</v>
      </c>
      <c r="Q8" s="288" t="s">
        <v>31</v>
      </c>
      <c r="R8" s="288" t="s">
        <v>30</v>
      </c>
      <c r="S8" s="288" t="s">
        <v>31</v>
      </c>
      <c r="T8" s="288" t="s">
        <v>30</v>
      </c>
      <c r="U8" s="288" t="s">
        <v>31</v>
      </c>
      <c r="V8" s="288" t="s">
        <v>30</v>
      </c>
      <c r="W8" s="288" t="s">
        <v>31</v>
      </c>
      <c r="X8" s="288" t="s">
        <v>30</v>
      </c>
      <c r="Y8" s="288" t="s">
        <v>31</v>
      </c>
      <c r="Z8" s="288" t="s">
        <v>30</v>
      </c>
      <c r="AA8" s="288" t="s">
        <v>31</v>
      </c>
      <c r="AB8" s="288" t="s">
        <v>30</v>
      </c>
      <c r="AC8" s="288" t="s">
        <v>31</v>
      </c>
      <c r="AD8" s="288" t="s">
        <v>30</v>
      </c>
      <c r="AE8" s="288" t="s">
        <v>31</v>
      </c>
      <c r="AF8" s="288" t="s">
        <v>30</v>
      </c>
      <c r="AG8" s="288" t="s">
        <v>31</v>
      </c>
      <c r="AH8" s="288" t="s">
        <v>30</v>
      </c>
      <c r="AI8" s="288" t="s">
        <v>31</v>
      </c>
      <c r="AJ8" s="288" t="s">
        <v>30</v>
      </c>
      <c r="AK8" s="288" t="s">
        <v>31</v>
      </c>
      <c r="AL8" s="288" t="s">
        <v>30</v>
      </c>
      <c r="AM8" s="288" t="s">
        <v>31</v>
      </c>
      <c r="AN8" s="288" t="s">
        <v>30</v>
      </c>
      <c r="AO8" s="288" t="s">
        <v>31</v>
      </c>
      <c r="AP8" s="288" t="s">
        <v>30</v>
      </c>
      <c r="AQ8" s="288" t="s">
        <v>31</v>
      </c>
      <c r="AR8" s="288" t="s">
        <v>30</v>
      </c>
      <c r="AS8" s="288" t="s">
        <v>31</v>
      </c>
      <c r="AT8" s="288" t="s">
        <v>30</v>
      </c>
      <c r="AU8" s="288" t="s">
        <v>31</v>
      </c>
      <c r="AV8" s="288" t="s">
        <v>30</v>
      </c>
      <c r="AW8" s="288" t="s">
        <v>31</v>
      </c>
    </row>
    <row r="9" spans="1:49" s="292" customFormat="1" ht="8.25" customHeight="1">
      <c r="A9" s="291">
        <v>1</v>
      </c>
      <c r="B9" s="291">
        <v>2</v>
      </c>
      <c r="C9" s="291">
        <v>3</v>
      </c>
      <c r="D9" s="291">
        <v>4</v>
      </c>
      <c r="E9" s="291">
        <v>5</v>
      </c>
      <c r="F9" s="291">
        <v>6</v>
      </c>
      <c r="G9" s="291">
        <v>7</v>
      </c>
      <c r="H9" s="291">
        <v>8</v>
      </c>
      <c r="I9" s="291">
        <v>9</v>
      </c>
      <c r="J9" s="291">
        <v>10</v>
      </c>
      <c r="K9" s="291">
        <v>11</v>
      </c>
      <c r="L9" s="291">
        <v>12</v>
      </c>
      <c r="M9" s="291">
        <v>13</v>
      </c>
      <c r="N9" s="291">
        <v>14</v>
      </c>
      <c r="O9" s="291">
        <v>15</v>
      </c>
      <c r="P9" s="291">
        <v>16</v>
      </c>
      <c r="Q9" s="291">
        <v>17</v>
      </c>
      <c r="R9" s="291">
        <v>18</v>
      </c>
      <c r="S9" s="291">
        <v>19</v>
      </c>
      <c r="T9" s="291">
        <v>20</v>
      </c>
      <c r="U9" s="291">
        <v>21</v>
      </c>
      <c r="V9" s="291">
        <v>22</v>
      </c>
      <c r="W9" s="291">
        <v>23</v>
      </c>
      <c r="X9" s="291">
        <v>24</v>
      </c>
      <c r="Y9" s="291">
        <v>25</v>
      </c>
      <c r="Z9" s="291">
        <v>26</v>
      </c>
      <c r="AA9" s="291">
        <v>27</v>
      </c>
      <c r="AB9" s="291">
        <v>28</v>
      </c>
      <c r="AC9" s="291">
        <v>29</v>
      </c>
      <c r="AD9" s="291">
        <v>30</v>
      </c>
      <c r="AE9" s="291">
        <v>31</v>
      </c>
      <c r="AF9" s="291">
        <v>32</v>
      </c>
      <c r="AG9" s="291">
        <v>33</v>
      </c>
      <c r="AH9" s="291">
        <v>34</v>
      </c>
      <c r="AI9" s="291">
        <v>35</v>
      </c>
      <c r="AJ9" s="291">
        <v>36</v>
      </c>
      <c r="AK9" s="291">
        <v>37</v>
      </c>
      <c r="AL9" s="291">
        <v>38</v>
      </c>
      <c r="AM9" s="291">
        <v>39</v>
      </c>
      <c r="AN9" s="291">
        <v>40</v>
      </c>
      <c r="AO9" s="291">
        <v>41</v>
      </c>
      <c r="AP9" s="291">
        <v>42</v>
      </c>
      <c r="AQ9" s="291">
        <v>43</v>
      </c>
      <c r="AR9" s="291">
        <v>44</v>
      </c>
      <c r="AS9" s="291">
        <v>45</v>
      </c>
      <c r="AT9" s="291">
        <v>46</v>
      </c>
      <c r="AU9" s="291">
        <v>47</v>
      </c>
      <c r="AV9" s="291">
        <v>48</v>
      </c>
      <c r="AW9" s="291">
        <v>49</v>
      </c>
    </row>
    <row r="10" spans="1:49" s="300" customFormat="1" ht="12" customHeight="1">
      <c r="A10" s="63" t="str">
        <f t="array" ref="A10">IF(C10&lt;&gt;0,SUM(($C10:C$23&lt;&gt;0)*1),"")</f>
        <v/>
      </c>
      <c r="B10" s="293"/>
      <c r="C10" s="294"/>
      <c r="D10" s="293"/>
      <c r="E10" s="295" t="s">
        <v>200</v>
      </c>
      <c r="F10" s="296"/>
      <c r="G10" s="297"/>
      <c r="H10" s="297"/>
      <c r="I10" s="298"/>
      <c r="J10" s="299">
        <f ca="1">'01-03'!J64</f>
        <v>3410190000</v>
      </c>
      <c r="K10" s="299">
        <f ca="1">'01-03'!K64</f>
        <v>0</v>
      </c>
      <c r="L10" s="299">
        <f ca="1">'01-03'!L64</f>
        <v>387834</v>
      </c>
      <c r="M10" s="299">
        <f ca="1">'01-03'!M64</f>
        <v>0</v>
      </c>
      <c r="N10" s="299">
        <f ca="1">'01-03'!N64</f>
        <v>0</v>
      </c>
      <c r="O10" s="299">
        <f ca="1">'01-03'!O64</f>
        <v>0</v>
      </c>
      <c r="P10" s="299">
        <f ca="1">'01-03'!P64</f>
        <v>0</v>
      </c>
      <c r="Q10" s="299">
        <f ca="1">'01-03'!Q64</f>
        <v>0</v>
      </c>
      <c r="R10" s="299">
        <f ca="1">'01-03'!R64</f>
        <v>0</v>
      </c>
      <c r="S10" s="299">
        <f ca="1">'01-03'!S64</f>
        <v>0</v>
      </c>
      <c r="T10" s="299">
        <f ca="1">'01-03'!T64</f>
        <v>550000000</v>
      </c>
      <c r="U10" s="299">
        <f ca="1">'01-03'!U64</f>
        <v>0</v>
      </c>
      <c r="V10" s="299">
        <f ca="1">'01-03'!V64</f>
        <v>0</v>
      </c>
      <c r="W10" s="299">
        <f ca="1">'01-03'!W64</f>
        <v>0</v>
      </c>
      <c r="X10" s="299">
        <f ca="1">'01-03'!X64</f>
        <v>0</v>
      </c>
      <c r="Y10" s="299">
        <f ca="1">'01-03'!Y64</f>
        <v>0</v>
      </c>
      <c r="Z10" s="299">
        <f ca="1">'01-03'!Z64</f>
        <v>0</v>
      </c>
      <c r="AA10" s="299">
        <f ca="1">'01-03'!AA64</f>
        <v>0</v>
      </c>
      <c r="AB10" s="299">
        <f ca="1">'01-03'!AB64</f>
        <v>0</v>
      </c>
      <c r="AC10" s="299">
        <f ca="1">'01-03'!AC64</f>
        <v>0</v>
      </c>
      <c r="AD10" s="299">
        <f ca="1">'01-03'!AD64</f>
        <v>0</v>
      </c>
      <c r="AE10" s="299">
        <f ca="1">'01-03'!AE64</f>
        <v>4000000000</v>
      </c>
      <c r="AF10" s="299">
        <f ca="1">'01-03'!AF64</f>
        <v>5210000</v>
      </c>
      <c r="AG10" s="299">
        <f ca="1">'01-03'!AG64</f>
        <v>0</v>
      </c>
      <c r="AH10" s="299">
        <f ca="1">'01-03'!AH64</f>
        <v>34212166</v>
      </c>
      <c r="AI10" s="299">
        <f ca="1">'01-03'!AI64</f>
        <v>0</v>
      </c>
      <c r="AJ10" s="299">
        <f ca="1">'01-03'!AJ64</f>
        <v>0</v>
      </c>
      <c r="AK10" s="299">
        <f ca="1">'01-03'!AK64</f>
        <v>0</v>
      </c>
      <c r="AL10" s="299">
        <f ca="1">'01-03'!AL64</f>
        <v>0</v>
      </c>
      <c r="AM10" s="299">
        <f ca="1">'01-03'!AM64</f>
        <v>0</v>
      </c>
      <c r="AN10" s="299">
        <f ca="1">'01-03'!AN64</f>
        <v>0</v>
      </c>
      <c r="AO10" s="299">
        <f ca="1">'01-03'!AO64</f>
        <v>0</v>
      </c>
      <c r="AP10" s="299">
        <f ca="1">'01-03'!AP64</f>
        <v>0</v>
      </c>
      <c r="AQ10" s="299">
        <f ca="1">'01-03'!AQ64</f>
        <v>0</v>
      </c>
      <c r="AR10" s="299">
        <f ca="1">'01-03'!AR64</f>
        <v>0</v>
      </c>
      <c r="AS10" s="299">
        <f ca="1">'01-03'!AS64</f>
        <v>0</v>
      </c>
      <c r="AT10" s="299">
        <f ca="1">'01-03'!AT64</f>
        <v>0</v>
      </c>
      <c r="AU10" s="299">
        <f ca="1">'01-03'!AU64</f>
        <v>0</v>
      </c>
      <c r="AV10" s="299">
        <f ca="1">'01-03'!AV64</f>
        <v>0</v>
      </c>
      <c r="AW10" s="299">
        <f ca="1">'01-03'!AW64</f>
        <v>0</v>
      </c>
    </row>
    <row r="11" spans="1:49" s="300" customFormat="1" ht="12" customHeight="1">
      <c r="A11" s="63">
        <f t="array" aca="1" ref="A11" ca="1">IF(C11&lt;&gt;0,SUM(($C$11:C11&lt;&gt;0)*1),"")</f>
        <v>1</v>
      </c>
      <c r="B11" s="301">
        <f ca="1">IF(ROWS($1:1)&gt;COUNT(Dong7),"",OFFSET(TH!C$1,SMALL(Dong7,ROWS($1:1)),))</f>
        <v>40649</v>
      </c>
      <c r="C11" s="301" t="str">
        <f ca="1">IF(ROWS($1:1)&gt;COUNT(Dong7),"",OFFSET(TH!D$1,SMALL(Dong7,ROWS($1:1)),))</f>
        <v>GBN</v>
      </c>
      <c r="D11" s="301">
        <f ca="1">IF(ROWS($1:1)&gt;COUNT(Dong7),"",OFFSET(TH!E$1,SMALL(Dong7,ROWS($1:1)),))</f>
        <v>40649</v>
      </c>
      <c r="E11" s="351" t="str">
        <f ca="1">IF(ROWS($1:1)&gt;COUNT(Dong7),"",OFFSET(TH!F$1,SMALL(Dong7,ROWS($1:1)),))</f>
        <v>Phí NH</v>
      </c>
      <c r="F11" s="352">
        <f ca="1">IF(ROWS($1:1)&gt;COUNT(Dong7),"",OFFSET(TH!I$1,SMALL(Dong7,ROWS($1:1)),))</f>
        <v>5500</v>
      </c>
      <c r="G11" s="354" t="str">
        <f ca="1">IF(ROWS($1:1)&gt;COUNT(Dong7),"",OFFSET(TH!J$1,SMALL(Dong7,ROWS($1:1)),))</f>
        <v>642</v>
      </c>
      <c r="H11" s="354" t="str">
        <f ca="1">IF(ROWS($1:1)&gt;COUNT(Dong7),"",OFFSET(TH!K$1,SMALL(Dong7,ROWS($1:1)),))</f>
        <v>1121</v>
      </c>
      <c r="I11" s="63">
        <f t="shared" ref="I11:I12" ca="1" si="0">A11</f>
        <v>1</v>
      </c>
      <c r="J11" s="303">
        <f t="shared" ref="J11:J33" ca="1" si="1">IF($G11="1111",$F11,0)</f>
        <v>0</v>
      </c>
      <c r="K11" s="303">
        <f t="shared" ref="K11:K33" ca="1" si="2">IF($H11="1111",$F11,0)</f>
        <v>0</v>
      </c>
      <c r="L11" s="303">
        <f t="shared" ref="L11:L33" ca="1" si="3">IF($G11="1121",$F11,0)</f>
        <v>0</v>
      </c>
      <c r="M11" s="303">
        <f t="shared" ref="M11:M33" ca="1" si="4">IF($H11="1121",$F11,0)</f>
        <v>5500</v>
      </c>
      <c r="N11" s="303">
        <f t="shared" ref="N11:N33" ca="1" si="5">IF($G11="1331",$F11,0)</f>
        <v>0</v>
      </c>
      <c r="O11" s="303">
        <f t="shared" ref="O11:O33" ca="1" si="6">IF($H11="1331",$F11,0)</f>
        <v>0</v>
      </c>
      <c r="P11" s="303">
        <f t="shared" ref="P11:P33" ca="1" si="7">IF($G11="1388",$F11,0)</f>
        <v>0</v>
      </c>
      <c r="Q11" s="303">
        <f t="shared" ref="Q11:Q33" ca="1" si="8">IF($H11="1388",$F11,0)</f>
        <v>0</v>
      </c>
      <c r="R11" s="303">
        <f ca="1">IF($G11="2412",$F11,0)</f>
        <v>0</v>
      </c>
      <c r="S11" s="303">
        <f ca="1">IF($H11="2412",$F11,0)</f>
        <v>0</v>
      </c>
      <c r="T11" s="303">
        <f t="shared" ref="T11:T33" ca="1" si="9">IF($G11="331",$F11,0)</f>
        <v>0</v>
      </c>
      <c r="U11" s="303">
        <f t="shared" ref="U11:U33" ca="1" si="10">IF($H11="331",$F11,0)</f>
        <v>0</v>
      </c>
      <c r="V11" s="303">
        <f t="shared" ref="V11:V33" ca="1" si="11">IF($G11="3334",$F11,0)</f>
        <v>0</v>
      </c>
      <c r="W11" s="303">
        <f t="shared" ref="W11:W33" ca="1" si="12">IF($H11="3334",$F11,0)</f>
        <v>0</v>
      </c>
      <c r="X11" s="303">
        <f t="shared" ref="X11:X33" ca="1" si="13">IF($G11="33382",$F11,0)</f>
        <v>0</v>
      </c>
      <c r="Y11" s="303">
        <f t="shared" ref="Y11:Y33" ca="1" si="14">IF($H11="33382",$F11,0)</f>
        <v>0</v>
      </c>
      <c r="Z11" s="303">
        <f t="shared" ref="Z11:Z33" ca="1" si="15">IF($G11="3388",$F11,0)</f>
        <v>0</v>
      </c>
      <c r="AA11" s="303">
        <f t="shared" ref="AA11:AA33" ca="1" si="16">IF($H11="3388",$F11,0)</f>
        <v>0</v>
      </c>
      <c r="AB11" s="303">
        <f t="shared" ref="AB11:AB33" ca="1" si="17">IF($G11="3411",$F11,0)</f>
        <v>0</v>
      </c>
      <c r="AC11" s="303">
        <f t="shared" ref="AC11:AC33" ca="1" si="18">IF($H11="3411",$F11,0)</f>
        <v>0</v>
      </c>
      <c r="AD11" s="303">
        <f t="shared" ref="AD11:AD33" ca="1" si="19">IF($G11="4111",$F11,0)</f>
        <v>0</v>
      </c>
      <c r="AE11" s="303">
        <f t="shared" ref="AE11:AE33" ca="1" si="20">IF($H11="4111",$F11,0)</f>
        <v>0</v>
      </c>
      <c r="AF11" s="303">
        <f t="shared" ref="AF11:AF33" ca="1" si="21">IF($G11="4211",$F11,0)</f>
        <v>0</v>
      </c>
      <c r="AG11" s="303">
        <f t="shared" ref="AG11:AG33" ca="1" si="22">IF($H11="4211",$F11,0)</f>
        <v>0</v>
      </c>
      <c r="AH11" s="303">
        <f t="shared" ref="AH11:AH33" ca="1" si="23">IF($G11="4212",$F11,0)</f>
        <v>0</v>
      </c>
      <c r="AI11" s="303">
        <f t="shared" ref="AI11:AI33" ca="1" si="24">IF($H11="4212",$F11,0)</f>
        <v>0</v>
      </c>
      <c r="AJ11" s="303">
        <f t="shared" ref="AJ11:AJ33" ca="1" si="25">IF($G11="515",$F11,0)</f>
        <v>0</v>
      </c>
      <c r="AK11" s="303">
        <f t="shared" ref="AK11:AK33" ca="1" si="26">IF($H11="515",$F11,0)</f>
        <v>0</v>
      </c>
      <c r="AL11" s="303">
        <f t="shared" ref="AL11:AL33" ca="1" si="27">IF($G11="635",$F11,0)</f>
        <v>0</v>
      </c>
      <c r="AM11" s="303">
        <f t="shared" ref="AM11:AM33" ca="1" si="28">IF($H11="635",$F11,0)</f>
        <v>0</v>
      </c>
      <c r="AN11" s="303">
        <f t="shared" ref="AN11:AN33" ca="1" si="29">IF($G11="642",$F11,0)</f>
        <v>5500</v>
      </c>
      <c r="AO11" s="303">
        <f t="shared" ref="AO11:AO33" ca="1" si="30">IF($H11="642",$F11,0)</f>
        <v>0</v>
      </c>
      <c r="AP11" s="303">
        <f t="shared" ref="AP11:AP33" ca="1" si="31">IF($G11="711",$F11,0)</f>
        <v>0</v>
      </c>
      <c r="AQ11" s="303">
        <f t="shared" ref="AQ11:AQ33" ca="1" si="32">IF($H11="711",$F11,0)</f>
        <v>0</v>
      </c>
      <c r="AR11" s="303">
        <f t="shared" ref="AR11:AR33" ca="1" si="33">IF($G11="811",$F11,0)</f>
        <v>0</v>
      </c>
      <c r="AS11" s="303">
        <f t="shared" ref="AS11:AS33" ca="1" si="34">IF($H11="811",$F11,0)</f>
        <v>0</v>
      </c>
      <c r="AT11" s="303">
        <f t="shared" ref="AT11:AT33" ca="1" si="35">IF($G11="821",$F11,0)</f>
        <v>0</v>
      </c>
      <c r="AU11" s="303">
        <f t="shared" ref="AU11:AU33" ca="1" si="36">IF($H11="821",$F11,0)</f>
        <v>0</v>
      </c>
      <c r="AV11" s="303">
        <f t="shared" ref="AV11:AV33" ca="1" si="37">IF($G11="911",$F11,0)</f>
        <v>0</v>
      </c>
      <c r="AW11" s="303">
        <f t="shared" ref="AW11:AW33" ca="1" si="38">IF($H11="911",$F11,0)</f>
        <v>0</v>
      </c>
    </row>
    <row r="12" spans="1:49" s="300" customFormat="1" ht="12" customHeight="1">
      <c r="A12" s="63">
        <f t="array" aca="1" ref="A12" ca="1">IF(C12&lt;&gt;0,SUM(($C$11:C12&lt;&gt;0)*1),"")</f>
        <v>2</v>
      </c>
      <c r="B12" s="301">
        <f ca="1">IF(ROWS($1:2)&gt;COUNT(Dong7),"",OFFSET(TH!C$1,SMALL(Dong7,ROWS($1:2)),))</f>
        <v>40651</v>
      </c>
      <c r="C12" s="301" t="str">
        <f ca="1">IF(ROWS($1:2)&gt;COUNT(Dong7),"",OFFSET(TH!D$1,SMALL(Dong7,ROWS($1:2)),))</f>
        <v>GBN</v>
      </c>
      <c r="D12" s="301">
        <f ca="1">IF(ROWS($1:2)&gt;COUNT(Dong7),"",OFFSET(TH!E$1,SMALL(Dong7,ROWS($1:2)),))</f>
        <v>40651</v>
      </c>
      <c r="E12" s="351" t="str">
        <f ca="1">IF(ROWS($1:2)&gt;COUNT(Dong7),"",OFFSET(TH!F$1,SMALL(Dong7,ROWS($1:2)),))</f>
        <v>Phí NH</v>
      </c>
      <c r="F12" s="352">
        <f ca="1">IF(ROWS($1:2)&gt;COUNT(Dong7),"",OFFSET(TH!I$1,SMALL(Dong7,ROWS($1:2)),))</f>
        <v>5500</v>
      </c>
      <c r="G12" s="354" t="str">
        <f ca="1">IF(ROWS($1:2)&gt;COUNT(Dong7),"",OFFSET(TH!J$1,SMALL(Dong7,ROWS($1:2)),))</f>
        <v>642</v>
      </c>
      <c r="H12" s="354" t="str">
        <f ca="1">IF(ROWS($1:2)&gt;COUNT(Dong7),"",OFFSET(TH!K$1,SMALL(Dong7,ROWS($1:2)),))</f>
        <v>1121</v>
      </c>
      <c r="I12" s="63">
        <f t="shared" ca="1" si="0"/>
        <v>2</v>
      </c>
      <c r="J12" s="303">
        <f t="shared" ca="1" si="1"/>
        <v>0</v>
      </c>
      <c r="K12" s="303">
        <f t="shared" ca="1" si="2"/>
        <v>0</v>
      </c>
      <c r="L12" s="303">
        <f t="shared" ca="1" si="3"/>
        <v>0</v>
      </c>
      <c r="M12" s="303">
        <f t="shared" ca="1" si="4"/>
        <v>5500</v>
      </c>
      <c r="N12" s="303">
        <f t="shared" ca="1" si="5"/>
        <v>0</v>
      </c>
      <c r="O12" s="303">
        <f t="shared" ca="1" si="6"/>
        <v>0</v>
      </c>
      <c r="P12" s="303">
        <f t="shared" ca="1" si="7"/>
        <v>0</v>
      </c>
      <c r="Q12" s="303">
        <f t="shared" ca="1" si="8"/>
        <v>0</v>
      </c>
      <c r="R12" s="303">
        <f t="shared" ref="R12:R33" ca="1" si="39">IF($G12="2412",$F12,0)</f>
        <v>0</v>
      </c>
      <c r="S12" s="303">
        <f t="shared" ref="S12:S33" ca="1" si="40">IF($H12="2412",$F12,0)</f>
        <v>0</v>
      </c>
      <c r="T12" s="303">
        <f t="shared" ca="1" si="9"/>
        <v>0</v>
      </c>
      <c r="U12" s="303">
        <f t="shared" ca="1" si="10"/>
        <v>0</v>
      </c>
      <c r="V12" s="303">
        <f t="shared" ca="1" si="11"/>
        <v>0</v>
      </c>
      <c r="W12" s="303">
        <f t="shared" ca="1" si="12"/>
        <v>0</v>
      </c>
      <c r="X12" s="303">
        <f t="shared" ca="1" si="13"/>
        <v>0</v>
      </c>
      <c r="Y12" s="303">
        <f t="shared" ca="1" si="14"/>
        <v>0</v>
      </c>
      <c r="Z12" s="303">
        <f t="shared" ca="1" si="15"/>
        <v>0</v>
      </c>
      <c r="AA12" s="303">
        <f t="shared" ca="1" si="16"/>
        <v>0</v>
      </c>
      <c r="AB12" s="303">
        <f t="shared" ca="1" si="17"/>
        <v>0</v>
      </c>
      <c r="AC12" s="303">
        <f t="shared" ca="1" si="18"/>
        <v>0</v>
      </c>
      <c r="AD12" s="303">
        <f t="shared" ca="1" si="19"/>
        <v>0</v>
      </c>
      <c r="AE12" s="303">
        <f t="shared" ca="1" si="20"/>
        <v>0</v>
      </c>
      <c r="AF12" s="303">
        <f t="shared" ca="1" si="21"/>
        <v>0</v>
      </c>
      <c r="AG12" s="303">
        <f t="shared" ca="1" si="22"/>
        <v>0</v>
      </c>
      <c r="AH12" s="303">
        <f t="shared" ca="1" si="23"/>
        <v>0</v>
      </c>
      <c r="AI12" s="303">
        <f t="shared" ca="1" si="24"/>
        <v>0</v>
      </c>
      <c r="AJ12" s="303">
        <f t="shared" ca="1" si="25"/>
        <v>0</v>
      </c>
      <c r="AK12" s="303">
        <f t="shared" ca="1" si="26"/>
        <v>0</v>
      </c>
      <c r="AL12" s="303">
        <f t="shared" ca="1" si="27"/>
        <v>0</v>
      </c>
      <c r="AM12" s="303">
        <f t="shared" ca="1" si="28"/>
        <v>0</v>
      </c>
      <c r="AN12" s="303">
        <f t="shared" ca="1" si="29"/>
        <v>5500</v>
      </c>
      <c r="AO12" s="303">
        <f t="shared" ca="1" si="30"/>
        <v>0</v>
      </c>
      <c r="AP12" s="303">
        <f t="shared" ca="1" si="31"/>
        <v>0</v>
      </c>
      <c r="AQ12" s="303">
        <f t="shared" ca="1" si="32"/>
        <v>0</v>
      </c>
      <c r="AR12" s="303">
        <f t="shared" ca="1" si="33"/>
        <v>0</v>
      </c>
      <c r="AS12" s="303">
        <f t="shared" ca="1" si="34"/>
        <v>0</v>
      </c>
      <c r="AT12" s="303">
        <f t="shared" ca="1" si="35"/>
        <v>0</v>
      </c>
      <c r="AU12" s="303">
        <f t="shared" ca="1" si="36"/>
        <v>0</v>
      </c>
      <c r="AV12" s="303">
        <f t="shared" ca="1" si="37"/>
        <v>0</v>
      </c>
      <c r="AW12" s="303">
        <f t="shared" ca="1" si="38"/>
        <v>0</v>
      </c>
    </row>
    <row r="13" spans="1:49" s="300" customFormat="1" ht="12" customHeight="1">
      <c r="A13" s="63">
        <f t="array" aca="1" ref="A13" ca="1">IF(C13&lt;&gt;0,SUM(($C$11:C13&lt;&gt;0)*1),"")</f>
        <v>3</v>
      </c>
      <c r="B13" s="301">
        <f ca="1">IF(ROWS($1:3)&gt;COUNT(Dong7),"",OFFSET(TH!C$1,SMALL(Dong7,ROWS($1:3)),))</f>
        <v>40679</v>
      </c>
      <c r="C13" s="301" t="str">
        <f ca="1">IF(ROWS($1:3)&gt;COUNT(Dong7),"",OFFSET(TH!D$1,SMALL(Dong7,ROWS($1:3)),))</f>
        <v>GBN</v>
      </c>
      <c r="D13" s="301">
        <f ca="1">IF(ROWS($1:3)&gt;COUNT(Dong7),"",OFFSET(TH!E$1,SMALL(Dong7,ROWS($1:3)),))</f>
        <v>40679</v>
      </c>
      <c r="E13" s="351" t="str">
        <f ca="1">IF(ROWS($1:3)&gt;COUNT(Dong7),"",OFFSET(TH!F$1,SMALL(Dong7,ROWS($1:3)),))</f>
        <v>Phí NH</v>
      </c>
      <c r="F13" s="352">
        <f ca="1">IF(ROWS($1:3)&gt;COUNT(Dong7),"",OFFSET(TH!I$1,SMALL(Dong7,ROWS($1:3)),))</f>
        <v>5500</v>
      </c>
      <c r="G13" s="354" t="str">
        <f ca="1">IF(ROWS($1:3)&gt;COUNT(Dong7),"",OFFSET(TH!J$1,SMALL(Dong7,ROWS($1:3)),))</f>
        <v>642</v>
      </c>
      <c r="H13" s="354" t="str">
        <f ca="1">IF(ROWS($1:3)&gt;COUNT(Dong7),"",OFFSET(TH!K$1,SMALL(Dong7,ROWS($1:3)),))</f>
        <v>1121</v>
      </c>
      <c r="I13" s="63">
        <f ca="1">A13</f>
        <v>3</v>
      </c>
      <c r="J13" s="303">
        <f t="shared" ca="1" si="1"/>
        <v>0</v>
      </c>
      <c r="K13" s="303">
        <f t="shared" ca="1" si="2"/>
        <v>0</v>
      </c>
      <c r="L13" s="303">
        <f t="shared" ca="1" si="3"/>
        <v>0</v>
      </c>
      <c r="M13" s="303">
        <f t="shared" ca="1" si="4"/>
        <v>5500</v>
      </c>
      <c r="N13" s="303">
        <f t="shared" ca="1" si="5"/>
        <v>0</v>
      </c>
      <c r="O13" s="303">
        <f t="shared" ca="1" si="6"/>
        <v>0</v>
      </c>
      <c r="P13" s="303">
        <f t="shared" ca="1" si="7"/>
        <v>0</v>
      </c>
      <c r="Q13" s="303">
        <f t="shared" ca="1" si="8"/>
        <v>0</v>
      </c>
      <c r="R13" s="303">
        <f t="shared" ca="1" si="39"/>
        <v>0</v>
      </c>
      <c r="S13" s="303">
        <f t="shared" ca="1" si="40"/>
        <v>0</v>
      </c>
      <c r="T13" s="303">
        <f t="shared" ca="1" si="9"/>
        <v>0</v>
      </c>
      <c r="U13" s="303">
        <f t="shared" ca="1" si="10"/>
        <v>0</v>
      </c>
      <c r="V13" s="303">
        <f t="shared" ca="1" si="11"/>
        <v>0</v>
      </c>
      <c r="W13" s="303">
        <f t="shared" ca="1" si="12"/>
        <v>0</v>
      </c>
      <c r="X13" s="303">
        <f t="shared" ca="1" si="13"/>
        <v>0</v>
      </c>
      <c r="Y13" s="303">
        <f t="shared" ca="1" si="14"/>
        <v>0</v>
      </c>
      <c r="Z13" s="303">
        <f t="shared" ca="1" si="15"/>
        <v>0</v>
      </c>
      <c r="AA13" s="303">
        <f t="shared" ca="1" si="16"/>
        <v>0</v>
      </c>
      <c r="AB13" s="303">
        <f t="shared" ca="1" si="17"/>
        <v>0</v>
      </c>
      <c r="AC13" s="303">
        <f t="shared" ca="1" si="18"/>
        <v>0</v>
      </c>
      <c r="AD13" s="303">
        <f t="shared" ca="1" si="19"/>
        <v>0</v>
      </c>
      <c r="AE13" s="303">
        <f t="shared" ca="1" si="20"/>
        <v>0</v>
      </c>
      <c r="AF13" s="303">
        <f t="shared" ca="1" si="21"/>
        <v>0</v>
      </c>
      <c r="AG13" s="303">
        <f t="shared" ca="1" si="22"/>
        <v>0</v>
      </c>
      <c r="AH13" s="303">
        <f t="shared" ca="1" si="23"/>
        <v>0</v>
      </c>
      <c r="AI13" s="303">
        <f t="shared" ca="1" si="24"/>
        <v>0</v>
      </c>
      <c r="AJ13" s="303">
        <f t="shared" ca="1" si="25"/>
        <v>0</v>
      </c>
      <c r="AK13" s="303">
        <f t="shared" ca="1" si="26"/>
        <v>0</v>
      </c>
      <c r="AL13" s="303">
        <f t="shared" ca="1" si="27"/>
        <v>0</v>
      </c>
      <c r="AM13" s="303">
        <f t="shared" ca="1" si="28"/>
        <v>0</v>
      </c>
      <c r="AN13" s="303">
        <f t="shared" ca="1" si="29"/>
        <v>5500</v>
      </c>
      <c r="AO13" s="303">
        <f t="shared" ca="1" si="30"/>
        <v>0</v>
      </c>
      <c r="AP13" s="303">
        <f t="shared" ca="1" si="31"/>
        <v>0</v>
      </c>
      <c r="AQ13" s="303">
        <f t="shared" ca="1" si="32"/>
        <v>0</v>
      </c>
      <c r="AR13" s="303">
        <f t="shared" ca="1" si="33"/>
        <v>0</v>
      </c>
      <c r="AS13" s="303">
        <f t="shared" ca="1" si="34"/>
        <v>0</v>
      </c>
      <c r="AT13" s="303">
        <f t="shared" ca="1" si="35"/>
        <v>0</v>
      </c>
      <c r="AU13" s="303">
        <f t="shared" ca="1" si="36"/>
        <v>0</v>
      </c>
      <c r="AV13" s="303">
        <f t="shared" ca="1" si="37"/>
        <v>0</v>
      </c>
      <c r="AW13" s="303">
        <f t="shared" ca="1" si="38"/>
        <v>0</v>
      </c>
    </row>
    <row r="14" spans="1:49" s="300" customFormat="1" ht="12" customHeight="1">
      <c r="A14" s="63">
        <f t="array" aca="1" ref="A14" ca="1">IF(C14&lt;&gt;0,SUM(($C$11:C14&lt;&gt;0)*1),"")</f>
        <v>4</v>
      </c>
      <c r="B14" s="301">
        <f ca="1">IF(ROWS($1:4)&gt;COUNT(Dong7),"",OFFSET(TH!C$1,SMALL(Dong7,ROWS($1:4)),))</f>
        <v>40680</v>
      </c>
      <c r="C14" s="301" t="str">
        <f ca="1">IF(ROWS($1:4)&gt;COUNT(Dong7),"",OFFSET(TH!D$1,SMALL(Dong7,ROWS($1:4)),))</f>
        <v>GBN</v>
      </c>
      <c r="D14" s="301">
        <f ca="1">IF(ROWS($1:4)&gt;COUNT(Dong7),"",OFFSET(TH!E$1,SMALL(Dong7,ROWS($1:4)),))</f>
        <v>40680</v>
      </c>
      <c r="E14" s="351" t="str">
        <f ca="1">IF(ROWS($1:4)&gt;COUNT(Dong7),"",OFFSET(TH!F$1,SMALL(Dong7,ROWS($1:4)),))</f>
        <v>Phí NH</v>
      </c>
      <c r="F14" s="352">
        <f ca="1">IF(ROWS($1:4)&gt;COUNT(Dong7),"",OFFSET(TH!I$1,SMALL(Dong7,ROWS($1:4)),))</f>
        <v>5500</v>
      </c>
      <c r="G14" s="354" t="str">
        <f ca="1">IF(ROWS($1:4)&gt;COUNT(Dong7),"",OFFSET(TH!J$1,SMALL(Dong7,ROWS($1:4)),))</f>
        <v>642</v>
      </c>
      <c r="H14" s="354" t="str">
        <f ca="1">IF(ROWS($1:4)&gt;COUNT(Dong7),"",OFFSET(TH!K$1,SMALL(Dong7,ROWS($1:4)),))</f>
        <v>1121</v>
      </c>
      <c r="I14" s="63">
        <f ca="1">A14</f>
        <v>4</v>
      </c>
      <c r="J14" s="303">
        <f t="shared" ca="1" si="1"/>
        <v>0</v>
      </c>
      <c r="K14" s="303">
        <f t="shared" ca="1" si="2"/>
        <v>0</v>
      </c>
      <c r="L14" s="303">
        <f t="shared" ca="1" si="3"/>
        <v>0</v>
      </c>
      <c r="M14" s="303">
        <f t="shared" ca="1" si="4"/>
        <v>5500</v>
      </c>
      <c r="N14" s="303">
        <f t="shared" ca="1" si="5"/>
        <v>0</v>
      </c>
      <c r="O14" s="303">
        <f t="shared" ca="1" si="6"/>
        <v>0</v>
      </c>
      <c r="P14" s="303">
        <f t="shared" ca="1" si="7"/>
        <v>0</v>
      </c>
      <c r="Q14" s="303">
        <f t="shared" ca="1" si="8"/>
        <v>0</v>
      </c>
      <c r="R14" s="303">
        <f t="shared" ca="1" si="39"/>
        <v>0</v>
      </c>
      <c r="S14" s="303">
        <f t="shared" ca="1" si="40"/>
        <v>0</v>
      </c>
      <c r="T14" s="303">
        <f t="shared" ca="1" si="9"/>
        <v>0</v>
      </c>
      <c r="U14" s="303">
        <f t="shared" ca="1" si="10"/>
        <v>0</v>
      </c>
      <c r="V14" s="303">
        <f t="shared" ca="1" si="11"/>
        <v>0</v>
      </c>
      <c r="W14" s="303">
        <f t="shared" ca="1" si="12"/>
        <v>0</v>
      </c>
      <c r="X14" s="303">
        <f t="shared" ca="1" si="13"/>
        <v>0</v>
      </c>
      <c r="Y14" s="303">
        <f t="shared" ca="1" si="14"/>
        <v>0</v>
      </c>
      <c r="Z14" s="303">
        <f t="shared" ca="1" si="15"/>
        <v>0</v>
      </c>
      <c r="AA14" s="303">
        <f t="shared" ca="1" si="16"/>
        <v>0</v>
      </c>
      <c r="AB14" s="303">
        <f t="shared" ca="1" si="17"/>
        <v>0</v>
      </c>
      <c r="AC14" s="303">
        <f t="shared" ca="1" si="18"/>
        <v>0</v>
      </c>
      <c r="AD14" s="303">
        <f t="shared" ca="1" si="19"/>
        <v>0</v>
      </c>
      <c r="AE14" s="303">
        <f t="shared" ca="1" si="20"/>
        <v>0</v>
      </c>
      <c r="AF14" s="303">
        <f t="shared" ca="1" si="21"/>
        <v>0</v>
      </c>
      <c r="AG14" s="303">
        <f t="shared" ca="1" si="22"/>
        <v>0</v>
      </c>
      <c r="AH14" s="303">
        <f t="shared" ca="1" si="23"/>
        <v>0</v>
      </c>
      <c r="AI14" s="303">
        <f t="shared" ca="1" si="24"/>
        <v>0</v>
      </c>
      <c r="AJ14" s="303">
        <f t="shared" ca="1" si="25"/>
        <v>0</v>
      </c>
      <c r="AK14" s="303">
        <f t="shared" ca="1" si="26"/>
        <v>0</v>
      </c>
      <c r="AL14" s="303">
        <f t="shared" ca="1" si="27"/>
        <v>0</v>
      </c>
      <c r="AM14" s="303">
        <f t="shared" ca="1" si="28"/>
        <v>0</v>
      </c>
      <c r="AN14" s="303">
        <f t="shared" ca="1" si="29"/>
        <v>5500</v>
      </c>
      <c r="AO14" s="303">
        <f t="shared" ca="1" si="30"/>
        <v>0</v>
      </c>
      <c r="AP14" s="303">
        <f t="shared" ca="1" si="31"/>
        <v>0</v>
      </c>
      <c r="AQ14" s="303">
        <f t="shared" ca="1" si="32"/>
        <v>0</v>
      </c>
      <c r="AR14" s="303">
        <f t="shared" ca="1" si="33"/>
        <v>0</v>
      </c>
      <c r="AS14" s="303">
        <f t="shared" ca="1" si="34"/>
        <v>0</v>
      </c>
      <c r="AT14" s="303">
        <f t="shared" ca="1" si="35"/>
        <v>0</v>
      </c>
      <c r="AU14" s="303">
        <f t="shared" ca="1" si="36"/>
        <v>0</v>
      </c>
      <c r="AV14" s="303">
        <f t="shared" ca="1" si="37"/>
        <v>0</v>
      </c>
      <c r="AW14" s="303">
        <f t="shared" ca="1" si="38"/>
        <v>0</v>
      </c>
    </row>
    <row r="15" spans="1:49" s="300" customFormat="1" ht="12" customHeight="1">
      <c r="A15" s="63">
        <f t="array" aca="1" ref="A15" ca="1">IF(C15&lt;&gt;0,SUM(($C$11:C15&lt;&gt;0)*1),"")</f>
        <v>5</v>
      </c>
      <c r="B15" s="301">
        <f ca="1">IF(ROWS($1:5)&gt;COUNT(Dong7),"",OFFSET(TH!C$1,SMALL(Dong7,ROWS($1:5)),))</f>
        <v>40686</v>
      </c>
      <c r="C15" s="301" t="str">
        <f ca="1">IF(ROWS($1:5)&gt;COUNT(Dong7),"",OFFSET(TH!D$1,SMALL(Dong7,ROWS($1:5)),))</f>
        <v>C01</v>
      </c>
      <c r="D15" s="301">
        <f ca="1">IF(ROWS($1:5)&gt;COUNT(Dong7),"",OFFSET(TH!E$1,SMALL(Dong7,ROWS($1:5)),))</f>
        <v>40686</v>
      </c>
      <c r="E15" s="351" t="str">
        <f ca="1">IF(ROWS($1:5)&gt;COUNT(Dong7),"",OFFSET(TH!F$1,SMALL(Dong7,ROWS($1:5)),))</f>
        <v>Trả tiền mượn vốn - An Lạc</v>
      </c>
      <c r="F15" s="352">
        <f ca="1">IF(ROWS($1:5)&gt;COUNT(Dong7),"",OFFSET(TH!I$1,SMALL(Dong7,ROWS($1:5)),))</f>
        <v>100000000</v>
      </c>
      <c r="G15" s="354" t="str">
        <f ca="1">IF(ROWS($1:5)&gt;COUNT(Dong7),"",OFFSET(TH!J$1,SMALL(Dong7,ROWS($1:5)),))</f>
        <v>3388</v>
      </c>
      <c r="H15" s="354" t="str">
        <f ca="1">IF(ROWS($1:5)&gt;COUNT(Dong7),"",OFFSET(TH!K$1,SMALL(Dong7,ROWS($1:5)),))</f>
        <v>1111</v>
      </c>
      <c r="I15" s="63">
        <f ca="1">A15</f>
        <v>5</v>
      </c>
      <c r="J15" s="303">
        <f t="shared" ca="1" si="1"/>
        <v>0</v>
      </c>
      <c r="K15" s="303">
        <f t="shared" ca="1" si="2"/>
        <v>100000000</v>
      </c>
      <c r="L15" s="303">
        <f t="shared" ca="1" si="3"/>
        <v>0</v>
      </c>
      <c r="M15" s="303">
        <f t="shared" ca="1" si="4"/>
        <v>0</v>
      </c>
      <c r="N15" s="303">
        <f t="shared" ca="1" si="5"/>
        <v>0</v>
      </c>
      <c r="O15" s="303">
        <f t="shared" ca="1" si="6"/>
        <v>0</v>
      </c>
      <c r="P15" s="303">
        <f t="shared" ca="1" si="7"/>
        <v>0</v>
      </c>
      <c r="Q15" s="303">
        <f t="shared" ca="1" si="8"/>
        <v>0</v>
      </c>
      <c r="R15" s="303">
        <f t="shared" ca="1" si="39"/>
        <v>0</v>
      </c>
      <c r="S15" s="303">
        <f t="shared" ca="1" si="40"/>
        <v>0</v>
      </c>
      <c r="T15" s="303">
        <f t="shared" ca="1" si="9"/>
        <v>0</v>
      </c>
      <c r="U15" s="303">
        <f t="shared" ca="1" si="10"/>
        <v>0</v>
      </c>
      <c r="V15" s="303">
        <f t="shared" ca="1" si="11"/>
        <v>0</v>
      </c>
      <c r="W15" s="303">
        <f t="shared" ca="1" si="12"/>
        <v>0</v>
      </c>
      <c r="X15" s="303">
        <f t="shared" ca="1" si="13"/>
        <v>0</v>
      </c>
      <c r="Y15" s="303">
        <f t="shared" ca="1" si="14"/>
        <v>0</v>
      </c>
      <c r="Z15" s="303">
        <f t="shared" ca="1" si="15"/>
        <v>100000000</v>
      </c>
      <c r="AA15" s="303">
        <f t="shared" ca="1" si="16"/>
        <v>0</v>
      </c>
      <c r="AB15" s="303">
        <f t="shared" ca="1" si="17"/>
        <v>0</v>
      </c>
      <c r="AC15" s="303">
        <f t="shared" ca="1" si="18"/>
        <v>0</v>
      </c>
      <c r="AD15" s="303">
        <f t="shared" ca="1" si="19"/>
        <v>0</v>
      </c>
      <c r="AE15" s="303">
        <f t="shared" ca="1" si="20"/>
        <v>0</v>
      </c>
      <c r="AF15" s="303">
        <f t="shared" ca="1" si="21"/>
        <v>0</v>
      </c>
      <c r="AG15" s="303">
        <f t="shared" ca="1" si="22"/>
        <v>0</v>
      </c>
      <c r="AH15" s="303">
        <f t="shared" ca="1" si="23"/>
        <v>0</v>
      </c>
      <c r="AI15" s="303">
        <f t="shared" ca="1" si="24"/>
        <v>0</v>
      </c>
      <c r="AJ15" s="303">
        <f t="shared" ca="1" si="25"/>
        <v>0</v>
      </c>
      <c r="AK15" s="303">
        <f t="shared" ca="1" si="26"/>
        <v>0</v>
      </c>
      <c r="AL15" s="303">
        <f t="shared" ca="1" si="27"/>
        <v>0</v>
      </c>
      <c r="AM15" s="303">
        <f t="shared" ca="1" si="28"/>
        <v>0</v>
      </c>
      <c r="AN15" s="303">
        <f t="shared" ca="1" si="29"/>
        <v>0</v>
      </c>
      <c r="AO15" s="303">
        <f t="shared" ca="1" si="30"/>
        <v>0</v>
      </c>
      <c r="AP15" s="303">
        <f t="shared" ca="1" si="31"/>
        <v>0</v>
      </c>
      <c r="AQ15" s="303">
        <f t="shared" ca="1" si="32"/>
        <v>0</v>
      </c>
      <c r="AR15" s="303">
        <f t="shared" ca="1" si="33"/>
        <v>0</v>
      </c>
      <c r="AS15" s="303">
        <f t="shared" ca="1" si="34"/>
        <v>0</v>
      </c>
      <c r="AT15" s="303">
        <f t="shared" ca="1" si="35"/>
        <v>0</v>
      </c>
      <c r="AU15" s="303">
        <f t="shared" ca="1" si="36"/>
        <v>0</v>
      </c>
      <c r="AV15" s="303">
        <f t="shared" ca="1" si="37"/>
        <v>0</v>
      </c>
      <c r="AW15" s="303">
        <f t="shared" ca="1" si="38"/>
        <v>0</v>
      </c>
    </row>
    <row r="16" spans="1:49" s="300" customFormat="1" ht="12" customHeight="1">
      <c r="A16" s="63">
        <f t="array" aca="1" ref="A16" ca="1">IF(C16&lt;&gt;0,SUM(($C$11:C16&lt;&gt;0)*1),"")</f>
        <v>6</v>
      </c>
      <c r="B16" s="301">
        <f ca="1">IF(ROWS($1:6)&gt;COUNT(Dong7),"",OFFSET(TH!C$1,SMALL(Dong7,ROWS($1:6)),))</f>
        <v>40686</v>
      </c>
      <c r="C16" s="301" t="str">
        <f ca="1">IF(ROWS($1:6)&gt;COUNT(Dong7),"",OFFSET(TH!D$1,SMALL(Dong7,ROWS($1:6)),))</f>
        <v>GBC</v>
      </c>
      <c r="D16" s="301">
        <f ca="1">IF(ROWS($1:6)&gt;COUNT(Dong7),"",OFFSET(TH!E$1,SMALL(Dong7,ROWS($1:6)),))</f>
        <v>40686</v>
      </c>
      <c r="E16" s="351" t="str">
        <f ca="1">IF(ROWS($1:6)&gt;COUNT(Dong7),"",OFFSET(TH!F$1,SMALL(Dong7,ROWS($1:6)),))</f>
        <v>An Lạc - Mượn vốn</v>
      </c>
      <c r="F16" s="352">
        <f ca="1">IF(ROWS($1:6)&gt;COUNT(Dong7),"",OFFSET(TH!I$1,SMALL(Dong7,ROWS($1:6)),))</f>
        <v>100000000</v>
      </c>
      <c r="G16" s="354" t="str">
        <f ca="1">IF(ROWS($1:6)&gt;COUNT(Dong7),"",OFFSET(TH!J$1,SMALL(Dong7,ROWS($1:6)),))</f>
        <v>1121</v>
      </c>
      <c r="H16" s="354" t="str">
        <f ca="1">IF(ROWS($1:6)&gt;COUNT(Dong7),"",OFFSET(TH!K$1,SMALL(Dong7,ROWS($1:6)),))</f>
        <v>3388</v>
      </c>
      <c r="I16" s="63">
        <f t="shared" ref="I16:I17" ca="1" si="41">A16</f>
        <v>6</v>
      </c>
      <c r="J16" s="303">
        <f t="shared" ca="1" si="1"/>
        <v>0</v>
      </c>
      <c r="K16" s="303">
        <f t="shared" ca="1" si="2"/>
        <v>0</v>
      </c>
      <c r="L16" s="303">
        <f t="shared" ca="1" si="3"/>
        <v>100000000</v>
      </c>
      <c r="M16" s="303">
        <f t="shared" ca="1" si="4"/>
        <v>0</v>
      </c>
      <c r="N16" s="303">
        <f t="shared" ca="1" si="5"/>
        <v>0</v>
      </c>
      <c r="O16" s="303">
        <f t="shared" ca="1" si="6"/>
        <v>0</v>
      </c>
      <c r="P16" s="303">
        <f t="shared" ca="1" si="7"/>
        <v>0</v>
      </c>
      <c r="Q16" s="303">
        <f t="shared" ca="1" si="8"/>
        <v>0</v>
      </c>
      <c r="R16" s="303">
        <f t="shared" ca="1" si="39"/>
        <v>0</v>
      </c>
      <c r="S16" s="303">
        <f t="shared" ca="1" si="40"/>
        <v>0</v>
      </c>
      <c r="T16" s="303">
        <f t="shared" ca="1" si="9"/>
        <v>0</v>
      </c>
      <c r="U16" s="303">
        <f t="shared" ca="1" si="10"/>
        <v>0</v>
      </c>
      <c r="V16" s="303">
        <f t="shared" ca="1" si="11"/>
        <v>0</v>
      </c>
      <c r="W16" s="303">
        <f t="shared" ca="1" si="12"/>
        <v>0</v>
      </c>
      <c r="X16" s="303">
        <f t="shared" ca="1" si="13"/>
        <v>0</v>
      </c>
      <c r="Y16" s="303">
        <f t="shared" ca="1" si="14"/>
        <v>0</v>
      </c>
      <c r="Z16" s="303">
        <f t="shared" ca="1" si="15"/>
        <v>0</v>
      </c>
      <c r="AA16" s="303">
        <f t="shared" ca="1" si="16"/>
        <v>100000000</v>
      </c>
      <c r="AB16" s="303">
        <f t="shared" ca="1" si="17"/>
        <v>0</v>
      </c>
      <c r="AC16" s="303">
        <f t="shared" ca="1" si="18"/>
        <v>0</v>
      </c>
      <c r="AD16" s="303">
        <f t="shared" ca="1" si="19"/>
        <v>0</v>
      </c>
      <c r="AE16" s="303">
        <f t="shared" ca="1" si="20"/>
        <v>0</v>
      </c>
      <c r="AF16" s="303">
        <f t="shared" ca="1" si="21"/>
        <v>0</v>
      </c>
      <c r="AG16" s="303">
        <f t="shared" ca="1" si="22"/>
        <v>0</v>
      </c>
      <c r="AH16" s="303">
        <f t="shared" ca="1" si="23"/>
        <v>0</v>
      </c>
      <c r="AI16" s="303">
        <f t="shared" ca="1" si="24"/>
        <v>0</v>
      </c>
      <c r="AJ16" s="303">
        <f t="shared" ca="1" si="25"/>
        <v>0</v>
      </c>
      <c r="AK16" s="303">
        <f t="shared" ca="1" si="26"/>
        <v>0</v>
      </c>
      <c r="AL16" s="303">
        <f t="shared" ca="1" si="27"/>
        <v>0</v>
      </c>
      <c r="AM16" s="303">
        <f t="shared" ca="1" si="28"/>
        <v>0</v>
      </c>
      <c r="AN16" s="303">
        <f t="shared" ca="1" si="29"/>
        <v>0</v>
      </c>
      <c r="AO16" s="303">
        <f t="shared" ca="1" si="30"/>
        <v>0</v>
      </c>
      <c r="AP16" s="303">
        <f t="shared" ca="1" si="31"/>
        <v>0</v>
      </c>
      <c r="AQ16" s="303">
        <f t="shared" ca="1" si="32"/>
        <v>0</v>
      </c>
      <c r="AR16" s="303">
        <f t="shared" ca="1" si="33"/>
        <v>0</v>
      </c>
      <c r="AS16" s="303">
        <f t="shared" ca="1" si="34"/>
        <v>0</v>
      </c>
      <c r="AT16" s="303">
        <f t="shared" ca="1" si="35"/>
        <v>0</v>
      </c>
      <c r="AU16" s="303">
        <f t="shared" ca="1" si="36"/>
        <v>0</v>
      </c>
      <c r="AV16" s="303">
        <f t="shared" ca="1" si="37"/>
        <v>0</v>
      </c>
      <c r="AW16" s="303">
        <f t="shared" ca="1" si="38"/>
        <v>0</v>
      </c>
    </row>
    <row r="17" spans="1:49" s="300" customFormat="1" ht="12" customHeight="1">
      <c r="A17" s="63">
        <f t="array" aca="1" ref="A17" ca="1">IF(C17&lt;&gt;0,SUM(($C$11:C17&lt;&gt;0)*1),"")</f>
        <v>7</v>
      </c>
      <c r="B17" s="301">
        <f ca="1">IF(ROWS($1:7)&gt;COUNT(Dong7),"",OFFSET(TH!C$1,SMALL(Dong7,ROWS($1:7)),))</f>
        <v>40686</v>
      </c>
      <c r="C17" s="301" t="str">
        <f ca="1">IF(ROWS($1:7)&gt;COUNT(Dong7),"",OFFSET(TH!D$1,SMALL(Dong7,ROWS($1:7)),))</f>
        <v>GBN</v>
      </c>
      <c r="D17" s="301">
        <f ca="1">IF(ROWS($1:7)&gt;COUNT(Dong7),"",OFFSET(TH!E$1,SMALL(Dong7,ROWS($1:7)),))</f>
        <v>40686</v>
      </c>
      <c r="E17" s="351" t="str">
        <f ca="1">IF(ROWS($1:7)&gt;COUNT(Dong7),"",OFFSET(TH!F$1,SMALL(Dong7,ROWS($1:7)),))</f>
        <v>Thanh toán tiền xây dựng - Khánh Trân</v>
      </c>
      <c r="F17" s="352">
        <f ca="1">IF(ROWS($1:7)&gt;COUNT(Dong7),"",OFFSET(TH!I$1,SMALL(Dong7,ROWS($1:7)),))</f>
        <v>100000000</v>
      </c>
      <c r="G17" s="354" t="str">
        <f ca="1">IF(ROWS($1:7)&gt;COUNT(Dong7),"",OFFSET(TH!J$1,SMALL(Dong7,ROWS($1:7)),))</f>
        <v>331</v>
      </c>
      <c r="H17" s="354" t="str">
        <f ca="1">IF(ROWS($1:7)&gt;COUNT(Dong7),"",OFFSET(TH!K$1,SMALL(Dong7,ROWS($1:7)),))</f>
        <v>1121</v>
      </c>
      <c r="I17" s="63">
        <f t="shared" ca="1" si="41"/>
        <v>7</v>
      </c>
      <c r="J17" s="303">
        <f t="shared" ca="1" si="1"/>
        <v>0</v>
      </c>
      <c r="K17" s="303">
        <f t="shared" ca="1" si="2"/>
        <v>0</v>
      </c>
      <c r="L17" s="303">
        <f t="shared" ca="1" si="3"/>
        <v>0</v>
      </c>
      <c r="M17" s="303">
        <f t="shared" ca="1" si="4"/>
        <v>100000000</v>
      </c>
      <c r="N17" s="303">
        <f t="shared" ca="1" si="5"/>
        <v>0</v>
      </c>
      <c r="O17" s="303">
        <f t="shared" ca="1" si="6"/>
        <v>0</v>
      </c>
      <c r="P17" s="303">
        <f t="shared" ca="1" si="7"/>
        <v>0</v>
      </c>
      <c r="Q17" s="303">
        <f t="shared" ca="1" si="8"/>
        <v>0</v>
      </c>
      <c r="R17" s="303">
        <f t="shared" ca="1" si="39"/>
        <v>0</v>
      </c>
      <c r="S17" s="303">
        <f t="shared" ca="1" si="40"/>
        <v>0</v>
      </c>
      <c r="T17" s="303">
        <f t="shared" ca="1" si="9"/>
        <v>100000000</v>
      </c>
      <c r="U17" s="303">
        <f t="shared" ca="1" si="10"/>
        <v>0</v>
      </c>
      <c r="V17" s="303">
        <f t="shared" ca="1" si="11"/>
        <v>0</v>
      </c>
      <c r="W17" s="303">
        <f t="shared" ca="1" si="12"/>
        <v>0</v>
      </c>
      <c r="X17" s="303">
        <f t="shared" ca="1" si="13"/>
        <v>0</v>
      </c>
      <c r="Y17" s="303">
        <f t="shared" ca="1" si="14"/>
        <v>0</v>
      </c>
      <c r="Z17" s="303">
        <f t="shared" ca="1" si="15"/>
        <v>0</v>
      </c>
      <c r="AA17" s="303">
        <f t="shared" ca="1" si="16"/>
        <v>0</v>
      </c>
      <c r="AB17" s="303">
        <f t="shared" ca="1" si="17"/>
        <v>0</v>
      </c>
      <c r="AC17" s="303">
        <f t="shared" ca="1" si="18"/>
        <v>0</v>
      </c>
      <c r="AD17" s="303">
        <f t="shared" ca="1" si="19"/>
        <v>0</v>
      </c>
      <c r="AE17" s="303">
        <f t="shared" ca="1" si="20"/>
        <v>0</v>
      </c>
      <c r="AF17" s="303">
        <f t="shared" ca="1" si="21"/>
        <v>0</v>
      </c>
      <c r="AG17" s="303">
        <f t="shared" ca="1" si="22"/>
        <v>0</v>
      </c>
      <c r="AH17" s="303">
        <f t="shared" ca="1" si="23"/>
        <v>0</v>
      </c>
      <c r="AI17" s="303">
        <f t="shared" ca="1" si="24"/>
        <v>0</v>
      </c>
      <c r="AJ17" s="303">
        <f t="shared" ca="1" si="25"/>
        <v>0</v>
      </c>
      <c r="AK17" s="303">
        <f t="shared" ca="1" si="26"/>
        <v>0</v>
      </c>
      <c r="AL17" s="303">
        <f t="shared" ca="1" si="27"/>
        <v>0</v>
      </c>
      <c r="AM17" s="303">
        <f t="shared" ca="1" si="28"/>
        <v>0</v>
      </c>
      <c r="AN17" s="303">
        <f t="shared" ca="1" si="29"/>
        <v>0</v>
      </c>
      <c r="AO17" s="303">
        <f t="shared" ca="1" si="30"/>
        <v>0</v>
      </c>
      <c r="AP17" s="303">
        <f t="shared" ca="1" si="31"/>
        <v>0</v>
      </c>
      <c r="AQ17" s="303">
        <f t="shared" ca="1" si="32"/>
        <v>0</v>
      </c>
      <c r="AR17" s="303">
        <f t="shared" ca="1" si="33"/>
        <v>0</v>
      </c>
      <c r="AS17" s="303">
        <f t="shared" ca="1" si="34"/>
        <v>0</v>
      </c>
      <c r="AT17" s="303">
        <f t="shared" ca="1" si="35"/>
        <v>0</v>
      </c>
      <c r="AU17" s="303">
        <f t="shared" ca="1" si="36"/>
        <v>0</v>
      </c>
      <c r="AV17" s="303">
        <f t="shared" ca="1" si="37"/>
        <v>0</v>
      </c>
      <c r="AW17" s="303">
        <f t="shared" ca="1" si="38"/>
        <v>0</v>
      </c>
    </row>
    <row r="18" spans="1:49" s="300" customFormat="1" ht="12" customHeight="1">
      <c r="A18" s="63">
        <f t="array" aca="1" ref="A18" ca="1">IF(C18&lt;&gt;0,SUM(($C$11:C18&lt;&gt;0)*1),"")</f>
        <v>8</v>
      </c>
      <c r="B18" s="301">
        <f ca="1">IF(ROWS($1:8)&gt;COUNT(Dong7),"",OFFSET(TH!C$1,SMALL(Dong7,ROWS($1:8)),))</f>
        <v>40686</v>
      </c>
      <c r="C18" s="301" t="str">
        <f ca="1">IF(ROWS($1:8)&gt;COUNT(Dong7),"",OFFSET(TH!D$1,SMALL(Dong7,ROWS($1:8)),))</f>
        <v>GBN</v>
      </c>
      <c r="D18" s="301">
        <f ca="1">IF(ROWS($1:8)&gt;COUNT(Dong7),"",OFFSET(TH!E$1,SMALL(Dong7,ROWS($1:8)),))</f>
        <v>40686</v>
      </c>
      <c r="E18" s="351" t="str">
        <f ca="1">IF(ROWS($1:8)&gt;COUNT(Dong7),"",OFFSET(TH!F$1,SMALL(Dong7,ROWS($1:8)),))</f>
        <v xml:space="preserve">Phí chuyển tiền </v>
      </c>
      <c r="F18" s="352">
        <f ca="1">IF(ROWS($1:8)&gt;COUNT(Dong7),"",OFFSET(TH!I$1,SMALL(Dong7,ROWS($1:8)),))</f>
        <v>50000</v>
      </c>
      <c r="G18" s="354" t="str">
        <f ca="1">IF(ROWS($1:8)&gt;COUNT(Dong7),"",OFFSET(TH!J$1,SMALL(Dong7,ROWS($1:8)),))</f>
        <v>642</v>
      </c>
      <c r="H18" s="354" t="str">
        <f ca="1">IF(ROWS($1:8)&gt;COUNT(Dong7),"",OFFSET(TH!K$1,SMALL(Dong7,ROWS($1:8)),))</f>
        <v>1121</v>
      </c>
      <c r="I18" s="63">
        <f ca="1">A18</f>
        <v>8</v>
      </c>
      <c r="J18" s="303">
        <f t="shared" ca="1" si="1"/>
        <v>0</v>
      </c>
      <c r="K18" s="303">
        <f t="shared" ca="1" si="2"/>
        <v>0</v>
      </c>
      <c r="L18" s="303">
        <f t="shared" ca="1" si="3"/>
        <v>0</v>
      </c>
      <c r="M18" s="303">
        <f t="shared" ca="1" si="4"/>
        <v>50000</v>
      </c>
      <c r="N18" s="303">
        <f t="shared" ca="1" si="5"/>
        <v>0</v>
      </c>
      <c r="O18" s="303">
        <f t="shared" ca="1" si="6"/>
        <v>0</v>
      </c>
      <c r="P18" s="303">
        <f t="shared" ca="1" si="7"/>
        <v>0</v>
      </c>
      <c r="Q18" s="303">
        <f t="shared" ca="1" si="8"/>
        <v>0</v>
      </c>
      <c r="R18" s="303">
        <f t="shared" ca="1" si="39"/>
        <v>0</v>
      </c>
      <c r="S18" s="303">
        <f t="shared" ca="1" si="40"/>
        <v>0</v>
      </c>
      <c r="T18" s="303">
        <f t="shared" ca="1" si="9"/>
        <v>0</v>
      </c>
      <c r="U18" s="303">
        <f t="shared" ca="1" si="10"/>
        <v>0</v>
      </c>
      <c r="V18" s="303">
        <f t="shared" ca="1" si="11"/>
        <v>0</v>
      </c>
      <c r="W18" s="303">
        <f t="shared" ca="1" si="12"/>
        <v>0</v>
      </c>
      <c r="X18" s="303">
        <f t="shared" ca="1" si="13"/>
        <v>0</v>
      </c>
      <c r="Y18" s="303">
        <f t="shared" ca="1" si="14"/>
        <v>0</v>
      </c>
      <c r="Z18" s="303">
        <f t="shared" ca="1" si="15"/>
        <v>0</v>
      </c>
      <c r="AA18" s="303">
        <f t="shared" ca="1" si="16"/>
        <v>0</v>
      </c>
      <c r="AB18" s="303">
        <f t="shared" ca="1" si="17"/>
        <v>0</v>
      </c>
      <c r="AC18" s="303">
        <f t="shared" ca="1" si="18"/>
        <v>0</v>
      </c>
      <c r="AD18" s="303">
        <f t="shared" ca="1" si="19"/>
        <v>0</v>
      </c>
      <c r="AE18" s="303">
        <f t="shared" ca="1" si="20"/>
        <v>0</v>
      </c>
      <c r="AF18" s="303">
        <f t="shared" ca="1" si="21"/>
        <v>0</v>
      </c>
      <c r="AG18" s="303">
        <f t="shared" ca="1" si="22"/>
        <v>0</v>
      </c>
      <c r="AH18" s="303">
        <f t="shared" ca="1" si="23"/>
        <v>0</v>
      </c>
      <c r="AI18" s="303">
        <f t="shared" ca="1" si="24"/>
        <v>0</v>
      </c>
      <c r="AJ18" s="303">
        <f t="shared" ca="1" si="25"/>
        <v>0</v>
      </c>
      <c r="AK18" s="303">
        <f t="shared" ca="1" si="26"/>
        <v>0</v>
      </c>
      <c r="AL18" s="303">
        <f t="shared" ca="1" si="27"/>
        <v>0</v>
      </c>
      <c r="AM18" s="303">
        <f t="shared" ca="1" si="28"/>
        <v>0</v>
      </c>
      <c r="AN18" s="303">
        <f t="shared" ca="1" si="29"/>
        <v>50000</v>
      </c>
      <c r="AO18" s="303">
        <f t="shared" ca="1" si="30"/>
        <v>0</v>
      </c>
      <c r="AP18" s="303">
        <f t="shared" ca="1" si="31"/>
        <v>0</v>
      </c>
      <c r="AQ18" s="303">
        <f t="shared" ca="1" si="32"/>
        <v>0</v>
      </c>
      <c r="AR18" s="303">
        <f t="shared" ca="1" si="33"/>
        <v>0</v>
      </c>
      <c r="AS18" s="303">
        <f t="shared" ca="1" si="34"/>
        <v>0</v>
      </c>
      <c r="AT18" s="303">
        <f t="shared" ca="1" si="35"/>
        <v>0</v>
      </c>
      <c r="AU18" s="303">
        <f t="shared" ca="1" si="36"/>
        <v>0</v>
      </c>
      <c r="AV18" s="303">
        <f t="shared" ca="1" si="37"/>
        <v>0</v>
      </c>
      <c r="AW18" s="303">
        <f t="shared" ca="1" si="38"/>
        <v>0</v>
      </c>
    </row>
    <row r="19" spans="1:49" s="300" customFormat="1" ht="12" customHeight="1">
      <c r="A19" s="63">
        <f t="array" aca="1" ref="A19" ca="1">IF(C19&lt;&gt;0,SUM(($C$11:C19&lt;&gt;0)*1),"")</f>
        <v>9</v>
      </c>
      <c r="B19" s="301">
        <f ca="1">IF(ROWS($1:9)&gt;COUNT(Dong7),"",OFFSET(TH!C$1,SMALL(Dong7,ROWS($1:9)),))</f>
        <v>40686</v>
      </c>
      <c r="C19" s="301" t="str">
        <f ca="1">IF(ROWS($1:9)&gt;COUNT(Dong7),"",OFFSET(TH!D$1,SMALL(Dong7,ROWS($1:9)),))</f>
        <v>GBN</v>
      </c>
      <c r="D19" s="301">
        <f ca="1">IF(ROWS($1:9)&gt;COUNT(Dong7),"",OFFSET(TH!E$1,SMALL(Dong7,ROWS($1:9)),))</f>
        <v>40686</v>
      </c>
      <c r="E19" s="351" t="str">
        <f ca="1">IF(ROWS($1:9)&gt;COUNT(Dong7),"",OFFSET(TH!F$1,SMALL(Dong7,ROWS($1:9)),))</f>
        <v xml:space="preserve">GTGT Phí chuyển tiền </v>
      </c>
      <c r="F19" s="352">
        <f ca="1">IF(ROWS($1:9)&gt;COUNT(Dong7),"",OFFSET(TH!I$1,SMALL(Dong7,ROWS($1:9)),))</f>
        <v>5000</v>
      </c>
      <c r="G19" s="354" t="str">
        <f ca="1">IF(ROWS($1:9)&gt;COUNT(Dong7),"",OFFSET(TH!J$1,SMALL(Dong7,ROWS($1:9)),))</f>
        <v>642</v>
      </c>
      <c r="H19" s="354" t="str">
        <f ca="1">IF(ROWS($1:9)&gt;COUNT(Dong7),"",OFFSET(TH!K$1,SMALL(Dong7,ROWS($1:9)),))</f>
        <v>1121</v>
      </c>
      <c r="I19" s="63">
        <f ca="1">A19</f>
        <v>9</v>
      </c>
      <c r="J19" s="303">
        <f t="shared" ca="1" si="1"/>
        <v>0</v>
      </c>
      <c r="K19" s="303">
        <f t="shared" ca="1" si="2"/>
        <v>0</v>
      </c>
      <c r="L19" s="303">
        <f t="shared" ca="1" si="3"/>
        <v>0</v>
      </c>
      <c r="M19" s="303">
        <f t="shared" ca="1" si="4"/>
        <v>5000</v>
      </c>
      <c r="N19" s="303">
        <f t="shared" ca="1" si="5"/>
        <v>0</v>
      </c>
      <c r="O19" s="303">
        <f t="shared" ca="1" si="6"/>
        <v>0</v>
      </c>
      <c r="P19" s="303">
        <f t="shared" ca="1" si="7"/>
        <v>0</v>
      </c>
      <c r="Q19" s="303">
        <f t="shared" ca="1" si="8"/>
        <v>0</v>
      </c>
      <c r="R19" s="303">
        <f t="shared" ca="1" si="39"/>
        <v>0</v>
      </c>
      <c r="S19" s="303">
        <f t="shared" ca="1" si="40"/>
        <v>0</v>
      </c>
      <c r="T19" s="303">
        <f t="shared" ca="1" si="9"/>
        <v>0</v>
      </c>
      <c r="U19" s="303">
        <f t="shared" ca="1" si="10"/>
        <v>0</v>
      </c>
      <c r="V19" s="303">
        <f t="shared" ca="1" si="11"/>
        <v>0</v>
      </c>
      <c r="W19" s="303">
        <f t="shared" ca="1" si="12"/>
        <v>0</v>
      </c>
      <c r="X19" s="303">
        <f t="shared" ca="1" si="13"/>
        <v>0</v>
      </c>
      <c r="Y19" s="303">
        <f t="shared" ca="1" si="14"/>
        <v>0</v>
      </c>
      <c r="Z19" s="303">
        <f t="shared" ca="1" si="15"/>
        <v>0</v>
      </c>
      <c r="AA19" s="303">
        <f t="shared" ca="1" si="16"/>
        <v>0</v>
      </c>
      <c r="AB19" s="303">
        <f t="shared" ca="1" si="17"/>
        <v>0</v>
      </c>
      <c r="AC19" s="303">
        <f t="shared" ca="1" si="18"/>
        <v>0</v>
      </c>
      <c r="AD19" s="303">
        <f t="shared" ca="1" si="19"/>
        <v>0</v>
      </c>
      <c r="AE19" s="303">
        <f t="shared" ca="1" si="20"/>
        <v>0</v>
      </c>
      <c r="AF19" s="303">
        <f t="shared" ca="1" si="21"/>
        <v>0</v>
      </c>
      <c r="AG19" s="303">
        <f t="shared" ca="1" si="22"/>
        <v>0</v>
      </c>
      <c r="AH19" s="303">
        <f t="shared" ca="1" si="23"/>
        <v>0</v>
      </c>
      <c r="AI19" s="303">
        <f t="shared" ca="1" si="24"/>
        <v>0</v>
      </c>
      <c r="AJ19" s="303">
        <f t="shared" ca="1" si="25"/>
        <v>0</v>
      </c>
      <c r="AK19" s="303">
        <f t="shared" ca="1" si="26"/>
        <v>0</v>
      </c>
      <c r="AL19" s="303">
        <f t="shared" ca="1" si="27"/>
        <v>0</v>
      </c>
      <c r="AM19" s="303">
        <f t="shared" ca="1" si="28"/>
        <v>0</v>
      </c>
      <c r="AN19" s="303">
        <f t="shared" ca="1" si="29"/>
        <v>5000</v>
      </c>
      <c r="AO19" s="303">
        <f t="shared" ca="1" si="30"/>
        <v>0</v>
      </c>
      <c r="AP19" s="303">
        <f t="shared" ca="1" si="31"/>
        <v>0</v>
      </c>
      <c r="AQ19" s="303">
        <f t="shared" ca="1" si="32"/>
        <v>0</v>
      </c>
      <c r="AR19" s="303">
        <f t="shared" ca="1" si="33"/>
        <v>0</v>
      </c>
      <c r="AS19" s="303">
        <f t="shared" ca="1" si="34"/>
        <v>0</v>
      </c>
      <c r="AT19" s="303">
        <f t="shared" ca="1" si="35"/>
        <v>0</v>
      </c>
      <c r="AU19" s="303">
        <f t="shared" ca="1" si="36"/>
        <v>0</v>
      </c>
      <c r="AV19" s="303">
        <f t="shared" ca="1" si="37"/>
        <v>0</v>
      </c>
      <c r="AW19" s="303">
        <f t="shared" ca="1" si="38"/>
        <v>0</v>
      </c>
    </row>
    <row r="20" spans="1:49" s="300" customFormat="1" ht="12" customHeight="1">
      <c r="A20" s="63">
        <f t="array" aca="1" ref="A20" ca="1">IF(C20&lt;&gt;0,SUM(($C$11:C20&lt;&gt;0)*1),"")</f>
        <v>10</v>
      </c>
      <c r="B20" s="301">
        <f ca="1">IF(ROWS($1:10)&gt;COUNT(Dong7),"",OFFSET(TH!C$1,SMALL(Dong7,ROWS($1:10)),))</f>
        <v>40690</v>
      </c>
      <c r="C20" s="301" t="str">
        <f ca="1">IF(ROWS($1:10)&gt;COUNT(Dong7),"",OFFSET(TH!D$1,SMALL(Dong7,ROWS($1:10)),))</f>
        <v>C02</v>
      </c>
      <c r="D20" s="301">
        <f ca="1">IF(ROWS($1:10)&gt;COUNT(Dong7),"",OFFSET(TH!E$1,SMALL(Dong7,ROWS($1:10)),))</f>
        <v>40690</v>
      </c>
      <c r="E20" s="351" t="str">
        <f ca="1">IF(ROWS($1:10)&gt;COUNT(Dong7),"",OFFSET(TH!F$1,SMALL(Dong7,ROWS($1:10)),))</f>
        <v>Nộp tiền mặt vào tài khoản ngân hàng</v>
      </c>
      <c r="F20" s="352">
        <f ca="1">IF(ROWS($1:10)&gt;COUNT(Dong7),"",OFFSET(TH!I$1,SMALL(Dong7,ROWS($1:10)),))</f>
        <v>50000000</v>
      </c>
      <c r="G20" s="354" t="str">
        <f ca="1">IF(ROWS($1:10)&gt;COUNT(Dong7),"",OFFSET(TH!J$1,SMALL(Dong7,ROWS($1:10)),))</f>
        <v>1121</v>
      </c>
      <c r="H20" s="354" t="str">
        <f ca="1">IF(ROWS($1:10)&gt;COUNT(Dong7),"",OFFSET(TH!K$1,SMALL(Dong7,ROWS($1:10)),))</f>
        <v>1111</v>
      </c>
      <c r="I20" s="63">
        <f ca="1">A20</f>
        <v>10</v>
      </c>
      <c r="J20" s="303">
        <f t="shared" ca="1" si="1"/>
        <v>0</v>
      </c>
      <c r="K20" s="303">
        <f t="shared" ca="1" si="2"/>
        <v>50000000</v>
      </c>
      <c r="L20" s="303">
        <f t="shared" ca="1" si="3"/>
        <v>50000000</v>
      </c>
      <c r="M20" s="303">
        <f t="shared" ca="1" si="4"/>
        <v>0</v>
      </c>
      <c r="N20" s="303">
        <f t="shared" ca="1" si="5"/>
        <v>0</v>
      </c>
      <c r="O20" s="303">
        <f t="shared" ca="1" si="6"/>
        <v>0</v>
      </c>
      <c r="P20" s="303">
        <f t="shared" ca="1" si="7"/>
        <v>0</v>
      </c>
      <c r="Q20" s="303">
        <f t="shared" ca="1" si="8"/>
        <v>0</v>
      </c>
      <c r="R20" s="303">
        <f t="shared" ca="1" si="39"/>
        <v>0</v>
      </c>
      <c r="S20" s="303">
        <f t="shared" ca="1" si="40"/>
        <v>0</v>
      </c>
      <c r="T20" s="303">
        <f t="shared" ca="1" si="9"/>
        <v>0</v>
      </c>
      <c r="U20" s="303">
        <f t="shared" ca="1" si="10"/>
        <v>0</v>
      </c>
      <c r="V20" s="303">
        <f t="shared" ca="1" si="11"/>
        <v>0</v>
      </c>
      <c r="W20" s="303">
        <f t="shared" ca="1" si="12"/>
        <v>0</v>
      </c>
      <c r="X20" s="303">
        <f t="shared" ca="1" si="13"/>
        <v>0</v>
      </c>
      <c r="Y20" s="303">
        <f t="shared" ca="1" si="14"/>
        <v>0</v>
      </c>
      <c r="Z20" s="303">
        <f t="shared" ca="1" si="15"/>
        <v>0</v>
      </c>
      <c r="AA20" s="303">
        <f t="shared" ca="1" si="16"/>
        <v>0</v>
      </c>
      <c r="AB20" s="303">
        <f t="shared" ca="1" si="17"/>
        <v>0</v>
      </c>
      <c r="AC20" s="303">
        <f t="shared" ca="1" si="18"/>
        <v>0</v>
      </c>
      <c r="AD20" s="303">
        <f t="shared" ca="1" si="19"/>
        <v>0</v>
      </c>
      <c r="AE20" s="303">
        <f t="shared" ca="1" si="20"/>
        <v>0</v>
      </c>
      <c r="AF20" s="303">
        <f t="shared" ca="1" si="21"/>
        <v>0</v>
      </c>
      <c r="AG20" s="303">
        <f t="shared" ca="1" si="22"/>
        <v>0</v>
      </c>
      <c r="AH20" s="303">
        <f t="shared" ca="1" si="23"/>
        <v>0</v>
      </c>
      <c r="AI20" s="303">
        <f t="shared" ca="1" si="24"/>
        <v>0</v>
      </c>
      <c r="AJ20" s="303">
        <f t="shared" ca="1" si="25"/>
        <v>0</v>
      </c>
      <c r="AK20" s="303">
        <f t="shared" ca="1" si="26"/>
        <v>0</v>
      </c>
      <c r="AL20" s="303">
        <f t="shared" ca="1" si="27"/>
        <v>0</v>
      </c>
      <c r="AM20" s="303">
        <f t="shared" ca="1" si="28"/>
        <v>0</v>
      </c>
      <c r="AN20" s="303">
        <f t="shared" ca="1" si="29"/>
        <v>0</v>
      </c>
      <c r="AO20" s="303">
        <f t="shared" ca="1" si="30"/>
        <v>0</v>
      </c>
      <c r="AP20" s="303">
        <f t="shared" ca="1" si="31"/>
        <v>0</v>
      </c>
      <c r="AQ20" s="303">
        <f t="shared" ca="1" si="32"/>
        <v>0</v>
      </c>
      <c r="AR20" s="303">
        <f t="shared" ca="1" si="33"/>
        <v>0</v>
      </c>
      <c r="AS20" s="303">
        <f t="shared" ca="1" si="34"/>
        <v>0</v>
      </c>
      <c r="AT20" s="303">
        <f t="shared" ca="1" si="35"/>
        <v>0</v>
      </c>
      <c r="AU20" s="303">
        <f t="shared" ca="1" si="36"/>
        <v>0</v>
      </c>
      <c r="AV20" s="303">
        <f t="shared" ca="1" si="37"/>
        <v>0</v>
      </c>
      <c r="AW20" s="303">
        <f t="shared" ca="1" si="38"/>
        <v>0</v>
      </c>
    </row>
    <row r="21" spans="1:49" s="300" customFormat="1" ht="12" customHeight="1">
      <c r="A21" s="63">
        <f t="array" aca="1" ref="A21" ca="1">IF(C21&lt;&gt;0,SUM(($C$11:C21&lt;&gt;0)*1),"")</f>
        <v>11</v>
      </c>
      <c r="B21" s="301">
        <f ca="1">IF(ROWS($1:11)&gt;COUNT(Dong7),"",OFFSET(TH!C$1,SMALL(Dong7,ROWS($1:11)),))</f>
        <v>40690</v>
      </c>
      <c r="C21" s="301" t="str">
        <f ca="1">IF(ROWS($1:11)&gt;COUNT(Dong7),"",OFFSET(TH!D$1,SMALL(Dong7,ROWS($1:11)),))</f>
        <v>GBN</v>
      </c>
      <c r="D21" s="301">
        <f ca="1">IF(ROWS($1:11)&gt;COUNT(Dong7),"",OFFSET(TH!E$1,SMALL(Dong7,ROWS($1:11)),))</f>
        <v>40690</v>
      </c>
      <c r="E21" s="351" t="str">
        <f ca="1">IF(ROWS($1:11)&gt;COUNT(Dong7),"",OFFSET(TH!F$1,SMALL(Dong7,ROWS($1:11)),))</f>
        <v>Thanh toán tiền xây dựng - Khánh Trân</v>
      </c>
      <c r="F21" s="352">
        <f ca="1">IF(ROWS($1:11)&gt;COUNT(Dong7),"",OFFSET(TH!I$1,SMALL(Dong7,ROWS($1:11)),))</f>
        <v>50000000</v>
      </c>
      <c r="G21" s="354" t="str">
        <f ca="1">IF(ROWS($1:11)&gt;COUNT(Dong7),"",OFFSET(TH!J$1,SMALL(Dong7,ROWS($1:11)),))</f>
        <v>331</v>
      </c>
      <c r="H21" s="354" t="str">
        <f ca="1">IF(ROWS($1:11)&gt;COUNT(Dong7),"",OFFSET(TH!K$1,SMALL(Dong7,ROWS($1:11)),))</f>
        <v>1121</v>
      </c>
      <c r="I21" s="63">
        <f ca="1">A21</f>
        <v>11</v>
      </c>
      <c r="J21" s="303">
        <f t="shared" ca="1" si="1"/>
        <v>0</v>
      </c>
      <c r="K21" s="303">
        <f t="shared" ca="1" si="2"/>
        <v>0</v>
      </c>
      <c r="L21" s="303">
        <f t="shared" ca="1" si="3"/>
        <v>0</v>
      </c>
      <c r="M21" s="303">
        <f t="shared" ca="1" si="4"/>
        <v>50000000</v>
      </c>
      <c r="N21" s="303">
        <f t="shared" ca="1" si="5"/>
        <v>0</v>
      </c>
      <c r="O21" s="303">
        <f t="shared" ca="1" si="6"/>
        <v>0</v>
      </c>
      <c r="P21" s="303">
        <f t="shared" ca="1" si="7"/>
        <v>0</v>
      </c>
      <c r="Q21" s="303">
        <f t="shared" ca="1" si="8"/>
        <v>0</v>
      </c>
      <c r="R21" s="303">
        <f t="shared" ca="1" si="39"/>
        <v>0</v>
      </c>
      <c r="S21" s="303">
        <f t="shared" ca="1" si="40"/>
        <v>0</v>
      </c>
      <c r="T21" s="303">
        <f t="shared" ca="1" si="9"/>
        <v>50000000</v>
      </c>
      <c r="U21" s="303">
        <f t="shared" ca="1" si="10"/>
        <v>0</v>
      </c>
      <c r="V21" s="303">
        <f t="shared" ca="1" si="11"/>
        <v>0</v>
      </c>
      <c r="W21" s="303">
        <f t="shared" ca="1" si="12"/>
        <v>0</v>
      </c>
      <c r="X21" s="303">
        <f t="shared" ca="1" si="13"/>
        <v>0</v>
      </c>
      <c r="Y21" s="303">
        <f t="shared" ca="1" si="14"/>
        <v>0</v>
      </c>
      <c r="Z21" s="303">
        <f t="shared" ca="1" si="15"/>
        <v>0</v>
      </c>
      <c r="AA21" s="303">
        <f t="shared" ca="1" si="16"/>
        <v>0</v>
      </c>
      <c r="AB21" s="303">
        <f t="shared" ca="1" si="17"/>
        <v>0</v>
      </c>
      <c r="AC21" s="303">
        <f t="shared" ca="1" si="18"/>
        <v>0</v>
      </c>
      <c r="AD21" s="303">
        <f t="shared" ca="1" si="19"/>
        <v>0</v>
      </c>
      <c r="AE21" s="303">
        <f t="shared" ca="1" si="20"/>
        <v>0</v>
      </c>
      <c r="AF21" s="303">
        <f t="shared" ca="1" si="21"/>
        <v>0</v>
      </c>
      <c r="AG21" s="303">
        <f t="shared" ca="1" si="22"/>
        <v>0</v>
      </c>
      <c r="AH21" s="303">
        <f t="shared" ca="1" si="23"/>
        <v>0</v>
      </c>
      <c r="AI21" s="303">
        <f t="shared" ca="1" si="24"/>
        <v>0</v>
      </c>
      <c r="AJ21" s="303">
        <f t="shared" ca="1" si="25"/>
        <v>0</v>
      </c>
      <c r="AK21" s="303">
        <f t="shared" ca="1" si="26"/>
        <v>0</v>
      </c>
      <c r="AL21" s="303">
        <f t="shared" ca="1" si="27"/>
        <v>0</v>
      </c>
      <c r="AM21" s="303">
        <f t="shared" ca="1" si="28"/>
        <v>0</v>
      </c>
      <c r="AN21" s="303">
        <f t="shared" ca="1" si="29"/>
        <v>0</v>
      </c>
      <c r="AO21" s="303">
        <f t="shared" ca="1" si="30"/>
        <v>0</v>
      </c>
      <c r="AP21" s="303">
        <f t="shared" ca="1" si="31"/>
        <v>0</v>
      </c>
      <c r="AQ21" s="303">
        <f t="shared" ca="1" si="32"/>
        <v>0</v>
      </c>
      <c r="AR21" s="303">
        <f t="shared" ca="1" si="33"/>
        <v>0</v>
      </c>
      <c r="AS21" s="303">
        <f t="shared" ca="1" si="34"/>
        <v>0</v>
      </c>
      <c r="AT21" s="303">
        <f t="shared" ca="1" si="35"/>
        <v>0</v>
      </c>
      <c r="AU21" s="303">
        <f t="shared" ca="1" si="36"/>
        <v>0</v>
      </c>
      <c r="AV21" s="303">
        <f t="shared" ca="1" si="37"/>
        <v>0</v>
      </c>
      <c r="AW21" s="303">
        <f t="shared" ca="1" si="38"/>
        <v>0</v>
      </c>
    </row>
    <row r="22" spans="1:49" s="300" customFormat="1" ht="12" customHeight="1">
      <c r="A22" s="63">
        <f t="array" aca="1" ref="A22" ca="1">IF(C22&lt;&gt;0,SUM(($C$11:C22&lt;&gt;0)*1),"")</f>
        <v>12</v>
      </c>
      <c r="B22" s="301">
        <f ca="1">IF(ROWS($1:12)&gt;COUNT(Dong7),"",OFFSET(TH!C$1,SMALL(Dong7,ROWS($1:12)),))</f>
        <v>40690</v>
      </c>
      <c r="C22" s="301" t="str">
        <f ca="1">IF(ROWS($1:12)&gt;COUNT(Dong7),"",OFFSET(TH!D$1,SMALL(Dong7,ROWS($1:12)),))</f>
        <v>GBN</v>
      </c>
      <c r="D22" s="301">
        <f ca="1">IF(ROWS($1:12)&gt;COUNT(Dong7),"",OFFSET(TH!E$1,SMALL(Dong7,ROWS($1:12)),))</f>
        <v>40690</v>
      </c>
      <c r="E22" s="351" t="str">
        <f ca="1">IF(ROWS($1:12)&gt;COUNT(Dong7),"",OFFSET(TH!F$1,SMALL(Dong7,ROWS($1:12)),))</f>
        <v xml:space="preserve">Phí chuyển tiền </v>
      </c>
      <c r="F22" s="352">
        <f ca="1">IF(ROWS($1:12)&gt;COUNT(Dong7),"",OFFSET(TH!I$1,SMALL(Dong7,ROWS($1:12)),))</f>
        <v>25000</v>
      </c>
      <c r="G22" s="354" t="str">
        <f ca="1">IF(ROWS($1:12)&gt;COUNT(Dong7),"",OFFSET(TH!J$1,SMALL(Dong7,ROWS($1:12)),))</f>
        <v>642</v>
      </c>
      <c r="H22" s="354" t="str">
        <f ca="1">IF(ROWS($1:12)&gt;COUNT(Dong7),"",OFFSET(TH!K$1,SMALL(Dong7,ROWS($1:12)),))</f>
        <v>1121</v>
      </c>
      <c r="I22" s="63">
        <f t="shared" ref="I22:I33" ca="1" si="42">A22</f>
        <v>12</v>
      </c>
      <c r="J22" s="303">
        <f t="shared" ca="1" si="1"/>
        <v>0</v>
      </c>
      <c r="K22" s="303">
        <f t="shared" ca="1" si="2"/>
        <v>0</v>
      </c>
      <c r="L22" s="303">
        <f t="shared" ca="1" si="3"/>
        <v>0</v>
      </c>
      <c r="M22" s="303">
        <f t="shared" ca="1" si="4"/>
        <v>25000</v>
      </c>
      <c r="N22" s="303">
        <f t="shared" ca="1" si="5"/>
        <v>0</v>
      </c>
      <c r="O22" s="303">
        <f t="shared" ca="1" si="6"/>
        <v>0</v>
      </c>
      <c r="P22" s="303">
        <f t="shared" ca="1" si="7"/>
        <v>0</v>
      </c>
      <c r="Q22" s="303">
        <f t="shared" ca="1" si="8"/>
        <v>0</v>
      </c>
      <c r="R22" s="303">
        <f t="shared" ca="1" si="39"/>
        <v>0</v>
      </c>
      <c r="S22" s="303">
        <f t="shared" ca="1" si="40"/>
        <v>0</v>
      </c>
      <c r="T22" s="303">
        <f t="shared" ca="1" si="9"/>
        <v>0</v>
      </c>
      <c r="U22" s="303">
        <f t="shared" ca="1" si="10"/>
        <v>0</v>
      </c>
      <c r="V22" s="303">
        <f t="shared" ca="1" si="11"/>
        <v>0</v>
      </c>
      <c r="W22" s="303">
        <f t="shared" ca="1" si="12"/>
        <v>0</v>
      </c>
      <c r="X22" s="303">
        <f t="shared" ca="1" si="13"/>
        <v>0</v>
      </c>
      <c r="Y22" s="303">
        <f t="shared" ca="1" si="14"/>
        <v>0</v>
      </c>
      <c r="Z22" s="303">
        <f t="shared" ca="1" si="15"/>
        <v>0</v>
      </c>
      <c r="AA22" s="303">
        <f t="shared" ca="1" si="16"/>
        <v>0</v>
      </c>
      <c r="AB22" s="303">
        <f t="shared" ca="1" si="17"/>
        <v>0</v>
      </c>
      <c r="AC22" s="303">
        <f t="shared" ca="1" si="18"/>
        <v>0</v>
      </c>
      <c r="AD22" s="303">
        <f t="shared" ca="1" si="19"/>
        <v>0</v>
      </c>
      <c r="AE22" s="303">
        <f t="shared" ca="1" si="20"/>
        <v>0</v>
      </c>
      <c r="AF22" s="303">
        <f t="shared" ca="1" si="21"/>
        <v>0</v>
      </c>
      <c r="AG22" s="303">
        <f t="shared" ca="1" si="22"/>
        <v>0</v>
      </c>
      <c r="AH22" s="303">
        <f t="shared" ca="1" si="23"/>
        <v>0</v>
      </c>
      <c r="AI22" s="303">
        <f t="shared" ca="1" si="24"/>
        <v>0</v>
      </c>
      <c r="AJ22" s="303">
        <f t="shared" ca="1" si="25"/>
        <v>0</v>
      </c>
      <c r="AK22" s="303">
        <f t="shared" ca="1" si="26"/>
        <v>0</v>
      </c>
      <c r="AL22" s="303">
        <f t="shared" ca="1" si="27"/>
        <v>0</v>
      </c>
      <c r="AM22" s="303">
        <f t="shared" ca="1" si="28"/>
        <v>0</v>
      </c>
      <c r="AN22" s="303">
        <f t="shared" ca="1" si="29"/>
        <v>25000</v>
      </c>
      <c r="AO22" s="303">
        <f t="shared" ca="1" si="30"/>
        <v>0</v>
      </c>
      <c r="AP22" s="303">
        <f t="shared" ca="1" si="31"/>
        <v>0</v>
      </c>
      <c r="AQ22" s="303">
        <f t="shared" ca="1" si="32"/>
        <v>0</v>
      </c>
      <c r="AR22" s="303">
        <f t="shared" ca="1" si="33"/>
        <v>0</v>
      </c>
      <c r="AS22" s="303">
        <f t="shared" ca="1" si="34"/>
        <v>0</v>
      </c>
      <c r="AT22" s="303">
        <f t="shared" ca="1" si="35"/>
        <v>0</v>
      </c>
      <c r="AU22" s="303">
        <f t="shared" ca="1" si="36"/>
        <v>0</v>
      </c>
      <c r="AV22" s="303">
        <f t="shared" ca="1" si="37"/>
        <v>0</v>
      </c>
      <c r="AW22" s="303">
        <f t="shared" ca="1" si="38"/>
        <v>0</v>
      </c>
    </row>
    <row r="23" spans="1:49" s="300" customFormat="1" ht="12" customHeight="1">
      <c r="A23" s="63">
        <f t="array" aca="1" ref="A23" ca="1">IF(C23&lt;&gt;0,SUM(($C$11:C23&lt;&gt;0)*1),"")</f>
        <v>13</v>
      </c>
      <c r="B23" s="301">
        <f ca="1">IF(ROWS($1:13)&gt;COUNT(Dong7),"",OFFSET(TH!C$1,SMALL(Dong7,ROWS($1:13)),))</f>
        <v>40690</v>
      </c>
      <c r="C23" s="301" t="str">
        <f ca="1">IF(ROWS($1:13)&gt;COUNT(Dong7),"",OFFSET(TH!D$1,SMALL(Dong7,ROWS($1:13)),))</f>
        <v>GBN</v>
      </c>
      <c r="D23" s="301">
        <f ca="1">IF(ROWS($1:13)&gt;COUNT(Dong7),"",OFFSET(TH!E$1,SMALL(Dong7,ROWS($1:13)),))</f>
        <v>40690</v>
      </c>
      <c r="E23" s="351" t="str">
        <f ca="1">IF(ROWS($1:13)&gt;COUNT(Dong7),"",OFFSET(TH!F$1,SMALL(Dong7,ROWS($1:13)),))</f>
        <v>Phí kiểm đếm</v>
      </c>
      <c r="F23" s="352">
        <f ca="1">IF(ROWS($1:13)&gt;COUNT(Dong7),"",OFFSET(TH!I$1,SMALL(Dong7,ROWS($1:13)),))</f>
        <v>2500</v>
      </c>
      <c r="G23" s="354" t="str">
        <f ca="1">IF(ROWS($1:13)&gt;COUNT(Dong7),"",OFFSET(TH!J$1,SMALL(Dong7,ROWS($1:13)),))</f>
        <v>642</v>
      </c>
      <c r="H23" s="354" t="str">
        <f ca="1">IF(ROWS($1:13)&gt;COUNT(Dong7),"",OFFSET(TH!K$1,SMALL(Dong7,ROWS($1:13)),))</f>
        <v>1121</v>
      </c>
      <c r="I23" s="63">
        <f t="shared" ca="1" si="42"/>
        <v>13</v>
      </c>
      <c r="J23" s="303">
        <f t="shared" ca="1" si="1"/>
        <v>0</v>
      </c>
      <c r="K23" s="303">
        <f t="shared" ca="1" si="2"/>
        <v>0</v>
      </c>
      <c r="L23" s="303">
        <f t="shared" ca="1" si="3"/>
        <v>0</v>
      </c>
      <c r="M23" s="303">
        <f t="shared" ca="1" si="4"/>
        <v>2500</v>
      </c>
      <c r="N23" s="303">
        <f t="shared" ca="1" si="5"/>
        <v>0</v>
      </c>
      <c r="O23" s="303">
        <f t="shared" ca="1" si="6"/>
        <v>0</v>
      </c>
      <c r="P23" s="303">
        <f t="shared" ca="1" si="7"/>
        <v>0</v>
      </c>
      <c r="Q23" s="303">
        <f t="shared" ca="1" si="8"/>
        <v>0</v>
      </c>
      <c r="R23" s="303">
        <f t="shared" ca="1" si="39"/>
        <v>0</v>
      </c>
      <c r="S23" s="303">
        <f t="shared" ca="1" si="40"/>
        <v>0</v>
      </c>
      <c r="T23" s="303">
        <f t="shared" ca="1" si="9"/>
        <v>0</v>
      </c>
      <c r="U23" s="303">
        <f t="shared" ca="1" si="10"/>
        <v>0</v>
      </c>
      <c r="V23" s="303">
        <f t="shared" ca="1" si="11"/>
        <v>0</v>
      </c>
      <c r="W23" s="303">
        <f t="shared" ca="1" si="12"/>
        <v>0</v>
      </c>
      <c r="X23" s="303">
        <f t="shared" ca="1" si="13"/>
        <v>0</v>
      </c>
      <c r="Y23" s="303">
        <f t="shared" ca="1" si="14"/>
        <v>0</v>
      </c>
      <c r="Z23" s="303">
        <f t="shared" ca="1" si="15"/>
        <v>0</v>
      </c>
      <c r="AA23" s="303">
        <f t="shared" ca="1" si="16"/>
        <v>0</v>
      </c>
      <c r="AB23" s="303">
        <f t="shared" ca="1" si="17"/>
        <v>0</v>
      </c>
      <c r="AC23" s="303">
        <f t="shared" ca="1" si="18"/>
        <v>0</v>
      </c>
      <c r="AD23" s="303">
        <f t="shared" ca="1" si="19"/>
        <v>0</v>
      </c>
      <c r="AE23" s="303">
        <f t="shared" ca="1" si="20"/>
        <v>0</v>
      </c>
      <c r="AF23" s="303">
        <f t="shared" ca="1" si="21"/>
        <v>0</v>
      </c>
      <c r="AG23" s="303">
        <f t="shared" ca="1" si="22"/>
        <v>0</v>
      </c>
      <c r="AH23" s="303">
        <f t="shared" ca="1" si="23"/>
        <v>0</v>
      </c>
      <c r="AI23" s="303">
        <f t="shared" ca="1" si="24"/>
        <v>0</v>
      </c>
      <c r="AJ23" s="303">
        <f t="shared" ca="1" si="25"/>
        <v>0</v>
      </c>
      <c r="AK23" s="303">
        <f t="shared" ca="1" si="26"/>
        <v>0</v>
      </c>
      <c r="AL23" s="303">
        <f t="shared" ca="1" si="27"/>
        <v>0</v>
      </c>
      <c r="AM23" s="303">
        <f t="shared" ca="1" si="28"/>
        <v>0</v>
      </c>
      <c r="AN23" s="303">
        <f t="shared" ca="1" si="29"/>
        <v>2500</v>
      </c>
      <c r="AO23" s="303">
        <f t="shared" ca="1" si="30"/>
        <v>0</v>
      </c>
      <c r="AP23" s="303">
        <f t="shared" ca="1" si="31"/>
        <v>0</v>
      </c>
      <c r="AQ23" s="303">
        <f t="shared" ca="1" si="32"/>
        <v>0</v>
      </c>
      <c r="AR23" s="303">
        <f t="shared" ca="1" si="33"/>
        <v>0</v>
      </c>
      <c r="AS23" s="303">
        <f t="shared" ca="1" si="34"/>
        <v>0</v>
      </c>
      <c r="AT23" s="303">
        <f t="shared" ca="1" si="35"/>
        <v>0</v>
      </c>
      <c r="AU23" s="303">
        <f t="shared" ca="1" si="36"/>
        <v>0</v>
      </c>
      <c r="AV23" s="303">
        <f t="shared" ca="1" si="37"/>
        <v>0</v>
      </c>
      <c r="AW23" s="303">
        <f t="shared" ca="1" si="38"/>
        <v>0</v>
      </c>
    </row>
    <row r="24" spans="1:49" s="300" customFormat="1" ht="12" customHeight="1">
      <c r="A24" s="63">
        <f t="array" aca="1" ref="A24" ca="1">IF(C24&lt;&gt;0,SUM(($C$11:C24&lt;&gt;0)*1),"")</f>
        <v>14</v>
      </c>
      <c r="B24" s="301">
        <f ca="1">IF(ROWS($1:14)&gt;COUNT(Dong7),"",OFFSET(TH!C$1,SMALL(Dong7,ROWS($1:14)),))</f>
        <v>40690</v>
      </c>
      <c r="C24" s="301" t="str">
        <f ca="1">IF(ROWS($1:14)&gt;COUNT(Dong7),"",OFFSET(TH!D$1,SMALL(Dong7,ROWS($1:14)),))</f>
        <v>GBN</v>
      </c>
      <c r="D24" s="301">
        <f ca="1">IF(ROWS($1:14)&gt;COUNT(Dong7),"",OFFSET(TH!E$1,SMALL(Dong7,ROWS($1:14)),))</f>
        <v>40690</v>
      </c>
      <c r="E24" s="351" t="str">
        <f ca="1">IF(ROWS($1:14)&gt;COUNT(Dong7),"",OFFSET(TH!F$1,SMALL(Dong7,ROWS($1:14)),))</f>
        <v xml:space="preserve">GTGT Phí chuyển tiền </v>
      </c>
      <c r="F24" s="352">
        <f ca="1">IF(ROWS($1:14)&gt;COUNT(Dong7),"",OFFSET(TH!I$1,SMALL(Dong7,ROWS($1:14)),))</f>
        <v>14907</v>
      </c>
      <c r="G24" s="354" t="str">
        <f ca="1">IF(ROWS($1:14)&gt;COUNT(Dong7),"",OFFSET(TH!J$1,SMALL(Dong7,ROWS($1:14)),))</f>
        <v>642</v>
      </c>
      <c r="H24" s="354" t="str">
        <f ca="1">IF(ROWS($1:14)&gt;COUNT(Dong7),"",OFFSET(TH!K$1,SMALL(Dong7,ROWS($1:14)),))</f>
        <v>1121</v>
      </c>
      <c r="I24" s="63">
        <f t="shared" ca="1" si="42"/>
        <v>14</v>
      </c>
      <c r="J24" s="303">
        <f t="shared" ca="1" si="1"/>
        <v>0</v>
      </c>
      <c r="K24" s="303">
        <f t="shared" ca="1" si="2"/>
        <v>0</v>
      </c>
      <c r="L24" s="303">
        <f t="shared" ca="1" si="3"/>
        <v>0</v>
      </c>
      <c r="M24" s="303">
        <f t="shared" ca="1" si="4"/>
        <v>14907</v>
      </c>
      <c r="N24" s="303">
        <f t="shared" ca="1" si="5"/>
        <v>0</v>
      </c>
      <c r="O24" s="303">
        <f t="shared" ca="1" si="6"/>
        <v>0</v>
      </c>
      <c r="P24" s="303">
        <f t="shared" ca="1" si="7"/>
        <v>0</v>
      </c>
      <c r="Q24" s="303">
        <f t="shared" ca="1" si="8"/>
        <v>0</v>
      </c>
      <c r="R24" s="303">
        <f t="shared" ca="1" si="39"/>
        <v>0</v>
      </c>
      <c r="S24" s="303">
        <f t="shared" ca="1" si="40"/>
        <v>0</v>
      </c>
      <c r="T24" s="303">
        <f t="shared" ca="1" si="9"/>
        <v>0</v>
      </c>
      <c r="U24" s="303">
        <f t="shared" ca="1" si="10"/>
        <v>0</v>
      </c>
      <c r="V24" s="303">
        <f t="shared" ca="1" si="11"/>
        <v>0</v>
      </c>
      <c r="W24" s="303">
        <f t="shared" ca="1" si="12"/>
        <v>0</v>
      </c>
      <c r="X24" s="303">
        <f t="shared" ca="1" si="13"/>
        <v>0</v>
      </c>
      <c r="Y24" s="303">
        <f t="shared" ca="1" si="14"/>
        <v>0</v>
      </c>
      <c r="Z24" s="303">
        <f t="shared" ca="1" si="15"/>
        <v>0</v>
      </c>
      <c r="AA24" s="303">
        <f t="shared" ca="1" si="16"/>
        <v>0</v>
      </c>
      <c r="AB24" s="303">
        <f t="shared" ca="1" si="17"/>
        <v>0</v>
      </c>
      <c r="AC24" s="303">
        <f t="shared" ca="1" si="18"/>
        <v>0</v>
      </c>
      <c r="AD24" s="303">
        <f t="shared" ca="1" si="19"/>
        <v>0</v>
      </c>
      <c r="AE24" s="303">
        <f t="shared" ca="1" si="20"/>
        <v>0</v>
      </c>
      <c r="AF24" s="303">
        <f t="shared" ca="1" si="21"/>
        <v>0</v>
      </c>
      <c r="AG24" s="303">
        <f t="shared" ca="1" si="22"/>
        <v>0</v>
      </c>
      <c r="AH24" s="303">
        <f t="shared" ca="1" si="23"/>
        <v>0</v>
      </c>
      <c r="AI24" s="303">
        <f t="shared" ca="1" si="24"/>
        <v>0</v>
      </c>
      <c r="AJ24" s="303">
        <f t="shared" ca="1" si="25"/>
        <v>0</v>
      </c>
      <c r="AK24" s="303">
        <f t="shared" ca="1" si="26"/>
        <v>0</v>
      </c>
      <c r="AL24" s="303">
        <f t="shared" ca="1" si="27"/>
        <v>0</v>
      </c>
      <c r="AM24" s="303">
        <f t="shared" ca="1" si="28"/>
        <v>0</v>
      </c>
      <c r="AN24" s="303">
        <f t="shared" ca="1" si="29"/>
        <v>14907</v>
      </c>
      <c r="AO24" s="303">
        <f t="shared" ca="1" si="30"/>
        <v>0</v>
      </c>
      <c r="AP24" s="303">
        <f t="shared" ca="1" si="31"/>
        <v>0</v>
      </c>
      <c r="AQ24" s="303">
        <f t="shared" ca="1" si="32"/>
        <v>0</v>
      </c>
      <c r="AR24" s="303">
        <f t="shared" ca="1" si="33"/>
        <v>0</v>
      </c>
      <c r="AS24" s="303">
        <f t="shared" ca="1" si="34"/>
        <v>0</v>
      </c>
      <c r="AT24" s="303">
        <f t="shared" ca="1" si="35"/>
        <v>0</v>
      </c>
      <c r="AU24" s="303">
        <f t="shared" ca="1" si="36"/>
        <v>0</v>
      </c>
      <c r="AV24" s="303">
        <f t="shared" ca="1" si="37"/>
        <v>0</v>
      </c>
      <c r="AW24" s="303">
        <f t="shared" ca="1" si="38"/>
        <v>0</v>
      </c>
    </row>
    <row r="25" spans="1:49" s="300" customFormat="1" ht="12" customHeight="1">
      <c r="A25" s="63">
        <f t="array" aca="1" ref="A25" ca="1">IF(C25&lt;&gt;0,SUM(($C$11:C25&lt;&gt;0)*1),"")</f>
        <v>15</v>
      </c>
      <c r="B25" s="301">
        <f ca="1">IF(ROWS($1:15)&gt;COUNT(Dong7),"",OFFSET(TH!C$1,SMALL(Dong7,ROWS($1:15)),))</f>
        <v>40690</v>
      </c>
      <c r="C25" s="301" t="str">
        <f ca="1">IF(ROWS($1:15)&gt;COUNT(Dong7),"",OFFSET(TH!D$1,SMALL(Dong7,ROWS($1:15)),))</f>
        <v>GBN</v>
      </c>
      <c r="D25" s="301">
        <f ca="1">IF(ROWS($1:15)&gt;COUNT(Dong7),"",OFFSET(TH!E$1,SMALL(Dong7,ROWS($1:15)),))</f>
        <v>40690</v>
      </c>
      <c r="E25" s="351" t="str">
        <f ca="1">IF(ROWS($1:15)&gt;COUNT(Dong7),"",OFFSET(TH!F$1,SMALL(Dong7,ROWS($1:15)),))</f>
        <v>GTGT Phí kiểm đếm</v>
      </c>
      <c r="F25" s="352">
        <f ca="1">IF(ROWS($1:15)&gt;COUNT(Dong7),"",OFFSET(TH!I$1,SMALL(Dong7,ROWS($1:15)),))</f>
        <v>1491</v>
      </c>
      <c r="G25" s="354" t="str">
        <f ca="1">IF(ROWS($1:15)&gt;COUNT(Dong7),"",OFFSET(TH!J$1,SMALL(Dong7,ROWS($1:15)),))</f>
        <v>642</v>
      </c>
      <c r="H25" s="354" t="str">
        <f ca="1">IF(ROWS($1:15)&gt;COUNT(Dong7),"",OFFSET(TH!K$1,SMALL(Dong7,ROWS($1:15)),))</f>
        <v>1121</v>
      </c>
      <c r="I25" s="63">
        <f t="shared" ca="1" si="42"/>
        <v>15</v>
      </c>
      <c r="J25" s="303">
        <f t="shared" ca="1" si="1"/>
        <v>0</v>
      </c>
      <c r="K25" s="303">
        <f t="shared" ca="1" si="2"/>
        <v>0</v>
      </c>
      <c r="L25" s="303">
        <f t="shared" ca="1" si="3"/>
        <v>0</v>
      </c>
      <c r="M25" s="303">
        <f t="shared" ca="1" si="4"/>
        <v>1491</v>
      </c>
      <c r="N25" s="303">
        <f t="shared" ca="1" si="5"/>
        <v>0</v>
      </c>
      <c r="O25" s="303">
        <f t="shared" ca="1" si="6"/>
        <v>0</v>
      </c>
      <c r="P25" s="303">
        <f t="shared" ca="1" si="7"/>
        <v>0</v>
      </c>
      <c r="Q25" s="303">
        <f t="shared" ca="1" si="8"/>
        <v>0</v>
      </c>
      <c r="R25" s="303">
        <f t="shared" ca="1" si="39"/>
        <v>0</v>
      </c>
      <c r="S25" s="303">
        <f t="shared" ca="1" si="40"/>
        <v>0</v>
      </c>
      <c r="T25" s="303">
        <f t="shared" ca="1" si="9"/>
        <v>0</v>
      </c>
      <c r="U25" s="303">
        <f t="shared" ca="1" si="10"/>
        <v>0</v>
      </c>
      <c r="V25" s="303">
        <f t="shared" ca="1" si="11"/>
        <v>0</v>
      </c>
      <c r="W25" s="303">
        <f t="shared" ca="1" si="12"/>
        <v>0</v>
      </c>
      <c r="X25" s="303">
        <f t="shared" ca="1" si="13"/>
        <v>0</v>
      </c>
      <c r="Y25" s="303">
        <f t="shared" ca="1" si="14"/>
        <v>0</v>
      </c>
      <c r="Z25" s="303">
        <f t="shared" ca="1" si="15"/>
        <v>0</v>
      </c>
      <c r="AA25" s="303">
        <f t="shared" ca="1" si="16"/>
        <v>0</v>
      </c>
      <c r="AB25" s="303">
        <f t="shared" ca="1" si="17"/>
        <v>0</v>
      </c>
      <c r="AC25" s="303">
        <f t="shared" ca="1" si="18"/>
        <v>0</v>
      </c>
      <c r="AD25" s="303">
        <f t="shared" ca="1" si="19"/>
        <v>0</v>
      </c>
      <c r="AE25" s="303">
        <f t="shared" ca="1" si="20"/>
        <v>0</v>
      </c>
      <c r="AF25" s="303">
        <f t="shared" ca="1" si="21"/>
        <v>0</v>
      </c>
      <c r="AG25" s="303">
        <f t="shared" ca="1" si="22"/>
        <v>0</v>
      </c>
      <c r="AH25" s="303">
        <f t="shared" ca="1" si="23"/>
        <v>0</v>
      </c>
      <c r="AI25" s="303">
        <f t="shared" ca="1" si="24"/>
        <v>0</v>
      </c>
      <c r="AJ25" s="303">
        <f t="shared" ca="1" si="25"/>
        <v>0</v>
      </c>
      <c r="AK25" s="303">
        <f t="shared" ca="1" si="26"/>
        <v>0</v>
      </c>
      <c r="AL25" s="303">
        <f t="shared" ca="1" si="27"/>
        <v>0</v>
      </c>
      <c r="AM25" s="303">
        <f t="shared" ca="1" si="28"/>
        <v>0</v>
      </c>
      <c r="AN25" s="303">
        <f t="shared" ca="1" si="29"/>
        <v>1491</v>
      </c>
      <c r="AO25" s="303">
        <f t="shared" ca="1" si="30"/>
        <v>0</v>
      </c>
      <c r="AP25" s="303">
        <f t="shared" ca="1" si="31"/>
        <v>0</v>
      </c>
      <c r="AQ25" s="303">
        <f t="shared" ca="1" si="32"/>
        <v>0</v>
      </c>
      <c r="AR25" s="303">
        <f t="shared" ca="1" si="33"/>
        <v>0</v>
      </c>
      <c r="AS25" s="303">
        <f t="shared" ca="1" si="34"/>
        <v>0</v>
      </c>
      <c r="AT25" s="303">
        <f t="shared" ca="1" si="35"/>
        <v>0</v>
      </c>
      <c r="AU25" s="303">
        <f t="shared" ca="1" si="36"/>
        <v>0</v>
      </c>
      <c r="AV25" s="303">
        <f t="shared" ca="1" si="37"/>
        <v>0</v>
      </c>
      <c r="AW25" s="303">
        <f t="shared" ca="1" si="38"/>
        <v>0</v>
      </c>
    </row>
    <row r="26" spans="1:49" s="300" customFormat="1" ht="12" customHeight="1">
      <c r="A26" s="63">
        <f t="array" aca="1" ref="A26" ca="1">IF(C26&lt;&gt;0,SUM(($C$11:C26&lt;&gt;0)*1),"")</f>
        <v>16</v>
      </c>
      <c r="B26" s="301">
        <f ca="1">IF(ROWS($1:16)&gt;COUNT(Dong7),"",OFFSET(TH!C$1,SMALL(Dong7,ROWS($1:16)),))</f>
        <v>40710</v>
      </c>
      <c r="C26" s="301" t="str">
        <f ca="1">IF(ROWS($1:16)&gt;COUNT(Dong7),"",OFFSET(TH!D$1,SMALL(Dong7,ROWS($1:16)),))</f>
        <v>GBN</v>
      </c>
      <c r="D26" s="301">
        <f ca="1">IF(ROWS($1:16)&gt;COUNT(Dong7),"",OFFSET(TH!E$1,SMALL(Dong7,ROWS($1:16)),))</f>
        <v>40710</v>
      </c>
      <c r="E26" s="351" t="str">
        <f ca="1">IF(ROWS($1:16)&gt;COUNT(Dong7),"",OFFSET(TH!F$1,SMALL(Dong7,ROWS($1:16)),))</f>
        <v>Phí NH</v>
      </c>
      <c r="F26" s="352">
        <f ca="1">IF(ROWS($1:16)&gt;COUNT(Dong7),"",OFFSET(TH!I$1,SMALL(Dong7,ROWS($1:16)),))</f>
        <v>5500</v>
      </c>
      <c r="G26" s="354" t="str">
        <f ca="1">IF(ROWS($1:16)&gt;COUNT(Dong7),"",OFFSET(TH!J$1,SMALL(Dong7,ROWS($1:16)),))</f>
        <v>642</v>
      </c>
      <c r="H26" s="354" t="str">
        <f ca="1">IF(ROWS($1:16)&gt;COUNT(Dong7),"",OFFSET(TH!K$1,SMALL(Dong7,ROWS($1:16)),))</f>
        <v>1121</v>
      </c>
      <c r="I26" s="63">
        <f t="shared" ca="1" si="42"/>
        <v>16</v>
      </c>
      <c r="J26" s="303">
        <f t="shared" ca="1" si="1"/>
        <v>0</v>
      </c>
      <c r="K26" s="303">
        <f t="shared" ca="1" si="2"/>
        <v>0</v>
      </c>
      <c r="L26" s="303">
        <f t="shared" ca="1" si="3"/>
        <v>0</v>
      </c>
      <c r="M26" s="303">
        <f t="shared" ca="1" si="4"/>
        <v>5500</v>
      </c>
      <c r="N26" s="303">
        <f t="shared" ca="1" si="5"/>
        <v>0</v>
      </c>
      <c r="O26" s="303">
        <f t="shared" ca="1" si="6"/>
        <v>0</v>
      </c>
      <c r="P26" s="303">
        <f t="shared" ca="1" si="7"/>
        <v>0</v>
      </c>
      <c r="Q26" s="303">
        <f t="shared" ca="1" si="8"/>
        <v>0</v>
      </c>
      <c r="R26" s="303">
        <f t="shared" ca="1" si="39"/>
        <v>0</v>
      </c>
      <c r="S26" s="303">
        <f t="shared" ca="1" si="40"/>
        <v>0</v>
      </c>
      <c r="T26" s="303">
        <f t="shared" ca="1" si="9"/>
        <v>0</v>
      </c>
      <c r="U26" s="303">
        <f t="shared" ca="1" si="10"/>
        <v>0</v>
      </c>
      <c r="V26" s="303">
        <f t="shared" ca="1" si="11"/>
        <v>0</v>
      </c>
      <c r="W26" s="303">
        <f t="shared" ca="1" si="12"/>
        <v>0</v>
      </c>
      <c r="X26" s="303">
        <f t="shared" ca="1" si="13"/>
        <v>0</v>
      </c>
      <c r="Y26" s="303">
        <f t="shared" ca="1" si="14"/>
        <v>0</v>
      </c>
      <c r="Z26" s="303">
        <f t="shared" ca="1" si="15"/>
        <v>0</v>
      </c>
      <c r="AA26" s="303">
        <f t="shared" ca="1" si="16"/>
        <v>0</v>
      </c>
      <c r="AB26" s="303">
        <f t="shared" ca="1" si="17"/>
        <v>0</v>
      </c>
      <c r="AC26" s="303">
        <f t="shared" ca="1" si="18"/>
        <v>0</v>
      </c>
      <c r="AD26" s="303">
        <f t="shared" ca="1" si="19"/>
        <v>0</v>
      </c>
      <c r="AE26" s="303">
        <f t="shared" ca="1" si="20"/>
        <v>0</v>
      </c>
      <c r="AF26" s="303">
        <f t="shared" ca="1" si="21"/>
        <v>0</v>
      </c>
      <c r="AG26" s="303">
        <f t="shared" ca="1" si="22"/>
        <v>0</v>
      </c>
      <c r="AH26" s="303">
        <f t="shared" ca="1" si="23"/>
        <v>0</v>
      </c>
      <c r="AI26" s="303">
        <f t="shared" ca="1" si="24"/>
        <v>0</v>
      </c>
      <c r="AJ26" s="303">
        <f t="shared" ca="1" si="25"/>
        <v>0</v>
      </c>
      <c r="AK26" s="303">
        <f t="shared" ca="1" si="26"/>
        <v>0</v>
      </c>
      <c r="AL26" s="303">
        <f t="shared" ca="1" si="27"/>
        <v>0</v>
      </c>
      <c r="AM26" s="303">
        <f t="shared" ca="1" si="28"/>
        <v>0</v>
      </c>
      <c r="AN26" s="303">
        <f t="shared" ca="1" si="29"/>
        <v>5500</v>
      </c>
      <c r="AO26" s="303">
        <f t="shared" ca="1" si="30"/>
        <v>0</v>
      </c>
      <c r="AP26" s="303">
        <f t="shared" ca="1" si="31"/>
        <v>0</v>
      </c>
      <c r="AQ26" s="303">
        <f t="shared" ca="1" si="32"/>
        <v>0</v>
      </c>
      <c r="AR26" s="303">
        <f t="shared" ca="1" si="33"/>
        <v>0</v>
      </c>
      <c r="AS26" s="303">
        <f t="shared" ca="1" si="34"/>
        <v>0</v>
      </c>
      <c r="AT26" s="303">
        <f t="shared" ca="1" si="35"/>
        <v>0</v>
      </c>
      <c r="AU26" s="303">
        <f t="shared" ca="1" si="36"/>
        <v>0</v>
      </c>
      <c r="AV26" s="303">
        <f t="shared" ca="1" si="37"/>
        <v>0</v>
      </c>
      <c r="AW26" s="303">
        <f t="shared" ca="1" si="38"/>
        <v>0</v>
      </c>
    </row>
    <row r="27" spans="1:49" s="300" customFormat="1" ht="12" customHeight="1">
      <c r="A27" s="63">
        <f t="array" aca="1" ref="A27" ca="1">IF(C27&lt;&gt;0,SUM(($C$11:C27&lt;&gt;0)*1),"")</f>
        <v>17</v>
      </c>
      <c r="B27" s="301">
        <f ca="1">IF(ROWS($1:17)&gt;COUNT(Dong7),"",OFFSET(TH!C$1,SMALL(Dong7,ROWS($1:17)),))</f>
        <v>40711</v>
      </c>
      <c r="C27" s="301" t="str">
        <f ca="1">IF(ROWS($1:17)&gt;COUNT(Dong7),"",OFFSET(TH!D$1,SMALL(Dong7,ROWS($1:17)),))</f>
        <v>GBN</v>
      </c>
      <c r="D27" s="301">
        <f ca="1">IF(ROWS($1:17)&gt;COUNT(Dong7),"",OFFSET(TH!E$1,SMALL(Dong7,ROWS($1:17)),))</f>
        <v>40711</v>
      </c>
      <c r="E27" s="351" t="str">
        <f ca="1">IF(ROWS($1:17)&gt;COUNT(Dong7),"",OFFSET(TH!F$1,SMALL(Dong7,ROWS($1:17)),))</f>
        <v>Phí NH</v>
      </c>
      <c r="F27" s="352">
        <f ca="1">IF(ROWS($1:17)&gt;COUNT(Dong7),"",OFFSET(TH!I$1,SMALL(Dong7,ROWS($1:17)),))</f>
        <v>5500</v>
      </c>
      <c r="G27" s="354" t="str">
        <f ca="1">IF(ROWS($1:17)&gt;COUNT(Dong7),"",OFFSET(TH!J$1,SMALL(Dong7,ROWS($1:17)),))</f>
        <v>642</v>
      </c>
      <c r="H27" s="354" t="str">
        <f ca="1">IF(ROWS($1:17)&gt;COUNT(Dong7),"",OFFSET(TH!K$1,SMALL(Dong7,ROWS($1:17)),))</f>
        <v>1121</v>
      </c>
      <c r="I27" s="63">
        <f t="shared" ca="1" si="42"/>
        <v>17</v>
      </c>
      <c r="J27" s="303">
        <f t="shared" ca="1" si="1"/>
        <v>0</v>
      </c>
      <c r="K27" s="303">
        <f t="shared" ca="1" si="2"/>
        <v>0</v>
      </c>
      <c r="L27" s="303">
        <f t="shared" ca="1" si="3"/>
        <v>0</v>
      </c>
      <c r="M27" s="303">
        <f t="shared" ca="1" si="4"/>
        <v>5500</v>
      </c>
      <c r="N27" s="303">
        <f t="shared" ca="1" si="5"/>
        <v>0</v>
      </c>
      <c r="O27" s="303">
        <f t="shared" ca="1" si="6"/>
        <v>0</v>
      </c>
      <c r="P27" s="303">
        <f t="shared" ca="1" si="7"/>
        <v>0</v>
      </c>
      <c r="Q27" s="303">
        <f t="shared" ca="1" si="8"/>
        <v>0</v>
      </c>
      <c r="R27" s="303">
        <f t="shared" ca="1" si="39"/>
        <v>0</v>
      </c>
      <c r="S27" s="303">
        <f t="shared" ca="1" si="40"/>
        <v>0</v>
      </c>
      <c r="T27" s="303">
        <f t="shared" ca="1" si="9"/>
        <v>0</v>
      </c>
      <c r="U27" s="303">
        <f t="shared" ca="1" si="10"/>
        <v>0</v>
      </c>
      <c r="V27" s="303">
        <f t="shared" ca="1" si="11"/>
        <v>0</v>
      </c>
      <c r="W27" s="303">
        <f t="shared" ca="1" si="12"/>
        <v>0</v>
      </c>
      <c r="X27" s="303">
        <f t="shared" ca="1" si="13"/>
        <v>0</v>
      </c>
      <c r="Y27" s="303">
        <f t="shared" ca="1" si="14"/>
        <v>0</v>
      </c>
      <c r="Z27" s="303">
        <f t="shared" ca="1" si="15"/>
        <v>0</v>
      </c>
      <c r="AA27" s="303">
        <f t="shared" ca="1" si="16"/>
        <v>0</v>
      </c>
      <c r="AB27" s="303">
        <f t="shared" ca="1" si="17"/>
        <v>0</v>
      </c>
      <c r="AC27" s="303">
        <f t="shared" ca="1" si="18"/>
        <v>0</v>
      </c>
      <c r="AD27" s="303">
        <f t="shared" ca="1" si="19"/>
        <v>0</v>
      </c>
      <c r="AE27" s="303">
        <f t="shared" ca="1" si="20"/>
        <v>0</v>
      </c>
      <c r="AF27" s="303">
        <f t="shared" ca="1" si="21"/>
        <v>0</v>
      </c>
      <c r="AG27" s="303">
        <f t="shared" ca="1" si="22"/>
        <v>0</v>
      </c>
      <c r="AH27" s="303">
        <f t="shared" ca="1" si="23"/>
        <v>0</v>
      </c>
      <c r="AI27" s="303">
        <f t="shared" ca="1" si="24"/>
        <v>0</v>
      </c>
      <c r="AJ27" s="303">
        <f t="shared" ca="1" si="25"/>
        <v>0</v>
      </c>
      <c r="AK27" s="303">
        <f t="shared" ca="1" si="26"/>
        <v>0</v>
      </c>
      <c r="AL27" s="303">
        <f t="shared" ca="1" si="27"/>
        <v>0</v>
      </c>
      <c r="AM27" s="303">
        <f t="shared" ca="1" si="28"/>
        <v>0</v>
      </c>
      <c r="AN27" s="303">
        <f t="shared" ca="1" si="29"/>
        <v>5500</v>
      </c>
      <c r="AO27" s="303">
        <f t="shared" ca="1" si="30"/>
        <v>0</v>
      </c>
      <c r="AP27" s="303">
        <f t="shared" ca="1" si="31"/>
        <v>0</v>
      </c>
      <c r="AQ27" s="303">
        <f t="shared" ca="1" si="32"/>
        <v>0</v>
      </c>
      <c r="AR27" s="303">
        <f t="shared" ca="1" si="33"/>
        <v>0</v>
      </c>
      <c r="AS27" s="303">
        <f t="shared" ca="1" si="34"/>
        <v>0</v>
      </c>
      <c r="AT27" s="303">
        <f t="shared" ca="1" si="35"/>
        <v>0</v>
      </c>
      <c r="AU27" s="303">
        <f t="shared" ca="1" si="36"/>
        <v>0</v>
      </c>
      <c r="AV27" s="303">
        <f t="shared" ca="1" si="37"/>
        <v>0</v>
      </c>
      <c r="AW27" s="303">
        <f t="shared" ca="1" si="38"/>
        <v>0</v>
      </c>
    </row>
    <row r="28" spans="1:49" s="300" customFormat="1" ht="12" customHeight="1">
      <c r="A28" s="63">
        <f t="array" aca="1" ref="A28" ca="1">IF(C28&lt;&gt;0,SUM(($C$11:C28&lt;&gt;0)*1),"")</f>
        <v>18</v>
      </c>
      <c r="B28" s="301">
        <f ca="1">IF(ROWS($1:18)&gt;COUNT(Dong7),"",OFFSET(TH!C$1,SMALL(Dong7,ROWS($1:18)),))</f>
        <v>40724</v>
      </c>
      <c r="C28" s="301" t="str">
        <f ca="1">IF(ROWS($1:18)&gt;COUNT(Dong7),"",OFFSET(TH!D$1,SMALL(Dong7,ROWS($1:18)),))</f>
        <v>C03</v>
      </c>
      <c r="D28" s="301">
        <f ca="1">IF(ROWS($1:18)&gt;COUNT(Dong7),"",OFFSET(TH!E$1,SMALL(Dong7,ROWS($1:18)),))</f>
        <v>40724</v>
      </c>
      <c r="E28" s="351" t="str">
        <f ca="1">IF(ROWS($1:18)&gt;COUNT(Dong7),"",OFFSET(TH!F$1,SMALL(Dong7,ROWS($1:18)),))</f>
        <v>Nộp tiền mặt vào tài khoản ngân hàng</v>
      </c>
      <c r="F28" s="352">
        <f ca="1">IF(ROWS($1:18)&gt;COUNT(Dong7),"",OFFSET(TH!I$1,SMALL(Dong7,ROWS($1:18)),))</f>
        <v>100000000</v>
      </c>
      <c r="G28" s="354" t="str">
        <f ca="1">IF(ROWS($1:18)&gt;COUNT(Dong7),"",OFFSET(TH!J$1,SMALL(Dong7,ROWS($1:18)),))</f>
        <v>1121</v>
      </c>
      <c r="H28" s="354" t="str">
        <f ca="1">IF(ROWS($1:18)&gt;COUNT(Dong7),"",OFFSET(TH!K$1,SMALL(Dong7,ROWS($1:18)),))</f>
        <v>1111</v>
      </c>
      <c r="I28" s="63">
        <f t="shared" ca="1" si="42"/>
        <v>18</v>
      </c>
      <c r="J28" s="303">
        <f t="shared" ca="1" si="1"/>
        <v>0</v>
      </c>
      <c r="K28" s="303">
        <f t="shared" ca="1" si="2"/>
        <v>100000000</v>
      </c>
      <c r="L28" s="303">
        <f t="shared" ca="1" si="3"/>
        <v>100000000</v>
      </c>
      <c r="M28" s="303">
        <f t="shared" ca="1" si="4"/>
        <v>0</v>
      </c>
      <c r="N28" s="303">
        <f t="shared" ca="1" si="5"/>
        <v>0</v>
      </c>
      <c r="O28" s="303">
        <f t="shared" ca="1" si="6"/>
        <v>0</v>
      </c>
      <c r="P28" s="303">
        <f t="shared" ca="1" si="7"/>
        <v>0</v>
      </c>
      <c r="Q28" s="303">
        <f t="shared" ca="1" si="8"/>
        <v>0</v>
      </c>
      <c r="R28" s="303">
        <f t="shared" ca="1" si="39"/>
        <v>0</v>
      </c>
      <c r="S28" s="303">
        <f t="shared" ca="1" si="40"/>
        <v>0</v>
      </c>
      <c r="T28" s="303">
        <f t="shared" ca="1" si="9"/>
        <v>0</v>
      </c>
      <c r="U28" s="303">
        <f t="shared" ca="1" si="10"/>
        <v>0</v>
      </c>
      <c r="V28" s="303">
        <f t="shared" ca="1" si="11"/>
        <v>0</v>
      </c>
      <c r="W28" s="303">
        <f t="shared" ca="1" si="12"/>
        <v>0</v>
      </c>
      <c r="X28" s="303">
        <f t="shared" ca="1" si="13"/>
        <v>0</v>
      </c>
      <c r="Y28" s="303">
        <f t="shared" ca="1" si="14"/>
        <v>0</v>
      </c>
      <c r="Z28" s="303">
        <f t="shared" ca="1" si="15"/>
        <v>0</v>
      </c>
      <c r="AA28" s="303">
        <f t="shared" ca="1" si="16"/>
        <v>0</v>
      </c>
      <c r="AB28" s="303">
        <f t="shared" ca="1" si="17"/>
        <v>0</v>
      </c>
      <c r="AC28" s="303">
        <f t="shared" ca="1" si="18"/>
        <v>0</v>
      </c>
      <c r="AD28" s="303">
        <f t="shared" ca="1" si="19"/>
        <v>0</v>
      </c>
      <c r="AE28" s="303">
        <f t="shared" ca="1" si="20"/>
        <v>0</v>
      </c>
      <c r="AF28" s="303">
        <f t="shared" ca="1" si="21"/>
        <v>0</v>
      </c>
      <c r="AG28" s="303">
        <f t="shared" ca="1" si="22"/>
        <v>0</v>
      </c>
      <c r="AH28" s="303">
        <f t="shared" ca="1" si="23"/>
        <v>0</v>
      </c>
      <c r="AI28" s="303">
        <f t="shared" ca="1" si="24"/>
        <v>0</v>
      </c>
      <c r="AJ28" s="303">
        <f t="shared" ca="1" si="25"/>
        <v>0</v>
      </c>
      <c r="AK28" s="303">
        <f t="shared" ca="1" si="26"/>
        <v>0</v>
      </c>
      <c r="AL28" s="303">
        <f t="shared" ca="1" si="27"/>
        <v>0</v>
      </c>
      <c r="AM28" s="303">
        <f t="shared" ca="1" si="28"/>
        <v>0</v>
      </c>
      <c r="AN28" s="303">
        <f t="shared" ca="1" si="29"/>
        <v>0</v>
      </c>
      <c r="AO28" s="303">
        <f t="shared" ca="1" si="30"/>
        <v>0</v>
      </c>
      <c r="AP28" s="303">
        <f t="shared" ca="1" si="31"/>
        <v>0</v>
      </c>
      <c r="AQ28" s="303">
        <f t="shared" ca="1" si="32"/>
        <v>0</v>
      </c>
      <c r="AR28" s="303">
        <f t="shared" ca="1" si="33"/>
        <v>0</v>
      </c>
      <c r="AS28" s="303">
        <f t="shared" ca="1" si="34"/>
        <v>0</v>
      </c>
      <c r="AT28" s="303">
        <f t="shared" ca="1" si="35"/>
        <v>0</v>
      </c>
      <c r="AU28" s="303">
        <f t="shared" ca="1" si="36"/>
        <v>0</v>
      </c>
      <c r="AV28" s="303">
        <f t="shared" ca="1" si="37"/>
        <v>0</v>
      </c>
      <c r="AW28" s="303">
        <f t="shared" ca="1" si="38"/>
        <v>0</v>
      </c>
    </row>
    <row r="29" spans="1:49" s="300" customFormat="1" ht="12" customHeight="1">
      <c r="A29" s="63">
        <f t="array" aca="1" ref="A29" ca="1">IF(C29&lt;&gt;0,SUM(($C$11:C29&lt;&gt;0)*1),"")</f>
        <v>19</v>
      </c>
      <c r="B29" s="301">
        <f ca="1">IF(ROWS($1:19)&gt;COUNT(Dong7),"",OFFSET(TH!C$1,SMALL(Dong7,ROWS($1:19)),))</f>
        <v>40724</v>
      </c>
      <c r="C29" s="301" t="str">
        <f ca="1">IF(ROWS($1:19)&gt;COUNT(Dong7),"",OFFSET(TH!D$1,SMALL(Dong7,ROWS($1:19)),))</f>
        <v>GBN</v>
      </c>
      <c r="D29" s="301">
        <f ca="1">IF(ROWS($1:19)&gt;COUNT(Dong7),"",OFFSET(TH!E$1,SMALL(Dong7,ROWS($1:19)),))</f>
        <v>40724</v>
      </c>
      <c r="E29" s="351" t="str">
        <f ca="1">IF(ROWS($1:19)&gt;COUNT(Dong7),"",OFFSET(TH!F$1,SMALL(Dong7,ROWS($1:19)),))</f>
        <v>Thanh toán tiền xây dựng - Khánh Trân</v>
      </c>
      <c r="F29" s="352">
        <f ca="1">IF(ROWS($1:19)&gt;COUNT(Dong7),"",OFFSET(TH!I$1,SMALL(Dong7,ROWS($1:19)),))</f>
        <v>100000000</v>
      </c>
      <c r="G29" s="354" t="str">
        <f ca="1">IF(ROWS($1:19)&gt;COUNT(Dong7),"",OFFSET(TH!J$1,SMALL(Dong7,ROWS($1:19)),))</f>
        <v>331</v>
      </c>
      <c r="H29" s="354" t="str">
        <f ca="1">IF(ROWS($1:19)&gt;COUNT(Dong7),"",OFFSET(TH!K$1,SMALL(Dong7,ROWS($1:19)),))</f>
        <v>1121</v>
      </c>
      <c r="I29" s="63">
        <f t="shared" ca="1" si="42"/>
        <v>19</v>
      </c>
      <c r="J29" s="303">
        <f t="shared" ca="1" si="1"/>
        <v>0</v>
      </c>
      <c r="K29" s="303">
        <f t="shared" ca="1" si="2"/>
        <v>0</v>
      </c>
      <c r="L29" s="303">
        <f t="shared" ca="1" si="3"/>
        <v>0</v>
      </c>
      <c r="M29" s="303">
        <f t="shared" ca="1" si="4"/>
        <v>100000000</v>
      </c>
      <c r="N29" s="303">
        <f t="shared" ca="1" si="5"/>
        <v>0</v>
      </c>
      <c r="O29" s="303">
        <f t="shared" ca="1" si="6"/>
        <v>0</v>
      </c>
      <c r="P29" s="303">
        <f t="shared" ca="1" si="7"/>
        <v>0</v>
      </c>
      <c r="Q29" s="303">
        <f t="shared" ca="1" si="8"/>
        <v>0</v>
      </c>
      <c r="R29" s="303">
        <f t="shared" ca="1" si="39"/>
        <v>0</v>
      </c>
      <c r="S29" s="303">
        <f t="shared" ca="1" si="40"/>
        <v>0</v>
      </c>
      <c r="T29" s="303">
        <f t="shared" ca="1" si="9"/>
        <v>100000000</v>
      </c>
      <c r="U29" s="303">
        <f t="shared" ca="1" si="10"/>
        <v>0</v>
      </c>
      <c r="V29" s="303">
        <f t="shared" ca="1" si="11"/>
        <v>0</v>
      </c>
      <c r="W29" s="303">
        <f t="shared" ca="1" si="12"/>
        <v>0</v>
      </c>
      <c r="X29" s="303">
        <f t="shared" ca="1" si="13"/>
        <v>0</v>
      </c>
      <c r="Y29" s="303">
        <f t="shared" ca="1" si="14"/>
        <v>0</v>
      </c>
      <c r="Z29" s="303">
        <f t="shared" ca="1" si="15"/>
        <v>0</v>
      </c>
      <c r="AA29" s="303">
        <f t="shared" ca="1" si="16"/>
        <v>0</v>
      </c>
      <c r="AB29" s="303">
        <f t="shared" ca="1" si="17"/>
        <v>0</v>
      </c>
      <c r="AC29" s="303">
        <f t="shared" ca="1" si="18"/>
        <v>0</v>
      </c>
      <c r="AD29" s="303">
        <f t="shared" ca="1" si="19"/>
        <v>0</v>
      </c>
      <c r="AE29" s="303">
        <f t="shared" ca="1" si="20"/>
        <v>0</v>
      </c>
      <c r="AF29" s="303">
        <f t="shared" ca="1" si="21"/>
        <v>0</v>
      </c>
      <c r="AG29" s="303">
        <f t="shared" ca="1" si="22"/>
        <v>0</v>
      </c>
      <c r="AH29" s="303">
        <f t="shared" ca="1" si="23"/>
        <v>0</v>
      </c>
      <c r="AI29" s="303">
        <f t="shared" ca="1" si="24"/>
        <v>0</v>
      </c>
      <c r="AJ29" s="303">
        <f t="shared" ca="1" si="25"/>
        <v>0</v>
      </c>
      <c r="AK29" s="303">
        <f t="shared" ca="1" si="26"/>
        <v>0</v>
      </c>
      <c r="AL29" s="303">
        <f t="shared" ca="1" si="27"/>
        <v>0</v>
      </c>
      <c r="AM29" s="303">
        <f t="shared" ca="1" si="28"/>
        <v>0</v>
      </c>
      <c r="AN29" s="303">
        <f t="shared" ca="1" si="29"/>
        <v>0</v>
      </c>
      <c r="AO29" s="303">
        <f t="shared" ca="1" si="30"/>
        <v>0</v>
      </c>
      <c r="AP29" s="303">
        <f t="shared" ca="1" si="31"/>
        <v>0</v>
      </c>
      <c r="AQ29" s="303">
        <f t="shared" ca="1" si="32"/>
        <v>0</v>
      </c>
      <c r="AR29" s="303">
        <f t="shared" ca="1" si="33"/>
        <v>0</v>
      </c>
      <c r="AS29" s="303">
        <f t="shared" ca="1" si="34"/>
        <v>0</v>
      </c>
      <c r="AT29" s="303">
        <f t="shared" ca="1" si="35"/>
        <v>0</v>
      </c>
      <c r="AU29" s="303">
        <f t="shared" ca="1" si="36"/>
        <v>0</v>
      </c>
      <c r="AV29" s="303">
        <f t="shared" ca="1" si="37"/>
        <v>0</v>
      </c>
      <c r="AW29" s="303">
        <f t="shared" ca="1" si="38"/>
        <v>0</v>
      </c>
    </row>
    <row r="30" spans="1:49" s="300" customFormat="1" ht="12" customHeight="1">
      <c r="A30" s="63">
        <f t="array" aca="1" ref="A30" ca="1">IF(C30&lt;&gt;0,SUM(($C$11:C30&lt;&gt;0)*1),"")</f>
        <v>20</v>
      </c>
      <c r="B30" s="301">
        <f ca="1">IF(ROWS($1:20)&gt;COUNT(Dong7),"",OFFSET(TH!C$1,SMALL(Dong7,ROWS($1:20)),))</f>
        <v>40724</v>
      </c>
      <c r="C30" s="301" t="str">
        <f ca="1">IF(ROWS($1:20)&gt;COUNT(Dong7),"",OFFSET(TH!D$1,SMALL(Dong7,ROWS($1:20)),))</f>
        <v>GBN</v>
      </c>
      <c r="D30" s="301">
        <f ca="1">IF(ROWS($1:20)&gt;COUNT(Dong7),"",OFFSET(TH!E$1,SMALL(Dong7,ROWS($1:20)),))</f>
        <v>40724</v>
      </c>
      <c r="E30" s="351" t="str">
        <f ca="1">IF(ROWS($1:20)&gt;COUNT(Dong7),"",OFFSET(TH!F$1,SMALL(Dong7,ROWS($1:20)),))</f>
        <v xml:space="preserve">Phí chuyển tiền </v>
      </c>
      <c r="F30" s="352">
        <f ca="1">IF(ROWS($1:20)&gt;COUNT(Dong7),"",OFFSET(TH!I$1,SMALL(Dong7,ROWS($1:20)),))</f>
        <v>50000</v>
      </c>
      <c r="G30" s="354" t="str">
        <f ca="1">IF(ROWS($1:20)&gt;COUNT(Dong7),"",OFFSET(TH!J$1,SMALL(Dong7,ROWS($1:20)),))</f>
        <v>642</v>
      </c>
      <c r="H30" s="354" t="str">
        <f ca="1">IF(ROWS($1:20)&gt;COUNT(Dong7),"",OFFSET(TH!K$1,SMALL(Dong7,ROWS($1:20)),))</f>
        <v>1121</v>
      </c>
      <c r="I30" s="63">
        <f t="shared" ca="1" si="42"/>
        <v>20</v>
      </c>
      <c r="J30" s="303">
        <f t="shared" ca="1" si="1"/>
        <v>0</v>
      </c>
      <c r="K30" s="303">
        <f t="shared" ca="1" si="2"/>
        <v>0</v>
      </c>
      <c r="L30" s="303">
        <f t="shared" ca="1" si="3"/>
        <v>0</v>
      </c>
      <c r="M30" s="303">
        <f t="shared" ca="1" si="4"/>
        <v>50000</v>
      </c>
      <c r="N30" s="303">
        <f t="shared" ca="1" si="5"/>
        <v>0</v>
      </c>
      <c r="O30" s="303">
        <f t="shared" ca="1" si="6"/>
        <v>0</v>
      </c>
      <c r="P30" s="303">
        <f t="shared" ca="1" si="7"/>
        <v>0</v>
      </c>
      <c r="Q30" s="303">
        <f t="shared" ca="1" si="8"/>
        <v>0</v>
      </c>
      <c r="R30" s="303">
        <f t="shared" ca="1" si="39"/>
        <v>0</v>
      </c>
      <c r="S30" s="303">
        <f t="shared" ca="1" si="40"/>
        <v>0</v>
      </c>
      <c r="T30" s="303">
        <f t="shared" ca="1" si="9"/>
        <v>0</v>
      </c>
      <c r="U30" s="303">
        <f t="shared" ca="1" si="10"/>
        <v>0</v>
      </c>
      <c r="V30" s="303">
        <f t="shared" ca="1" si="11"/>
        <v>0</v>
      </c>
      <c r="W30" s="303">
        <f t="shared" ca="1" si="12"/>
        <v>0</v>
      </c>
      <c r="X30" s="303">
        <f t="shared" ca="1" si="13"/>
        <v>0</v>
      </c>
      <c r="Y30" s="303">
        <f t="shared" ca="1" si="14"/>
        <v>0</v>
      </c>
      <c r="Z30" s="303">
        <f t="shared" ca="1" si="15"/>
        <v>0</v>
      </c>
      <c r="AA30" s="303">
        <f t="shared" ca="1" si="16"/>
        <v>0</v>
      </c>
      <c r="AB30" s="303">
        <f t="shared" ca="1" si="17"/>
        <v>0</v>
      </c>
      <c r="AC30" s="303">
        <f t="shared" ca="1" si="18"/>
        <v>0</v>
      </c>
      <c r="AD30" s="303">
        <f t="shared" ca="1" si="19"/>
        <v>0</v>
      </c>
      <c r="AE30" s="303">
        <f t="shared" ca="1" si="20"/>
        <v>0</v>
      </c>
      <c r="AF30" s="303">
        <f t="shared" ca="1" si="21"/>
        <v>0</v>
      </c>
      <c r="AG30" s="303">
        <f t="shared" ca="1" si="22"/>
        <v>0</v>
      </c>
      <c r="AH30" s="303">
        <f t="shared" ca="1" si="23"/>
        <v>0</v>
      </c>
      <c r="AI30" s="303">
        <f t="shared" ca="1" si="24"/>
        <v>0</v>
      </c>
      <c r="AJ30" s="303">
        <f t="shared" ca="1" si="25"/>
        <v>0</v>
      </c>
      <c r="AK30" s="303">
        <f t="shared" ca="1" si="26"/>
        <v>0</v>
      </c>
      <c r="AL30" s="303">
        <f t="shared" ca="1" si="27"/>
        <v>0</v>
      </c>
      <c r="AM30" s="303">
        <f t="shared" ca="1" si="28"/>
        <v>0</v>
      </c>
      <c r="AN30" s="303">
        <f t="shared" ca="1" si="29"/>
        <v>50000</v>
      </c>
      <c r="AO30" s="303">
        <f t="shared" ca="1" si="30"/>
        <v>0</v>
      </c>
      <c r="AP30" s="303">
        <f t="shared" ca="1" si="31"/>
        <v>0</v>
      </c>
      <c r="AQ30" s="303">
        <f t="shared" ca="1" si="32"/>
        <v>0</v>
      </c>
      <c r="AR30" s="303">
        <f t="shared" ca="1" si="33"/>
        <v>0</v>
      </c>
      <c r="AS30" s="303">
        <f t="shared" ca="1" si="34"/>
        <v>0</v>
      </c>
      <c r="AT30" s="303">
        <f t="shared" ca="1" si="35"/>
        <v>0</v>
      </c>
      <c r="AU30" s="303">
        <f t="shared" ca="1" si="36"/>
        <v>0</v>
      </c>
      <c r="AV30" s="303">
        <f t="shared" ca="1" si="37"/>
        <v>0</v>
      </c>
      <c r="AW30" s="303">
        <f t="shared" ca="1" si="38"/>
        <v>0</v>
      </c>
    </row>
    <row r="31" spans="1:49" s="300" customFormat="1" ht="12" customHeight="1">
      <c r="A31" s="63">
        <f t="array" aca="1" ref="A31" ca="1">IF(C31&lt;&gt;0,SUM(($C$11:C31&lt;&gt;0)*1),"")</f>
        <v>21</v>
      </c>
      <c r="B31" s="301">
        <f ca="1">IF(ROWS($1:21)&gt;COUNT(Dong7),"",OFFSET(TH!C$1,SMALL(Dong7,ROWS($1:21)),))</f>
        <v>40724</v>
      </c>
      <c r="C31" s="301" t="str">
        <f ca="1">IF(ROWS($1:21)&gt;COUNT(Dong7),"",OFFSET(TH!D$1,SMALL(Dong7,ROWS($1:21)),))</f>
        <v>GBN</v>
      </c>
      <c r="D31" s="301">
        <f ca="1">IF(ROWS($1:21)&gt;COUNT(Dong7),"",OFFSET(TH!E$1,SMALL(Dong7,ROWS($1:21)),))</f>
        <v>40724</v>
      </c>
      <c r="E31" s="351" t="str">
        <f ca="1">IF(ROWS($1:21)&gt;COUNT(Dong7),"",OFFSET(TH!F$1,SMALL(Dong7,ROWS($1:21)),))</f>
        <v>Phí kiểm đếm</v>
      </c>
      <c r="F31" s="352">
        <f ca="1">IF(ROWS($1:21)&gt;COUNT(Dong7),"",OFFSET(TH!I$1,SMALL(Dong7,ROWS($1:21)),))</f>
        <v>29923</v>
      </c>
      <c r="G31" s="354" t="str">
        <f ca="1">IF(ROWS($1:21)&gt;COUNT(Dong7),"",OFFSET(TH!J$1,SMALL(Dong7,ROWS($1:21)),))</f>
        <v>642</v>
      </c>
      <c r="H31" s="354" t="str">
        <f ca="1">IF(ROWS($1:21)&gt;COUNT(Dong7),"",OFFSET(TH!K$1,SMALL(Dong7,ROWS($1:21)),))</f>
        <v>1121</v>
      </c>
      <c r="I31" s="63">
        <f t="shared" ca="1" si="42"/>
        <v>21</v>
      </c>
      <c r="J31" s="303">
        <f t="shared" ca="1" si="1"/>
        <v>0</v>
      </c>
      <c r="K31" s="303">
        <f t="shared" ca="1" si="2"/>
        <v>0</v>
      </c>
      <c r="L31" s="303">
        <f t="shared" ca="1" si="3"/>
        <v>0</v>
      </c>
      <c r="M31" s="303">
        <f t="shared" ca="1" si="4"/>
        <v>29923</v>
      </c>
      <c r="N31" s="303">
        <f t="shared" ca="1" si="5"/>
        <v>0</v>
      </c>
      <c r="O31" s="303">
        <f t="shared" ca="1" si="6"/>
        <v>0</v>
      </c>
      <c r="P31" s="303">
        <f t="shared" ca="1" si="7"/>
        <v>0</v>
      </c>
      <c r="Q31" s="303">
        <f t="shared" ca="1" si="8"/>
        <v>0</v>
      </c>
      <c r="R31" s="303">
        <f t="shared" ca="1" si="39"/>
        <v>0</v>
      </c>
      <c r="S31" s="303">
        <f t="shared" ca="1" si="40"/>
        <v>0</v>
      </c>
      <c r="T31" s="303">
        <f t="shared" ca="1" si="9"/>
        <v>0</v>
      </c>
      <c r="U31" s="303">
        <f t="shared" ca="1" si="10"/>
        <v>0</v>
      </c>
      <c r="V31" s="303">
        <f t="shared" ca="1" si="11"/>
        <v>0</v>
      </c>
      <c r="W31" s="303">
        <f t="shared" ca="1" si="12"/>
        <v>0</v>
      </c>
      <c r="X31" s="303">
        <f t="shared" ca="1" si="13"/>
        <v>0</v>
      </c>
      <c r="Y31" s="303">
        <f t="shared" ca="1" si="14"/>
        <v>0</v>
      </c>
      <c r="Z31" s="303">
        <f t="shared" ca="1" si="15"/>
        <v>0</v>
      </c>
      <c r="AA31" s="303">
        <f t="shared" ca="1" si="16"/>
        <v>0</v>
      </c>
      <c r="AB31" s="303">
        <f t="shared" ca="1" si="17"/>
        <v>0</v>
      </c>
      <c r="AC31" s="303">
        <f t="shared" ca="1" si="18"/>
        <v>0</v>
      </c>
      <c r="AD31" s="303">
        <f t="shared" ca="1" si="19"/>
        <v>0</v>
      </c>
      <c r="AE31" s="303">
        <f t="shared" ca="1" si="20"/>
        <v>0</v>
      </c>
      <c r="AF31" s="303">
        <f t="shared" ca="1" si="21"/>
        <v>0</v>
      </c>
      <c r="AG31" s="303">
        <f t="shared" ca="1" si="22"/>
        <v>0</v>
      </c>
      <c r="AH31" s="303">
        <f t="shared" ca="1" si="23"/>
        <v>0</v>
      </c>
      <c r="AI31" s="303">
        <f t="shared" ca="1" si="24"/>
        <v>0</v>
      </c>
      <c r="AJ31" s="303">
        <f t="shared" ca="1" si="25"/>
        <v>0</v>
      </c>
      <c r="AK31" s="303">
        <f t="shared" ca="1" si="26"/>
        <v>0</v>
      </c>
      <c r="AL31" s="303">
        <f t="shared" ca="1" si="27"/>
        <v>0</v>
      </c>
      <c r="AM31" s="303">
        <f t="shared" ca="1" si="28"/>
        <v>0</v>
      </c>
      <c r="AN31" s="303">
        <f t="shared" ca="1" si="29"/>
        <v>29923</v>
      </c>
      <c r="AO31" s="303">
        <f t="shared" ca="1" si="30"/>
        <v>0</v>
      </c>
      <c r="AP31" s="303">
        <f t="shared" ca="1" si="31"/>
        <v>0</v>
      </c>
      <c r="AQ31" s="303">
        <f t="shared" ca="1" si="32"/>
        <v>0</v>
      </c>
      <c r="AR31" s="303">
        <f t="shared" ca="1" si="33"/>
        <v>0</v>
      </c>
      <c r="AS31" s="303">
        <f t="shared" ca="1" si="34"/>
        <v>0</v>
      </c>
      <c r="AT31" s="303">
        <f t="shared" ca="1" si="35"/>
        <v>0</v>
      </c>
      <c r="AU31" s="303">
        <f t="shared" ca="1" si="36"/>
        <v>0</v>
      </c>
      <c r="AV31" s="303">
        <f t="shared" ca="1" si="37"/>
        <v>0</v>
      </c>
      <c r="AW31" s="303">
        <f t="shared" ca="1" si="38"/>
        <v>0</v>
      </c>
    </row>
    <row r="32" spans="1:49" s="300" customFormat="1" ht="12" customHeight="1">
      <c r="A32" s="63">
        <f t="array" aca="1" ref="A32" ca="1">IF(C32&lt;&gt;0,SUM(($C$11:C32&lt;&gt;0)*1),"")</f>
        <v>22</v>
      </c>
      <c r="B32" s="301">
        <f ca="1">IF(ROWS($1:22)&gt;COUNT(Dong7),"",OFFSET(TH!C$1,SMALL(Dong7,ROWS($1:22)),))</f>
        <v>40724</v>
      </c>
      <c r="C32" s="301" t="str">
        <f ca="1">IF(ROWS($1:22)&gt;COUNT(Dong7),"",OFFSET(TH!D$1,SMALL(Dong7,ROWS($1:22)),))</f>
        <v>GBN</v>
      </c>
      <c r="D32" s="301">
        <f ca="1">IF(ROWS($1:22)&gt;COUNT(Dong7),"",OFFSET(TH!E$1,SMALL(Dong7,ROWS($1:22)),))</f>
        <v>40724</v>
      </c>
      <c r="E32" s="351" t="str">
        <f ca="1">IF(ROWS($1:22)&gt;COUNT(Dong7),"",OFFSET(TH!F$1,SMALL(Dong7,ROWS($1:22)),))</f>
        <v xml:space="preserve">GTGT Phí chuyển tiền </v>
      </c>
      <c r="F32" s="352">
        <f ca="1">IF(ROWS($1:22)&gt;COUNT(Dong7),"",OFFSET(TH!I$1,SMALL(Dong7,ROWS($1:22)),))</f>
        <v>5000</v>
      </c>
      <c r="G32" s="354" t="str">
        <f ca="1">IF(ROWS($1:22)&gt;COUNT(Dong7),"",OFFSET(TH!J$1,SMALL(Dong7,ROWS($1:22)),))</f>
        <v>642</v>
      </c>
      <c r="H32" s="354" t="str">
        <f ca="1">IF(ROWS($1:22)&gt;COUNT(Dong7),"",OFFSET(TH!K$1,SMALL(Dong7,ROWS($1:22)),))</f>
        <v>1121</v>
      </c>
      <c r="I32" s="63">
        <f t="shared" ca="1" si="42"/>
        <v>22</v>
      </c>
      <c r="J32" s="303">
        <f t="shared" ca="1" si="1"/>
        <v>0</v>
      </c>
      <c r="K32" s="303">
        <f t="shared" ca="1" si="2"/>
        <v>0</v>
      </c>
      <c r="L32" s="303">
        <f t="shared" ca="1" si="3"/>
        <v>0</v>
      </c>
      <c r="M32" s="303">
        <f t="shared" ca="1" si="4"/>
        <v>5000</v>
      </c>
      <c r="N32" s="303">
        <f t="shared" ca="1" si="5"/>
        <v>0</v>
      </c>
      <c r="O32" s="303">
        <f t="shared" ca="1" si="6"/>
        <v>0</v>
      </c>
      <c r="P32" s="303">
        <f t="shared" ca="1" si="7"/>
        <v>0</v>
      </c>
      <c r="Q32" s="303">
        <f t="shared" ca="1" si="8"/>
        <v>0</v>
      </c>
      <c r="R32" s="303">
        <f t="shared" ca="1" si="39"/>
        <v>0</v>
      </c>
      <c r="S32" s="303">
        <f t="shared" ca="1" si="40"/>
        <v>0</v>
      </c>
      <c r="T32" s="303">
        <f t="shared" ca="1" si="9"/>
        <v>0</v>
      </c>
      <c r="U32" s="303">
        <f t="shared" ca="1" si="10"/>
        <v>0</v>
      </c>
      <c r="V32" s="303">
        <f t="shared" ca="1" si="11"/>
        <v>0</v>
      </c>
      <c r="W32" s="303">
        <f t="shared" ca="1" si="12"/>
        <v>0</v>
      </c>
      <c r="X32" s="303">
        <f t="shared" ca="1" si="13"/>
        <v>0</v>
      </c>
      <c r="Y32" s="303">
        <f t="shared" ca="1" si="14"/>
        <v>0</v>
      </c>
      <c r="Z32" s="303">
        <f t="shared" ca="1" si="15"/>
        <v>0</v>
      </c>
      <c r="AA32" s="303">
        <f t="shared" ca="1" si="16"/>
        <v>0</v>
      </c>
      <c r="AB32" s="303">
        <f t="shared" ca="1" si="17"/>
        <v>0</v>
      </c>
      <c r="AC32" s="303">
        <f t="shared" ca="1" si="18"/>
        <v>0</v>
      </c>
      <c r="AD32" s="303">
        <f t="shared" ca="1" si="19"/>
        <v>0</v>
      </c>
      <c r="AE32" s="303">
        <f t="shared" ca="1" si="20"/>
        <v>0</v>
      </c>
      <c r="AF32" s="303">
        <f t="shared" ca="1" si="21"/>
        <v>0</v>
      </c>
      <c r="AG32" s="303">
        <f t="shared" ca="1" si="22"/>
        <v>0</v>
      </c>
      <c r="AH32" s="303">
        <f t="shared" ca="1" si="23"/>
        <v>0</v>
      </c>
      <c r="AI32" s="303">
        <f t="shared" ca="1" si="24"/>
        <v>0</v>
      </c>
      <c r="AJ32" s="303">
        <f t="shared" ca="1" si="25"/>
        <v>0</v>
      </c>
      <c r="AK32" s="303">
        <f t="shared" ca="1" si="26"/>
        <v>0</v>
      </c>
      <c r="AL32" s="303">
        <f t="shared" ca="1" si="27"/>
        <v>0</v>
      </c>
      <c r="AM32" s="303">
        <f t="shared" ca="1" si="28"/>
        <v>0</v>
      </c>
      <c r="AN32" s="303">
        <f t="shared" ca="1" si="29"/>
        <v>5000</v>
      </c>
      <c r="AO32" s="303">
        <f t="shared" ca="1" si="30"/>
        <v>0</v>
      </c>
      <c r="AP32" s="303">
        <f t="shared" ca="1" si="31"/>
        <v>0</v>
      </c>
      <c r="AQ32" s="303">
        <f t="shared" ca="1" si="32"/>
        <v>0</v>
      </c>
      <c r="AR32" s="303">
        <f t="shared" ca="1" si="33"/>
        <v>0</v>
      </c>
      <c r="AS32" s="303">
        <f t="shared" ca="1" si="34"/>
        <v>0</v>
      </c>
      <c r="AT32" s="303">
        <f t="shared" ca="1" si="35"/>
        <v>0</v>
      </c>
      <c r="AU32" s="303">
        <f t="shared" ca="1" si="36"/>
        <v>0</v>
      </c>
      <c r="AV32" s="303">
        <f t="shared" ca="1" si="37"/>
        <v>0</v>
      </c>
      <c r="AW32" s="303">
        <f t="shared" ca="1" si="38"/>
        <v>0</v>
      </c>
    </row>
    <row r="33" spans="1:49" s="300" customFormat="1" ht="12" customHeight="1">
      <c r="A33" s="63">
        <f t="array" aca="1" ref="A33" ca="1">IF(C33&lt;&gt;0,SUM(($C$11:C33&lt;&gt;0)*1),"")</f>
        <v>23</v>
      </c>
      <c r="B33" s="301">
        <f ca="1">IF(ROWS($1:23)&gt;COUNT(Dong7),"",OFFSET(TH!C$1,SMALL(Dong7,ROWS($1:23)),))</f>
        <v>40724</v>
      </c>
      <c r="C33" s="301" t="str">
        <f ca="1">IF(ROWS($1:23)&gt;COUNT(Dong7),"",OFFSET(TH!D$1,SMALL(Dong7,ROWS($1:23)),))</f>
        <v>GBN</v>
      </c>
      <c r="D33" s="301">
        <f ca="1">IF(ROWS($1:23)&gt;COUNT(Dong7),"",OFFSET(TH!E$1,SMALL(Dong7,ROWS($1:23)),))</f>
        <v>40724</v>
      </c>
      <c r="E33" s="351" t="str">
        <f ca="1">IF(ROWS($1:23)&gt;COUNT(Dong7),"",OFFSET(TH!F$1,SMALL(Dong7,ROWS($1:23)),))</f>
        <v>GTGT Phí kiểm đếm</v>
      </c>
      <c r="F33" s="352">
        <f ca="1">IF(ROWS($1:23)&gt;COUNT(Dong7),"",OFFSET(TH!I$1,SMALL(Dong7,ROWS($1:23)),))</f>
        <v>2992</v>
      </c>
      <c r="G33" s="354" t="str">
        <f ca="1">IF(ROWS($1:23)&gt;COUNT(Dong7),"",OFFSET(TH!J$1,SMALL(Dong7,ROWS($1:23)),))</f>
        <v>642</v>
      </c>
      <c r="H33" s="354" t="str">
        <f ca="1">IF(ROWS($1:23)&gt;COUNT(Dong7),"",OFFSET(TH!K$1,SMALL(Dong7,ROWS($1:23)),))</f>
        <v>1121</v>
      </c>
      <c r="I33" s="63">
        <f t="shared" ca="1" si="42"/>
        <v>23</v>
      </c>
      <c r="J33" s="303">
        <f t="shared" ca="1" si="1"/>
        <v>0</v>
      </c>
      <c r="K33" s="303">
        <f t="shared" ca="1" si="2"/>
        <v>0</v>
      </c>
      <c r="L33" s="303">
        <f t="shared" ca="1" si="3"/>
        <v>0</v>
      </c>
      <c r="M33" s="303">
        <f t="shared" ca="1" si="4"/>
        <v>2992</v>
      </c>
      <c r="N33" s="303">
        <f t="shared" ca="1" si="5"/>
        <v>0</v>
      </c>
      <c r="O33" s="303">
        <f t="shared" ca="1" si="6"/>
        <v>0</v>
      </c>
      <c r="P33" s="303">
        <f t="shared" ca="1" si="7"/>
        <v>0</v>
      </c>
      <c r="Q33" s="303">
        <f t="shared" ca="1" si="8"/>
        <v>0</v>
      </c>
      <c r="R33" s="303">
        <f t="shared" ca="1" si="39"/>
        <v>0</v>
      </c>
      <c r="S33" s="303">
        <f t="shared" ca="1" si="40"/>
        <v>0</v>
      </c>
      <c r="T33" s="303">
        <f t="shared" ca="1" si="9"/>
        <v>0</v>
      </c>
      <c r="U33" s="303">
        <f t="shared" ca="1" si="10"/>
        <v>0</v>
      </c>
      <c r="V33" s="303">
        <f t="shared" ca="1" si="11"/>
        <v>0</v>
      </c>
      <c r="W33" s="303">
        <f t="shared" ca="1" si="12"/>
        <v>0</v>
      </c>
      <c r="X33" s="303">
        <f t="shared" ca="1" si="13"/>
        <v>0</v>
      </c>
      <c r="Y33" s="303">
        <f t="shared" ca="1" si="14"/>
        <v>0</v>
      </c>
      <c r="Z33" s="303">
        <f t="shared" ca="1" si="15"/>
        <v>0</v>
      </c>
      <c r="AA33" s="303">
        <f t="shared" ca="1" si="16"/>
        <v>0</v>
      </c>
      <c r="AB33" s="303">
        <f t="shared" ca="1" si="17"/>
        <v>0</v>
      </c>
      <c r="AC33" s="303">
        <f t="shared" ca="1" si="18"/>
        <v>0</v>
      </c>
      <c r="AD33" s="303">
        <f t="shared" ca="1" si="19"/>
        <v>0</v>
      </c>
      <c r="AE33" s="303">
        <f t="shared" ca="1" si="20"/>
        <v>0</v>
      </c>
      <c r="AF33" s="303">
        <f t="shared" ca="1" si="21"/>
        <v>0</v>
      </c>
      <c r="AG33" s="303">
        <f t="shared" ca="1" si="22"/>
        <v>0</v>
      </c>
      <c r="AH33" s="303">
        <f t="shared" ca="1" si="23"/>
        <v>0</v>
      </c>
      <c r="AI33" s="303">
        <f t="shared" ca="1" si="24"/>
        <v>0</v>
      </c>
      <c r="AJ33" s="303">
        <f t="shared" ca="1" si="25"/>
        <v>0</v>
      </c>
      <c r="AK33" s="303">
        <f t="shared" ca="1" si="26"/>
        <v>0</v>
      </c>
      <c r="AL33" s="303">
        <f t="shared" ca="1" si="27"/>
        <v>0</v>
      </c>
      <c r="AM33" s="303">
        <f t="shared" ca="1" si="28"/>
        <v>0</v>
      </c>
      <c r="AN33" s="303">
        <f t="shared" ca="1" si="29"/>
        <v>2992</v>
      </c>
      <c r="AO33" s="303">
        <f t="shared" ca="1" si="30"/>
        <v>0</v>
      </c>
      <c r="AP33" s="303">
        <f t="shared" ca="1" si="31"/>
        <v>0</v>
      </c>
      <c r="AQ33" s="303">
        <f t="shared" ca="1" si="32"/>
        <v>0</v>
      </c>
      <c r="AR33" s="303">
        <f t="shared" ca="1" si="33"/>
        <v>0</v>
      </c>
      <c r="AS33" s="303">
        <f t="shared" ca="1" si="34"/>
        <v>0</v>
      </c>
      <c r="AT33" s="303">
        <f t="shared" ca="1" si="35"/>
        <v>0</v>
      </c>
      <c r="AU33" s="303">
        <f t="shared" ca="1" si="36"/>
        <v>0</v>
      </c>
      <c r="AV33" s="303">
        <f t="shared" ca="1" si="37"/>
        <v>0</v>
      </c>
      <c r="AW33" s="303">
        <f t="shared" ca="1" si="38"/>
        <v>0</v>
      </c>
    </row>
    <row r="34" spans="1:49" s="300" customFormat="1" ht="12" customHeight="1">
      <c r="A34" s="63">
        <f t="array" aca="1" ref="A34" ca="1">IF(C34&lt;&gt;0,SUM(($C$11:C34&lt;&gt;0)*1),"")</f>
        <v>24</v>
      </c>
      <c r="B34" s="251">
        <v>40724</v>
      </c>
      <c r="C34" s="304" t="s">
        <v>132</v>
      </c>
      <c r="D34" s="304">
        <f t="shared" ref="D34:D39" si="43">B34</f>
        <v>40724</v>
      </c>
      <c r="E34" s="305" t="s">
        <v>133</v>
      </c>
      <c r="F34" s="90">
        <f ca="1">AL41</f>
        <v>0</v>
      </c>
      <c r="G34" s="306" t="s">
        <v>184</v>
      </c>
      <c r="H34" s="306" t="s">
        <v>116</v>
      </c>
      <c r="I34" s="63">
        <f t="shared" ref="I34:I39" ca="1" si="44">A34</f>
        <v>24</v>
      </c>
      <c r="J34" s="303">
        <f t="shared" ref="J34:J40" si="45">IF($G34="1111",$F34,0)</f>
        <v>0</v>
      </c>
      <c r="K34" s="303">
        <f t="shared" ref="K34:K40" si="46">IF($H34="1111",$F34,0)</f>
        <v>0</v>
      </c>
      <c r="L34" s="303">
        <f t="shared" ref="L34:L40" si="47">IF($G34="1121",$F34,0)</f>
        <v>0</v>
      </c>
      <c r="M34" s="303">
        <f t="shared" ref="M34:M40" si="48">IF($H34="1121",$F34,0)</f>
        <v>0</v>
      </c>
      <c r="N34" s="303">
        <f t="shared" ref="N34:N40" si="49">IF($G34="1331",$F34,0)</f>
        <v>0</v>
      </c>
      <c r="O34" s="303">
        <f t="shared" ref="O34:O40" si="50">IF($H34="1331",$F34,0)</f>
        <v>0</v>
      </c>
      <c r="P34" s="303">
        <f t="shared" ref="P34:P40" si="51">IF($G34="1388",$F34,0)</f>
        <v>0</v>
      </c>
      <c r="Q34" s="303">
        <f t="shared" ref="Q34:Q40" si="52">IF($H34="1388",$F34,0)</f>
        <v>0</v>
      </c>
      <c r="R34" s="303">
        <f t="shared" ref="R34:R40" ca="1" si="53">IF($G34="2412",$F34,0)</f>
        <v>0</v>
      </c>
      <c r="S34" s="303">
        <f t="shared" ref="S34:S40" si="54">IF($H34="2412",$F34,0)</f>
        <v>0</v>
      </c>
      <c r="T34" s="303">
        <f t="shared" ref="T34:T40" si="55">IF($G34="331",$F34,0)</f>
        <v>0</v>
      </c>
      <c r="U34" s="303">
        <f t="shared" ref="U34:U40" si="56">IF($H34="331",$F34,0)</f>
        <v>0</v>
      </c>
      <c r="V34" s="303">
        <f t="shared" ref="V34:V40" si="57">IF($G34="3334",$F34,0)</f>
        <v>0</v>
      </c>
      <c r="W34" s="303">
        <f t="shared" ref="W34:W40" si="58">IF($H34="3334",$F34,0)</f>
        <v>0</v>
      </c>
      <c r="X34" s="303">
        <f t="shared" ref="X34:X40" si="59">IF($G34="33382",$F34,0)</f>
        <v>0</v>
      </c>
      <c r="Y34" s="303">
        <f t="shared" ref="Y34:Y40" si="60">IF($H34="33382",$F34,0)</f>
        <v>0</v>
      </c>
      <c r="Z34" s="303">
        <f t="shared" ref="Z34:Z40" si="61">IF($G34="3388",$F34,0)</f>
        <v>0</v>
      </c>
      <c r="AA34" s="303">
        <f t="shared" ref="AA34:AA40" si="62">IF($H34="3388",$F34,0)</f>
        <v>0</v>
      </c>
      <c r="AB34" s="303">
        <f t="shared" ref="AB34:AB40" si="63">IF($G34="3411",$F34,0)</f>
        <v>0</v>
      </c>
      <c r="AC34" s="303">
        <f t="shared" ref="AC34:AC40" si="64">IF($H34="3411",$F34,0)</f>
        <v>0</v>
      </c>
      <c r="AD34" s="303">
        <f t="shared" ref="AD34:AD40" si="65">IF($G34="4111",$F34,0)</f>
        <v>0</v>
      </c>
      <c r="AE34" s="303">
        <f t="shared" ref="AE34:AE40" si="66">IF($H34="4111",$F34,0)</f>
        <v>0</v>
      </c>
      <c r="AF34" s="303">
        <f t="shared" ref="AF34:AF40" si="67">IF($G34="4211",$F34,0)</f>
        <v>0</v>
      </c>
      <c r="AG34" s="303">
        <f t="shared" ref="AG34:AG40" si="68">IF($H34="4211",$F34,0)</f>
        <v>0</v>
      </c>
      <c r="AH34" s="303">
        <f t="shared" ref="AH34:AH40" si="69">IF($G34="4212",$F34,0)</f>
        <v>0</v>
      </c>
      <c r="AI34" s="303">
        <f t="shared" ref="AI34:AI40" si="70">IF($H34="4212",$F34,0)</f>
        <v>0</v>
      </c>
      <c r="AJ34" s="303">
        <f t="shared" ref="AJ34:AJ40" si="71">IF($G34="515",$F34,0)</f>
        <v>0</v>
      </c>
      <c r="AK34" s="303">
        <f t="shared" ref="AK34:AK40" si="72">IF($H34="515",$F34,0)</f>
        <v>0</v>
      </c>
      <c r="AL34" s="303">
        <f t="shared" ref="AL34:AL40" si="73">IF($G34="635",$F34,0)</f>
        <v>0</v>
      </c>
      <c r="AM34" s="303">
        <f t="shared" ref="AM34:AM40" ca="1" si="74">IF($H34="635",$F34,0)</f>
        <v>0</v>
      </c>
      <c r="AN34" s="303">
        <f t="shared" ref="AN34:AN40" si="75">IF($G34="642",$F34,0)</f>
        <v>0</v>
      </c>
      <c r="AO34" s="303">
        <f t="shared" ref="AO34:AO40" si="76">IF($H34="642",$F34,0)</f>
        <v>0</v>
      </c>
      <c r="AP34" s="303">
        <f t="shared" ref="AP34:AP40" si="77">IF($G34="711",$F34,0)</f>
        <v>0</v>
      </c>
      <c r="AQ34" s="303">
        <f t="shared" ref="AQ34:AQ40" si="78">IF($H34="711",$F34,0)</f>
        <v>0</v>
      </c>
      <c r="AR34" s="303">
        <f t="shared" ref="AR34:AR40" si="79">IF($G34="811",$F34,0)</f>
        <v>0</v>
      </c>
      <c r="AS34" s="303">
        <f t="shared" ref="AS34:AS40" si="80">IF($H34="811",$F34,0)</f>
        <v>0</v>
      </c>
      <c r="AT34" s="303">
        <f t="shared" ref="AT34:AT40" si="81">IF($G34="821",$F34,0)</f>
        <v>0</v>
      </c>
      <c r="AU34" s="303">
        <f t="shared" ref="AU34:AU40" si="82">IF($H34="821",$F34,0)</f>
        <v>0</v>
      </c>
      <c r="AV34" s="303">
        <f t="shared" ref="AV34:AV40" si="83">IF($G34="911",$F34,0)</f>
        <v>0</v>
      </c>
      <c r="AW34" s="303">
        <f t="shared" ref="AW34:AW40" si="84">IF($H34="911",$F34,0)</f>
        <v>0</v>
      </c>
    </row>
    <row r="35" spans="1:49" s="300" customFormat="1" ht="12" customHeight="1">
      <c r="A35" s="63">
        <f t="array" aca="1" ref="A35" ca="1">IF(C35&lt;&gt;0,SUM(($C$11:C35&lt;&gt;0)*1),"")</f>
        <v>25</v>
      </c>
      <c r="B35" s="251">
        <v>40724</v>
      </c>
      <c r="C35" s="304" t="s">
        <v>132</v>
      </c>
      <c r="D35" s="304">
        <f t="shared" si="43"/>
        <v>40724</v>
      </c>
      <c r="E35" s="305" t="s">
        <v>134</v>
      </c>
      <c r="F35" s="90">
        <f ca="1">AN41</f>
        <v>219813</v>
      </c>
      <c r="G35" s="306" t="s">
        <v>126</v>
      </c>
      <c r="H35" s="306" t="s">
        <v>118</v>
      </c>
      <c r="I35" s="63">
        <f t="shared" ca="1" si="44"/>
        <v>25</v>
      </c>
      <c r="J35" s="303">
        <f t="shared" si="45"/>
        <v>0</v>
      </c>
      <c r="K35" s="303">
        <f t="shared" si="46"/>
        <v>0</v>
      </c>
      <c r="L35" s="303">
        <f t="shared" si="47"/>
        <v>0</v>
      </c>
      <c r="M35" s="303">
        <f t="shared" si="48"/>
        <v>0</v>
      </c>
      <c r="N35" s="303">
        <f t="shared" si="49"/>
        <v>0</v>
      </c>
      <c r="O35" s="303">
        <f t="shared" si="50"/>
        <v>0</v>
      </c>
      <c r="P35" s="303">
        <f t="shared" si="51"/>
        <v>0</v>
      </c>
      <c r="Q35" s="303">
        <f t="shared" si="52"/>
        <v>0</v>
      </c>
      <c r="R35" s="303">
        <f t="shared" si="53"/>
        <v>0</v>
      </c>
      <c r="S35" s="303">
        <f t="shared" si="54"/>
        <v>0</v>
      </c>
      <c r="T35" s="303">
        <f t="shared" si="55"/>
        <v>0</v>
      </c>
      <c r="U35" s="303">
        <f t="shared" si="56"/>
        <v>0</v>
      </c>
      <c r="V35" s="303">
        <f t="shared" si="57"/>
        <v>0</v>
      </c>
      <c r="W35" s="303">
        <f t="shared" si="58"/>
        <v>0</v>
      </c>
      <c r="X35" s="303">
        <f t="shared" si="59"/>
        <v>0</v>
      </c>
      <c r="Y35" s="303">
        <f t="shared" si="60"/>
        <v>0</v>
      </c>
      <c r="Z35" s="303">
        <f t="shared" si="61"/>
        <v>0</v>
      </c>
      <c r="AA35" s="303">
        <f t="shared" si="62"/>
        <v>0</v>
      </c>
      <c r="AB35" s="303">
        <f t="shared" si="63"/>
        <v>0</v>
      </c>
      <c r="AC35" s="303">
        <f t="shared" si="64"/>
        <v>0</v>
      </c>
      <c r="AD35" s="303">
        <f t="shared" si="65"/>
        <v>0</v>
      </c>
      <c r="AE35" s="303">
        <f t="shared" si="66"/>
        <v>0</v>
      </c>
      <c r="AF35" s="303">
        <f t="shared" si="67"/>
        <v>0</v>
      </c>
      <c r="AG35" s="303">
        <f t="shared" si="68"/>
        <v>0</v>
      </c>
      <c r="AH35" s="303">
        <f t="shared" si="69"/>
        <v>0</v>
      </c>
      <c r="AI35" s="303">
        <f t="shared" si="70"/>
        <v>0</v>
      </c>
      <c r="AJ35" s="303">
        <f t="shared" si="71"/>
        <v>0</v>
      </c>
      <c r="AK35" s="303">
        <f t="shared" si="72"/>
        <v>0</v>
      </c>
      <c r="AL35" s="303">
        <f t="shared" si="73"/>
        <v>0</v>
      </c>
      <c r="AM35" s="303">
        <f t="shared" si="74"/>
        <v>0</v>
      </c>
      <c r="AN35" s="303">
        <f t="shared" si="75"/>
        <v>0</v>
      </c>
      <c r="AO35" s="303">
        <f t="shared" ca="1" si="76"/>
        <v>219813</v>
      </c>
      <c r="AP35" s="303">
        <f t="shared" si="77"/>
        <v>0</v>
      </c>
      <c r="AQ35" s="303">
        <f t="shared" si="78"/>
        <v>0</v>
      </c>
      <c r="AR35" s="303">
        <f t="shared" si="79"/>
        <v>0</v>
      </c>
      <c r="AS35" s="303">
        <f t="shared" si="80"/>
        <v>0</v>
      </c>
      <c r="AT35" s="303">
        <f t="shared" si="81"/>
        <v>0</v>
      </c>
      <c r="AU35" s="303">
        <f t="shared" si="82"/>
        <v>0</v>
      </c>
      <c r="AV35" s="303">
        <f t="shared" ca="1" si="83"/>
        <v>219813</v>
      </c>
      <c r="AW35" s="303">
        <f t="shared" si="84"/>
        <v>0</v>
      </c>
    </row>
    <row r="36" spans="1:49" s="300" customFormat="1" ht="12" customHeight="1">
      <c r="A36" s="63">
        <f t="array" aca="1" ref="A36" ca="1">IF(C36&lt;&gt;0,SUM(($C$11:C36&lt;&gt;0)*1),"")</f>
        <v>26</v>
      </c>
      <c r="B36" s="251">
        <v>40724</v>
      </c>
      <c r="C36" s="304" t="s">
        <v>132</v>
      </c>
      <c r="D36" s="304">
        <f t="shared" si="43"/>
        <v>40724</v>
      </c>
      <c r="E36" s="305" t="s">
        <v>239</v>
      </c>
      <c r="F36" s="90">
        <f ca="1">AV41</f>
        <v>219813</v>
      </c>
      <c r="G36" s="306" t="s">
        <v>111</v>
      </c>
      <c r="H36" s="306" t="s">
        <v>126</v>
      </c>
      <c r="I36" s="63">
        <f t="shared" ca="1" si="44"/>
        <v>26</v>
      </c>
      <c r="J36" s="303">
        <f t="shared" si="45"/>
        <v>0</v>
      </c>
      <c r="K36" s="303">
        <f t="shared" si="46"/>
        <v>0</v>
      </c>
      <c r="L36" s="303">
        <f t="shared" si="47"/>
        <v>0</v>
      </c>
      <c r="M36" s="303">
        <f t="shared" si="48"/>
        <v>0</v>
      </c>
      <c r="N36" s="303">
        <f t="shared" si="49"/>
        <v>0</v>
      </c>
      <c r="O36" s="303">
        <f t="shared" si="50"/>
        <v>0</v>
      </c>
      <c r="P36" s="303">
        <f t="shared" si="51"/>
        <v>0</v>
      </c>
      <c r="Q36" s="303">
        <f t="shared" si="52"/>
        <v>0</v>
      </c>
      <c r="R36" s="303">
        <f t="shared" si="53"/>
        <v>0</v>
      </c>
      <c r="S36" s="303">
        <f t="shared" si="54"/>
        <v>0</v>
      </c>
      <c r="T36" s="303">
        <f t="shared" si="55"/>
        <v>0</v>
      </c>
      <c r="U36" s="303">
        <f t="shared" si="56"/>
        <v>0</v>
      </c>
      <c r="V36" s="303">
        <f t="shared" si="57"/>
        <v>0</v>
      </c>
      <c r="W36" s="303">
        <f t="shared" si="58"/>
        <v>0</v>
      </c>
      <c r="X36" s="303">
        <f t="shared" si="59"/>
        <v>0</v>
      </c>
      <c r="Y36" s="303">
        <f t="shared" si="60"/>
        <v>0</v>
      </c>
      <c r="Z36" s="303">
        <f t="shared" si="61"/>
        <v>0</v>
      </c>
      <c r="AA36" s="303">
        <f t="shared" si="62"/>
        <v>0</v>
      </c>
      <c r="AB36" s="303">
        <f t="shared" si="63"/>
        <v>0</v>
      </c>
      <c r="AC36" s="303">
        <f t="shared" si="64"/>
        <v>0</v>
      </c>
      <c r="AD36" s="303">
        <f t="shared" si="65"/>
        <v>0</v>
      </c>
      <c r="AE36" s="303">
        <f t="shared" si="66"/>
        <v>0</v>
      </c>
      <c r="AF36" s="303">
        <f t="shared" si="67"/>
        <v>0</v>
      </c>
      <c r="AG36" s="303">
        <f t="shared" si="68"/>
        <v>0</v>
      </c>
      <c r="AH36" s="303">
        <f t="shared" ca="1" si="69"/>
        <v>219813</v>
      </c>
      <c r="AI36" s="303">
        <f t="shared" si="70"/>
        <v>0</v>
      </c>
      <c r="AJ36" s="303">
        <f t="shared" si="71"/>
        <v>0</v>
      </c>
      <c r="AK36" s="303">
        <f t="shared" si="72"/>
        <v>0</v>
      </c>
      <c r="AL36" s="303">
        <f t="shared" si="73"/>
        <v>0</v>
      </c>
      <c r="AM36" s="303">
        <f t="shared" si="74"/>
        <v>0</v>
      </c>
      <c r="AN36" s="303">
        <f t="shared" si="75"/>
        <v>0</v>
      </c>
      <c r="AO36" s="303">
        <f t="shared" si="76"/>
        <v>0</v>
      </c>
      <c r="AP36" s="303">
        <f t="shared" si="77"/>
        <v>0</v>
      </c>
      <c r="AQ36" s="303">
        <f t="shared" si="78"/>
        <v>0</v>
      </c>
      <c r="AR36" s="303">
        <f t="shared" si="79"/>
        <v>0</v>
      </c>
      <c r="AS36" s="303">
        <f t="shared" si="80"/>
        <v>0</v>
      </c>
      <c r="AT36" s="303">
        <f t="shared" si="81"/>
        <v>0</v>
      </c>
      <c r="AU36" s="303">
        <f t="shared" si="82"/>
        <v>0</v>
      </c>
      <c r="AV36" s="303">
        <f t="shared" si="83"/>
        <v>0</v>
      </c>
      <c r="AW36" s="303">
        <f t="shared" ca="1" si="84"/>
        <v>219813</v>
      </c>
    </row>
    <row r="37" spans="1:49" s="300" customFormat="1" ht="12" customHeight="1">
      <c r="A37" s="63">
        <f t="array" aca="1" ref="A37" ca="1">IF(C37&lt;&gt;0,SUM(($C$11:C37&lt;&gt;0)*1),"")</f>
        <v>27</v>
      </c>
      <c r="B37" s="251">
        <v>40724</v>
      </c>
      <c r="C37" s="304" t="s">
        <v>132</v>
      </c>
      <c r="D37" s="304">
        <f t="shared" si="43"/>
        <v>40724</v>
      </c>
      <c r="E37" s="305" t="s">
        <v>136</v>
      </c>
      <c r="F37" s="90">
        <f ca="1">AK41</f>
        <v>0</v>
      </c>
      <c r="G37" s="306" t="s">
        <v>58</v>
      </c>
      <c r="H37" s="306" t="s">
        <v>126</v>
      </c>
      <c r="I37" s="63">
        <f t="shared" ca="1" si="44"/>
        <v>27</v>
      </c>
      <c r="J37" s="303">
        <f t="shared" si="45"/>
        <v>0</v>
      </c>
      <c r="K37" s="303">
        <f t="shared" si="46"/>
        <v>0</v>
      </c>
      <c r="L37" s="303">
        <f t="shared" si="47"/>
        <v>0</v>
      </c>
      <c r="M37" s="303">
        <f t="shared" si="48"/>
        <v>0</v>
      </c>
      <c r="N37" s="303">
        <f t="shared" si="49"/>
        <v>0</v>
      </c>
      <c r="O37" s="303">
        <f t="shared" si="50"/>
        <v>0</v>
      </c>
      <c r="P37" s="303">
        <f t="shared" si="51"/>
        <v>0</v>
      </c>
      <c r="Q37" s="303">
        <f t="shared" si="52"/>
        <v>0</v>
      </c>
      <c r="R37" s="303">
        <f t="shared" si="53"/>
        <v>0</v>
      </c>
      <c r="S37" s="303">
        <f t="shared" si="54"/>
        <v>0</v>
      </c>
      <c r="T37" s="303">
        <f t="shared" si="55"/>
        <v>0</v>
      </c>
      <c r="U37" s="303">
        <f t="shared" si="56"/>
        <v>0</v>
      </c>
      <c r="V37" s="303">
        <f t="shared" si="57"/>
        <v>0</v>
      </c>
      <c r="W37" s="303">
        <f t="shared" si="58"/>
        <v>0</v>
      </c>
      <c r="X37" s="303">
        <f t="shared" si="59"/>
        <v>0</v>
      </c>
      <c r="Y37" s="303">
        <f t="shared" si="60"/>
        <v>0</v>
      </c>
      <c r="Z37" s="303">
        <f t="shared" si="61"/>
        <v>0</v>
      </c>
      <c r="AA37" s="303">
        <f t="shared" si="62"/>
        <v>0</v>
      </c>
      <c r="AB37" s="303">
        <f t="shared" si="63"/>
        <v>0</v>
      </c>
      <c r="AC37" s="303">
        <f t="shared" si="64"/>
        <v>0</v>
      </c>
      <c r="AD37" s="303">
        <f t="shared" si="65"/>
        <v>0</v>
      </c>
      <c r="AE37" s="303">
        <f t="shared" si="66"/>
        <v>0</v>
      </c>
      <c r="AF37" s="303">
        <f t="shared" si="67"/>
        <v>0</v>
      </c>
      <c r="AG37" s="303">
        <f t="shared" si="68"/>
        <v>0</v>
      </c>
      <c r="AH37" s="303">
        <f t="shared" si="69"/>
        <v>0</v>
      </c>
      <c r="AI37" s="303">
        <f t="shared" si="70"/>
        <v>0</v>
      </c>
      <c r="AJ37" s="303">
        <f t="shared" ca="1" si="71"/>
        <v>0</v>
      </c>
      <c r="AK37" s="303">
        <f t="shared" si="72"/>
        <v>0</v>
      </c>
      <c r="AL37" s="303">
        <f t="shared" si="73"/>
        <v>0</v>
      </c>
      <c r="AM37" s="303">
        <f t="shared" si="74"/>
        <v>0</v>
      </c>
      <c r="AN37" s="303">
        <f t="shared" si="75"/>
        <v>0</v>
      </c>
      <c r="AO37" s="303">
        <f t="shared" si="76"/>
        <v>0</v>
      </c>
      <c r="AP37" s="303">
        <f t="shared" si="77"/>
        <v>0</v>
      </c>
      <c r="AQ37" s="303">
        <f t="shared" si="78"/>
        <v>0</v>
      </c>
      <c r="AR37" s="303">
        <f t="shared" si="79"/>
        <v>0</v>
      </c>
      <c r="AS37" s="303">
        <f t="shared" si="80"/>
        <v>0</v>
      </c>
      <c r="AT37" s="303">
        <f t="shared" si="81"/>
        <v>0</v>
      </c>
      <c r="AU37" s="303">
        <f t="shared" si="82"/>
        <v>0</v>
      </c>
      <c r="AV37" s="303">
        <f t="shared" si="83"/>
        <v>0</v>
      </c>
      <c r="AW37" s="303">
        <f t="shared" ca="1" si="84"/>
        <v>0</v>
      </c>
    </row>
    <row r="38" spans="1:49" s="300" customFormat="1" ht="12" customHeight="1">
      <c r="A38" s="63">
        <f t="array" aca="1" ref="A38" ca="1">IF(C38&lt;&gt;0,SUM(($C$11:C38&lt;&gt;0)*1),"")</f>
        <v>28</v>
      </c>
      <c r="B38" s="251">
        <v>40724</v>
      </c>
      <c r="C38" s="304" t="s">
        <v>132</v>
      </c>
      <c r="D38" s="304">
        <f t="shared" si="43"/>
        <v>40724</v>
      </c>
      <c r="E38" s="305" t="s">
        <v>137</v>
      </c>
      <c r="F38" s="90">
        <f ca="1">AQ41</f>
        <v>0</v>
      </c>
      <c r="G38" s="306" t="s">
        <v>120</v>
      </c>
      <c r="H38" s="306" t="s">
        <v>126</v>
      </c>
      <c r="I38" s="63">
        <f t="shared" ca="1" si="44"/>
        <v>28</v>
      </c>
      <c r="J38" s="303">
        <f t="shared" si="45"/>
        <v>0</v>
      </c>
      <c r="K38" s="303">
        <f t="shared" si="46"/>
        <v>0</v>
      </c>
      <c r="L38" s="303">
        <f t="shared" si="47"/>
        <v>0</v>
      </c>
      <c r="M38" s="303">
        <f t="shared" si="48"/>
        <v>0</v>
      </c>
      <c r="N38" s="303">
        <f t="shared" si="49"/>
        <v>0</v>
      </c>
      <c r="O38" s="303">
        <f t="shared" si="50"/>
        <v>0</v>
      </c>
      <c r="P38" s="303">
        <f t="shared" si="51"/>
        <v>0</v>
      </c>
      <c r="Q38" s="303">
        <f t="shared" si="52"/>
        <v>0</v>
      </c>
      <c r="R38" s="303">
        <f t="shared" si="53"/>
        <v>0</v>
      </c>
      <c r="S38" s="303">
        <f t="shared" si="54"/>
        <v>0</v>
      </c>
      <c r="T38" s="303">
        <f t="shared" si="55"/>
        <v>0</v>
      </c>
      <c r="U38" s="303">
        <f t="shared" si="56"/>
        <v>0</v>
      </c>
      <c r="V38" s="303">
        <f t="shared" si="57"/>
        <v>0</v>
      </c>
      <c r="W38" s="303">
        <f t="shared" si="58"/>
        <v>0</v>
      </c>
      <c r="X38" s="303">
        <f t="shared" si="59"/>
        <v>0</v>
      </c>
      <c r="Y38" s="303">
        <f t="shared" si="60"/>
        <v>0</v>
      </c>
      <c r="Z38" s="303">
        <f t="shared" si="61"/>
        <v>0</v>
      </c>
      <c r="AA38" s="303">
        <f t="shared" si="62"/>
        <v>0</v>
      </c>
      <c r="AB38" s="303">
        <f t="shared" si="63"/>
        <v>0</v>
      </c>
      <c r="AC38" s="303">
        <f t="shared" si="64"/>
        <v>0</v>
      </c>
      <c r="AD38" s="303">
        <f t="shared" si="65"/>
        <v>0</v>
      </c>
      <c r="AE38" s="303">
        <f t="shared" si="66"/>
        <v>0</v>
      </c>
      <c r="AF38" s="303">
        <f t="shared" si="67"/>
        <v>0</v>
      </c>
      <c r="AG38" s="303">
        <f t="shared" si="68"/>
        <v>0</v>
      </c>
      <c r="AH38" s="303">
        <f t="shared" si="69"/>
        <v>0</v>
      </c>
      <c r="AI38" s="303">
        <f t="shared" si="70"/>
        <v>0</v>
      </c>
      <c r="AJ38" s="303">
        <f t="shared" si="71"/>
        <v>0</v>
      </c>
      <c r="AK38" s="303">
        <f t="shared" si="72"/>
        <v>0</v>
      </c>
      <c r="AL38" s="303">
        <f t="shared" si="73"/>
        <v>0</v>
      </c>
      <c r="AM38" s="303">
        <f t="shared" si="74"/>
        <v>0</v>
      </c>
      <c r="AN38" s="303">
        <f t="shared" si="75"/>
        <v>0</v>
      </c>
      <c r="AO38" s="303">
        <f t="shared" si="76"/>
        <v>0</v>
      </c>
      <c r="AP38" s="303">
        <f t="shared" ca="1" si="77"/>
        <v>0</v>
      </c>
      <c r="AQ38" s="303">
        <f t="shared" si="78"/>
        <v>0</v>
      </c>
      <c r="AR38" s="303">
        <f t="shared" si="79"/>
        <v>0</v>
      </c>
      <c r="AS38" s="303">
        <f t="shared" si="80"/>
        <v>0</v>
      </c>
      <c r="AT38" s="303">
        <f t="shared" si="81"/>
        <v>0</v>
      </c>
      <c r="AU38" s="303">
        <f t="shared" si="82"/>
        <v>0</v>
      </c>
      <c r="AV38" s="303">
        <f t="shared" si="83"/>
        <v>0</v>
      </c>
      <c r="AW38" s="303">
        <f t="shared" ca="1" si="84"/>
        <v>0</v>
      </c>
    </row>
    <row r="39" spans="1:49" s="300" customFormat="1" ht="12" customHeight="1">
      <c r="A39" s="63">
        <f t="array" aca="1" ref="A39" ca="1">IF(C39&lt;&gt;0,SUM(($C$11:C39&lt;&gt;0)*1),"")</f>
        <v>29</v>
      </c>
      <c r="B39" s="251">
        <v>40724</v>
      </c>
      <c r="C39" s="304" t="s">
        <v>132</v>
      </c>
      <c r="D39" s="304">
        <f t="shared" si="43"/>
        <v>40724</v>
      </c>
      <c r="E39" s="305" t="s">
        <v>138</v>
      </c>
      <c r="F39" s="90">
        <f ca="1">AR41</f>
        <v>0</v>
      </c>
      <c r="G39" s="306" t="s">
        <v>126</v>
      </c>
      <c r="H39" s="306" t="s">
        <v>122</v>
      </c>
      <c r="I39" s="63">
        <f t="shared" ca="1" si="44"/>
        <v>29</v>
      </c>
      <c r="J39" s="303">
        <f t="shared" si="45"/>
        <v>0</v>
      </c>
      <c r="K39" s="303">
        <f t="shared" si="46"/>
        <v>0</v>
      </c>
      <c r="L39" s="303">
        <f t="shared" si="47"/>
        <v>0</v>
      </c>
      <c r="M39" s="303">
        <f t="shared" si="48"/>
        <v>0</v>
      </c>
      <c r="N39" s="303">
        <f t="shared" si="49"/>
        <v>0</v>
      </c>
      <c r="O39" s="303">
        <f t="shared" si="50"/>
        <v>0</v>
      </c>
      <c r="P39" s="303">
        <f t="shared" si="51"/>
        <v>0</v>
      </c>
      <c r="Q39" s="303">
        <f t="shared" si="52"/>
        <v>0</v>
      </c>
      <c r="R39" s="303">
        <f t="shared" si="53"/>
        <v>0</v>
      </c>
      <c r="S39" s="303">
        <f t="shared" si="54"/>
        <v>0</v>
      </c>
      <c r="T39" s="303">
        <f t="shared" si="55"/>
        <v>0</v>
      </c>
      <c r="U39" s="303">
        <f t="shared" si="56"/>
        <v>0</v>
      </c>
      <c r="V39" s="303">
        <f t="shared" si="57"/>
        <v>0</v>
      </c>
      <c r="W39" s="303">
        <f t="shared" si="58"/>
        <v>0</v>
      </c>
      <c r="X39" s="303">
        <f t="shared" si="59"/>
        <v>0</v>
      </c>
      <c r="Y39" s="303">
        <f t="shared" si="60"/>
        <v>0</v>
      </c>
      <c r="Z39" s="303">
        <f t="shared" si="61"/>
        <v>0</v>
      </c>
      <c r="AA39" s="303">
        <f t="shared" si="62"/>
        <v>0</v>
      </c>
      <c r="AB39" s="303">
        <f t="shared" si="63"/>
        <v>0</v>
      </c>
      <c r="AC39" s="303">
        <f t="shared" si="64"/>
        <v>0</v>
      </c>
      <c r="AD39" s="303">
        <f t="shared" si="65"/>
        <v>0</v>
      </c>
      <c r="AE39" s="303">
        <f t="shared" si="66"/>
        <v>0</v>
      </c>
      <c r="AF39" s="303">
        <f t="shared" si="67"/>
        <v>0</v>
      </c>
      <c r="AG39" s="303">
        <f t="shared" si="68"/>
        <v>0</v>
      </c>
      <c r="AH39" s="303">
        <f t="shared" si="69"/>
        <v>0</v>
      </c>
      <c r="AI39" s="303">
        <f t="shared" si="70"/>
        <v>0</v>
      </c>
      <c r="AJ39" s="303">
        <f t="shared" si="71"/>
        <v>0</v>
      </c>
      <c r="AK39" s="303">
        <f t="shared" si="72"/>
        <v>0</v>
      </c>
      <c r="AL39" s="303">
        <f t="shared" si="73"/>
        <v>0</v>
      </c>
      <c r="AM39" s="303">
        <f t="shared" si="74"/>
        <v>0</v>
      </c>
      <c r="AN39" s="303">
        <f t="shared" si="75"/>
        <v>0</v>
      </c>
      <c r="AO39" s="303">
        <f t="shared" si="76"/>
        <v>0</v>
      </c>
      <c r="AP39" s="303">
        <f t="shared" si="77"/>
        <v>0</v>
      </c>
      <c r="AQ39" s="303">
        <f t="shared" si="78"/>
        <v>0</v>
      </c>
      <c r="AR39" s="303">
        <f t="shared" si="79"/>
        <v>0</v>
      </c>
      <c r="AS39" s="303">
        <f t="shared" ca="1" si="80"/>
        <v>0</v>
      </c>
      <c r="AT39" s="303">
        <f t="shared" si="81"/>
        <v>0</v>
      </c>
      <c r="AU39" s="303">
        <f t="shared" si="82"/>
        <v>0</v>
      </c>
      <c r="AV39" s="303">
        <f t="shared" ca="1" si="83"/>
        <v>0</v>
      </c>
      <c r="AW39" s="303">
        <f t="shared" si="84"/>
        <v>0</v>
      </c>
    </row>
    <row r="40" spans="1:49" s="300" customFormat="1" ht="12" customHeight="1">
      <c r="A40" s="63" t="str">
        <f t="array" ref="A40">IF(C40&lt;&gt;0,SUM(($C$11:C40&lt;&gt;0)*1),"")</f>
        <v/>
      </c>
      <c r="B40" s="251"/>
      <c r="C40" s="307"/>
      <c r="D40" s="251"/>
      <c r="E40" s="302"/>
      <c r="F40" s="65"/>
      <c r="G40" s="308"/>
      <c r="H40" s="308"/>
      <c r="I40" s="63" t="str">
        <f>A40</f>
        <v/>
      </c>
      <c r="J40" s="303">
        <f t="shared" si="45"/>
        <v>0</v>
      </c>
      <c r="K40" s="303">
        <f t="shared" si="46"/>
        <v>0</v>
      </c>
      <c r="L40" s="303">
        <f t="shared" si="47"/>
        <v>0</v>
      </c>
      <c r="M40" s="303">
        <f t="shared" si="48"/>
        <v>0</v>
      </c>
      <c r="N40" s="303">
        <f t="shared" si="49"/>
        <v>0</v>
      </c>
      <c r="O40" s="303">
        <f t="shared" si="50"/>
        <v>0</v>
      </c>
      <c r="P40" s="303">
        <f t="shared" si="51"/>
        <v>0</v>
      </c>
      <c r="Q40" s="303">
        <f t="shared" si="52"/>
        <v>0</v>
      </c>
      <c r="R40" s="303">
        <f t="shared" si="53"/>
        <v>0</v>
      </c>
      <c r="S40" s="303">
        <f t="shared" si="54"/>
        <v>0</v>
      </c>
      <c r="T40" s="303">
        <f t="shared" si="55"/>
        <v>0</v>
      </c>
      <c r="U40" s="303">
        <f t="shared" si="56"/>
        <v>0</v>
      </c>
      <c r="V40" s="303">
        <f t="shared" si="57"/>
        <v>0</v>
      </c>
      <c r="W40" s="303">
        <f t="shared" si="58"/>
        <v>0</v>
      </c>
      <c r="X40" s="303">
        <f t="shared" si="59"/>
        <v>0</v>
      </c>
      <c r="Y40" s="303">
        <f t="shared" si="60"/>
        <v>0</v>
      </c>
      <c r="Z40" s="303">
        <f t="shared" si="61"/>
        <v>0</v>
      </c>
      <c r="AA40" s="303">
        <f t="shared" si="62"/>
        <v>0</v>
      </c>
      <c r="AB40" s="303">
        <f t="shared" si="63"/>
        <v>0</v>
      </c>
      <c r="AC40" s="303">
        <f t="shared" si="64"/>
        <v>0</v>
      </c>
      <c r="AD40" s="303">
        <f t="shared" si="65"/>
        <v>0</v>
      </c>
      <c r="AE40" s="303">
        <f t="shared" si="66"/>
        <v>0</v>
      </c>
      <c r="AF40" s="303">
        <f t="shared" si="67"/>
        <v>0</v>
      </c>
      <c r="AG40" s="303">
        <f t="shared" si="68"/>
        <v>0</v>
      </c>
      <c r="AH40" s="303">
        <f t="shared" si="69"/>
        <v>0</v>
      </c>
      <c r="AI40" s="303">
        <f t="shared" si="70"/>
        <v>0</v>
      </c>
      <c r="AJ40" s="303">
        <f t="shared" si="71"/>
        <v>0</v>
      </c>
      <c r="AK40" s="303">
        <f t="shared" si="72"/>
        <v>0</v>
      </c>
      <c r="AL40" s="303">
        <f t="shared" si="73"/>
        <v>0</v>
      </c>
      <c r="AM40" s="303">
        <f t="shared" si="74"/>
        <v>0</v>
      </c>
      <c r="AN40" s="303">
        <f t="shared" si="75"/>
        <v>0</v>
      </c>
      <c r="AO40" s="303">
        <f t="shared" si="76"/>
        <v>0</v>
      </c>
      <c r="AP40" s="303">
        <f t="shared" si="77"/>
        <v>0</v>
      </c>
      <c r="AQ40" s="303">
        <f t="shared" si="78"/>
        <v>0</v>
      </c>
      <c r="AR40" s="303">
        <f t="shared" si="79"/>
        <v>0</v>
      </c>
      <c r="AS40" s="303">
        <f t="shared" si="80"/>
        <v>0</v>
      </c>
      <c r="AT40" s="303">
        <f t="shared" si="81"/>
        <v>0</v>
      </c>
      <c r="AU40" s="303">
        <f t="shared" si="82"/>
        <v>0</v>
      </c>
      <c r="AV40" s="303">
        <f t="shared" si="83"/>
        <v>0</v>
      </c>
      <c r="AW40" s="303">
        <f t="shared" si="84"/>
        <v>0</v>
      </c>
    </row>
    <row r="41" spans="1:49" s="300" customFormat="1" ht="12" customHeight="1">
      <c r="A41" s="309"/>
      <c r="B41" s="309"/>
      <c r="C41" s="309"/>
      <c r="D41" s="309"/>
      <c r="E41" s="302" t="s">
        <v>201</v>
      </c>
      <c r="F41" s="309"/>
      <c r="G41" s="308"/>
      <c r="H41" s="308"/>
      <c r="I41" s="309"/>
      <c r="J41" s="309">
        <f t="shared" ref="J41:AW41" ca="1" si="85">SUM(J11:J40)</f>
        <v>0</v>
      </c>
      <c r="K41" s="309">
        <f t="shared" ca="1" si="85"/>
        <v>250000000</v>
      </c>
      <c r="L41" s="309">
        <f t="shared" ca="1" si="85"/>
        <v>250000000</v>
      </c>
      <c r="M41" s="309">
        <f t="shared" ca="1" si="85"/>
        <v>250219813</v>
      </c>
      <c r="N41" s="309">
        <f t="shared" ca="1" si="85"/>
        <v>0</v>
      </c>
      <c r="O41" s="309">
        <f t="shared" ca="1" si="85"/>
        <v>0</v>
      </c>
      <c r="P41" s="309">
        <f t="shared" ca="1" si="85"/>
        <v>0</v>
      </c>
      <c r="Q41" s="309">
        <f t="shared" ca="1" si="85"/>
        <v>0</v>
      </c>
      <c r="R41" s="309">
        <f t="shared" ca="1" si="85"/>
        <v>0</v>
      </c>
      <c r="S41" s="309">
        <f t="shared" ca="1" si="85"/>
        <v>0</v>
      </c>
      <c r="T41" s="309">
        <f t="shared" ca="1" si="85"/>
        <v>250000000</v>
      </c>
      <c r="U41" s="309">
        <f t="shared" ca="1" si="85"/>
        <v>0</v>
      </c>
      <c r="V41" s="309">
        <f t="shared" ca="1" si="85"/>
        <v>0</v>
      </c>
      <c r="W41" s="309">
        <f t="shared" ca="1" si="85"/>
        <v>0</v>
      </c>
      <c r="X41" s="309">
        <f t="shared" ca="1" si="85"/>
        <v>0</v>
      </c>
      <c r="Y41" s="309">
        <f t="shared" ca="1" si="85"/>
        <v>0</v>
      </c>
      <c r="Z41" s="309">
        <f t="shared" ca="1" si="85"/>
        <v>100000000</v>
      </c>
      <c r="AA41" s="309">
        <f t="shared" ca="1" si="85"/>
        <v>100000000</v>
      </c>
      <c r="AB41" s="309">
        <f t="shared" ca="1" si="85"/>
        <v>0</v>
      </c>
      <c r="AC41" s="309">
        <f t="shared" ca="1" si="85"/>
        <v>0</v>
      </c>
      <c r="AD41" s="309">
        <f t="shared" ca="1" si="85"/>
        <v>0</v>
      </c>
      <c r="AE41" s="309">
        <f t="shared" ca="1" si="85"/>
        <v>0</v>
      </c>
      <c r="AF41" s="309">
        <f t="shared" ca="1" si="85"/>
        <v>0</v>
      </c>
      <c r="AG41" s="309">
        <f t="shared" ca="1" si="85"/>
        <v>0</v>
      </c>
      <c r="AH41" s="309">
        <f t="shared" ca="1" si="85"/>
        <v>219813</v>
      </c>
      <c r="AI41" s="309">
        <f t="shared" ca="1" si="85"/>
        <v>0</v>
      </c>
      <c r="AJ41" s="309">
        <f t="shared" ca="1" si="85"/>
        <v>0</v>
      </c>
      <c r="AK41" s="309">
        <f t="shared" ca="1" si="85"/>
        <v>0</v>
      </c>
      <c r="AL41" s="309">
        <f t="shared" ca="1" si="85"/>
        <v>0</v>
      </c>
      <c r="AM41" s="309">
        <f t="shared" ca="1" si="85"/>
        <v>0</v>
      </c>
      <c r="AN41" s="309">
        <f t="shared" ca="1" si="85"/>
        <v>219813</v>
      </c>
      <c r="AO41" s="309">
        <f t="shared" ca="1" si="85"/>
        <v>219813</v>
      </c>
      <c r="AP41" s="309">
        <f t="shared" ca="1" si="85"/>
        <v>0</v>
      </c>
      <c r="AQ41" s="309">
        <f t="shared" ca="1" si="85"/>
        <v>0</v>
      </c>
      <c r="AR41" s="309">
        <f t="shared" ca="1" si="85"/>
        <v>0</v>
      </c>
      <c r="AS41" s="309">
        <f t="shared" ca="1" si="85"/>
        <v>0</v>
      </c>
      <c r="AT41" s="309">
        <f t="shared" ca="1" si="85"/>
        <v>0</v>
      </c>
      <c r="AU41" s="309">
        <f t="shared" ca="1" si="85"/>
        <v>0</v>
      </c>
      <c r="AV41" s="309">
        <f t="shared" ca="1" si="85"/>
        <v>219813</v>
      </c>
      <c r="AW41" s="309">
        <f t="shared" ca="1" si="85"/>
        <v>219813</v>
      </c>
    </row>
    <row r="42" spans="1:49" s="300" customFormat="1" ht="12" customHeight="1">
      <c r="A42" s="310"/>
      <c r="B42" s="310"/>
      <c r="C42" s="310"/>
      <c r="D42" s="310"/>
      <c r="E42" s="311" t="s">
        <v>240</v>
      </c>
      <c r="F42" s="310"/>
      <c r="G42" s="312"/>
      <c r="H42" s="312"/>
      <c r="I42" s="310"/>
      <c r="J42" s="332">
        <f ca="1">MAX(J10+J41-K10-K41,0)</f>
        <v>3160190000</v>
      </c>
      <c r="K42" s="332">
        <f ca="1">MAX(K10+K41-J10-J41,0)</f>
        <v>0</v>
      </c>
      <c r="L42" s="332">
        <f ca="1">MAX(L10+L41-M10-M41,0)</f>
        <v>168021</v>
      </c>
      <c r="M42" s="332">
        <f ca="1">MAX(M10+M41-L10-L41,0)</f>
        <v>0</v>
      </c>
      <c r="N42" s="332">
        <f ca="1">MAX(N10+N41-O10-O41,0)</f>
        <v>0</v>
      </c>
      <c r="O42" s="332">
        <f ca="1">MAX(O10+O41-N10-N41,0)</f>
        <v>0</v>
      </c>
      <c r="P42" s="332">
        <f ca="1">MAX(P10+P41-Q10-Q41,0)</f>
        <v>0</v>
      </c>
      <c r="Q42" s="332">
        <f ca="1">MAX(Q10+Q41-P10-P41,0)</f>
        <v>0</v>
      </c>
      <c r="R42" s="332">
        <f ca="1">MAX(R10+R41-S10-S41,0)</f>
        <v>0</v>
      </c>
      <c r="S42" s="332">
        <f ca="1">MAX(S10+S41-R10-R41,0)</f>
        <v>0</v>
      </c>
      <c r="T42" s="332">
        <f ca="1">MAX(T10+T41-U10-U41,0)</f>
        <v>800000000</v>
      </c>
      <c r="U42" s="332">
        <f ca="1">MAX(U10+U41-T10-T41,0)</f>
        <v>0</v>
      </c>
      <c r="V42" s="332">
        <f ca="1">MAX(V10+V41-W10-W41,0)</f>
        <v>0</v>
      </c>
      <c r="W42" s="332">
        <f ca="1">MAX(W10+W41-V10-V41,0)</f>
        <v>0</v>
      </c>
      <c r="X42" s="332">
        <f ca="1">MAX(X10+X41-Y10-Y41,0)</f>
        <v>0</v>
      </c>
      <c r="Y42" s="332">
        <f ca="1">MAX(Y10+Y41-X10-X41,0)</f>
        <v>0</v>
      </c>
      <c r="Z42" s="332">
        <f ca="1">MAX(Z10+Z41-AA10-AA41,0)</f>
        <v>0</v>
      </c>
      <c r="AA42" s="332">
        <f ca="1">MAX(AA10+AA41-Z10-Z41,0)</f>
        <v>0</v>
      </c>
      <c r="AB42" s="332">
        <f ca="1">MAX(AB10+AB41-AC10-AC41,0)</f>
        <v>0</v>
      </c>
      <c r="AC42" s="332">
        <f ca="1">MAX(AC10+AC41-AB10-AB41,0)</f>
        <v>0</v>
      </c>
      <c r="AD42" s="332">
        <f ca="1">MAX(AD10+AD41-AE10-AE41,0)</f>
        <v>0</v>
      </c>
      <c r="AE42" s="332">
        <f ca="1">MAX(AE10+AE41-AD10-AD41,0)</f>
        <v>4000000000</v>
      </c>
      <c r="AF42" s="332">
        <f ca="1">MAX(AF10+AF41-AG10-AG41,0)</f>
        <v>5210000</v>
      </c>
      <c r="AG42" s="332">
        <f ca="1">MAX(AG10+AG41-AF10-AF41,0)</f>
        <v>0</v>
      </c>
      <c r="AH42" s="332">
        <f ca="1">MAX(AH10+AH41-AI10-AI41,0)</f>
        <v>34431979</v>
      </c>
      <c r="AI42" s="332">
        <f ca="1">MAX(AI10+AI41-AH10-AH41,0)</f>
        <v>0</v>
      </c>
      <c r="AJ42" s="332">
        <f ca="1">MAX(AJ10+AJ41-AK10-AK41,0)</f>
        <v>0</v>
      </c>
      <c r="AK42" s="332">
        <f ca="1">MAX(AK10+AK41-AJ10-AJ41,0)</f>
        <v>0</v>
      </c>
      <c r="AL42" s="332">
        <f ca="1">MAX(AL10+AL41-AM10-AM41,0)</f>
        <v>0</v>
      </c>
      <c r="AM42" s="332">
        <f ca="1">MAX(AM10+AM41-AL10-AL41,0)</f>
        <v>0</v>
      </c>
      <c r="AN42" s="332">
        <f ca="1">MAX(AN10+AN41-AO10-AO41,0)</f>
        <v>0</v>
      </c>
      <c r="AO42" s="332">
        <f ca="1">MAX(AO10+AO41-AN10-AN41,0)</f>
        <v>0</v>
      </c>
      <c r="AP42" s="332">
        <f ca="1">MAX(AP10+AP41-AQ10-AQ41,0)</f>
        <v>0</v>
      </c>
      <c r="AQ42" s="332">
        <f ca="1">MAX(AQ10+AQ41-AP10-AP41,0)</f>
        <v>0</v>
      </c>
      <c r="AR42" s="332">
        <f ca="1">MAX(AR10+AR41-AS10-AS41,0)</f>
        <v>0</v>
      </c>
      <c r="AS42" s="332">
        <f ca="1">MAX(AS10+AS41-AR10-AR41,0)</f>
        <v>0</v>
      </c>
      <c r="AT42" s="332">
        <f ca="1">MAX(AT10+AT41-AU10-AU41,0)</f>
        <v>0</v>
      </c>
      <c r="AU42" s="332">
        <f ca="1">MAX(AU10+AU41-AT10-AT41,0)</f>
        <v>0</v>
      </c>
      <c r="AV42" s="332">
        <f ca="1">MAX(AV10+AV41-AW10-AW41,0)</f>
        <v>0</v>
      </c>
      <c r="AW42" s="332">
        <f ca="1">MAX(AW10+AW41-AV10-AV41,0)</f>
        <v>0</v>
      </c>
    </row>
    <row r="43" spans="1:49" s="300" customFormat="1" ht="12" customHeight="1">
      <c r="A43" s="314"/>
      <c r="B43" s="314"/>
      <c r="C43" s="315"/>
      <c r="D43" s="314"/>
      <c r="E43" s="316" t="s">
        <v>241</v>
      </c>
      <c r="F43" s="314"/>
      <c r="G43" s="317"/>
      <c r="H43" s="317"/>
      <c r="I43" s="314"/>
      <c r="J43" s="314">
        <f ca="1">J41+'01-03'!J65</f>
        <v>0</v>
      </c>
      <c r="K43" s="314">
        <f ca="1">K41+'01-03'!K65</f>
        <v>834600000</v>
      </c>
      <c r="L43" s="314">
        <f ca="1">L41+'01-03'!L65</f>
        <v>834600000</v>
      </c>
      <c r="M43" s="314">
        <f ca="1">M41+'01-03'!M65</f>
        <v>834431979</v>
      </c>
      <c r="N43" s="314">
        <f ca="1">N41+'01-03'!N65</f>
        <v>0</v>
      </c>
      <c r="O43" s="314">
        <f ca="1">O41+'01-03'!O65</f>
        <v>0</v>
      </c>
      <c r="P43" s="314">
        <f ca="1">P41+'01-03'!P65</f>
        <v>0</v>
      </c>
      <c r="Q43" s="314">
        <f ca="1">Q41+'01-03'!Q65</f>
        <v>0</v>
      </c>
      <c r="R43" s="314">
        <f ca="1">R41+'01-03'!R65</f>
        <v>0</v>
      </c>
      <c r="S43" s="314">
        <f ca="1">S41+'01-03'!S65</f>
        <v>0</v>
      </c>
      <c r="T43" s="314">
        <f ca="1">T41+'01-03'!T65</f>
        <v>832288666</v>
      </c>
      <c r="U43" s="314">
        <f ca="1">U41+'01-03'!U65</f>
        <v>32288666</v>
      </c>
      <c r="V43" s="314">
        <f ca="1">V41+'01-03'!V65</f>
        <v>0</v>
      </c>
      <c r="W43" s="314">
        <f ca="1">W41+'01-03'!W65</f>
        <v>0</v>
      </c>
      <c r="X43" s="314">
        <f ca="1">X41+'01-03'!X65</f>
        <v>1500000</v>
      </c>
      <c r="Y43" s="314">
        <f ca="1">Y41+'01-03'!Y65</f>
        <v>1500000</v>
      </c>
      <c r="Z43" s="314">
        <f ca="1">Z41+'01-03'!Z65</f>
        <v>584500000</v>
      </c>
      <c r="AA43" s="314">
        <f ca="1">AA41+'01-03'!AA65</f>
        <v>584500000</v>
      </c>
      <c r="AB43" s="314">
        <f ca="1">AB41+'01-03'!AB65</f>
        <v>0</v>
      </c>
      <c r="AC43" s="314">
        <f ca="1">AC41+'01-03'!AC65</f>
        <v>0</v>
      </c>
      <c r="AD43" s="314">
        <f ca="1">AD41+'01-03'!AD65</f>
        <v>0</v>
      </c>
      <c r="AE43" s="314">
        <f ca="1">AE41+'01-03'!AE65</f>
        <v>0</v>
      </c>
      <c r="AF43" s="314">
        <f ca="1">AF41+'01-03'!AF65</f>
        <v>1910000</v>
      </c>
      <c r="AG43" s="314">
        <f ca="1">AG41+'01-03'!AG65</f>
        <v>0</v>
      </c>
      <c r="AH43" s="314">
        <f ca="1">AH41+'01-03'!AH65</f>
        <v>34431979</v>
      </c>
      <c r="AI43" s="314">
        <f ca="1">AI41+'01-03'!AI65</f>
        <v>1910000</v>
      </c>
      <c r="AJ43" s="314">
        <f ca="1">AJ41+'01-03'!AJ65</f>
        <v>0</v>
      </c>
      <c r="AK43" s="314">
        <f ca="1">AK41+'01-03'!AK65</f>
        <v>0</v>
      </c>
      <c r="AL43" s="314">
        <f ca="1">AL41+'01-03'!AL65</f>
        <v>0</v>
      </c>
      <c r="AM43" s="314">
        <f ca="1">AM41+'01-03'!AM65</f>
        <v>0</v>
      </c>
      <c r="AN43" s="314">
        <f ca="1">AN41+'01-03'!AN65</f>
        <v>34431979</v>
      </c>
      <c r="AO43" s="314">
        <f ca="1">AO41+'01-03'!AO65</f>
        <v>34431979</v>
      </c>
      <c r="AP43" s="314">
        <f ca="1">AP41+'01-03'!AP65</f>
        <v>0</v>
      </c>
      <c r="AQ43" s="314">
        <f ca="1">AQ41+'01-03'!AQ65</f>
        <v>0</v>
      </c>
      <c r="AR43" s="314">
        <f ca="1">AR41+'01-03'!AR65</f>
        <v>0</v>
      </c>
      <c r="AS43" s="314">
        <f ca="1">AS41+'01-03'!AS65</f>
        <v>0</v>
      </c>
      <c r="AT43" s="314">
        <f ca="1">AT41+'01-03'!AT65</f>
        <v>0</v>
      </c>
      <c r="AU43" s="314">
        <f ca="1">AU41+'01-03'!AU65</f>
        <v>0</v>
      </c>
      <c r="AV43" s="314">
        <f ca="1">AV41+'01-03'!AV65</f>
        <v>34431979</v>
      </c>
      <c r="AW43" s="314">
        <f ca="1">AW41+'01-03'!AW65</f>
        <v>34431979</v>
      </c>
    </row>
    <row r="44" spans="1:49" ht="12" customHeight="1">
      <c r="B44" s="319"/>
      <c r="C44" s="320"/>
      <c r="D44" s="320"/>
      <c r="E44" s="320"/>
      <c r="F44" s="320"/>
      <c r="G44" s="321"/>
      <c r="H44" s="321"/>
      <c r="I44" s="320"/>
      <c r="J44" s="320"/>
      <c r="K44" s="320"/>
    </row>
    <row r="45" spans="1:49">
      <c r="M45" s="322"/>
      <c r="O45" s="322"/>
      <c r="P45" s="322"/>
      <c r="Q45" s="322"/>
      <c r="R45" s="322"/>
      <c r="S45" s="322"/>
      <c r="T45" s="322"/>
      <c r="AH45" s="323" t="s">
        <v>245</v>
      </c>
      <c r="AI45" s="324"/>
      <c r="AJ45" s="324"/>
      <c r="AK45" s="324"/>
      <c r="AL45" s="324"/>
      <c r="AM45" s="324"/>
      <c r="AN45" s="325"/>
      <c r="AO45" s="325"/>
      <c r="AP45" s="324"/>
    </row>
    <row r="46" spans="1:49">
      <c r="M46" s="322"/>
      <c r="O46" s="322"/>
      <c r="P46" s="322"/>
      <c r="Q46" s="322"/>
      <c r="R46" s="322"/>
      <c r="S46" s="322"/>
      <c r="T46" s="322"/>
      <c r="AH46" s="326" t="s">
        <v>246</v>
      </c>
      <c r="AI46" s="324"/>
      <c r="AJ46" s="324"/>
      <c r="AK46" s="324"/>
      <c r="AL46" s="324"/>
      <c r="AM46" s="324"/>
      <c r="AN46" s="325"/>
      <c r="AO46" s="325"/>
      <c r="AP46" s="324"/>
    </row>
    <row r="47" spans="1:49">
      <c r="M47" s="322"/>
      <c r="O47" s="322"/>
      <c r="P47" s="322"/>
      <c r="Q47" s="322"/>
      <c r="R47" s="322"/>
      <c r="S47" s="322"/>
      <c r="T47" s="322"/>
      <c r="AH47" s="324"/>
      <c r="AI47" s="324"/>
      <c r="AJ47" s="324"/>
      <c r="AK47" s="324"/>
      <c r="AL47" s="324"/>
      <c r="AM47" s="324"/>
      <c r="AN47" s="324"/>
      <c r="AO47" s="324"/>
      <c r="AP47" s="325"/>
    </row>
    <row r="48" spans="1:49">
      <c r="M48" s="322"/>
      <c r="O48" s="322"/>
      <c r="P48" s="322"/>
      <c r="Q48" s="322"/>
      <c r="R48" s="322"/>
      <c r="S48" s="322"/>
      <c r="T48" s="322"/>
      <c r="AH48" s="324"/>
      <c r="AI48" s="324"/>
      <c r="AJ48" s="324"/>
      <c r="AK48" s="324"/>
      <c r="AL48" s="324"/>
      <c r="AM48" s="324"/>
      <c r="AN48" s="324"/>
      <c r="AO48" s="324"/>
      <c r="AP48" s="325"/>
      <c r="AV48" s="327" t="str">
        <f>"Ngày 30 tháng 06 năm 2015 "</f>
        <v xml:space="preserve">Ngày 30 tháng 06 năm 2015 </v>
      </c>
    </row>
    <row r="49" spans="13:48">
      <c r="M49" s="322"/>
      <c r="O49" s="322"/>
      <c r="P49" s="322"/>
      <c r="Q49" s="322"/>
      <c r="R49" s="322"/>
      <c r="S49" s="322"/>
      <c r="T49" s="322"/>
      <c r="AH49" s="324"/>
      <c r="AI49" s="328" t="s">
        <v>13</v>
      </c>
      <c r="AJ49" s="324"/>
      <c r="AK49" s="324"/>
      <c r="AL49" s="324"/>
      <c r="AM49" s="324"/>
      <c r="AN49" s="324"/>
      <c r="AO49" s="329" t="s">
        <v>14</v>
      </c>
      <c r="AP49" s="325"/>
      <c r="AV49" s="328" t="s">
        <v>150</v>
      </c>
    </row>
    <row r="50" spans="13:48">
      <c r="M50" s="322"/>
      <c r="O50" s="322"/>
      <c r="P50" s="322"/>
      <c r="Q50" s="322"/>
      <c r="R50" s="322"/>
      <c r="S50" s="322"/>
      <c r="T50" s="322"/>
      <c r="AH50" s="324"/>
      <c r="AI50" s="330" t="s">
        <v>15</v>
      </c>
      <c r="AJ50" s="324"/>
      <c r="AK50" s="324"/>
      <c r="AL50" s="324"/>
      <c r="AM50" s="324"/>
      <c r="AN50" s="324"/>
      <c r="AO50" s="331" t="s">
        <v>15</v>
      </c>
      <c r="AP50" s="325"/>
      <c r="AV50" s="330" t="s">
        <v>182</v>
      </c>
    </row>
    <row r="51" spans="13:48">
      <c r="M51" s="322"/>
      <c r="O51" s="322"/>
      <c r="P51" s="322"/>
      <c r="Q51" s="322"/>
      <c r="R51" s="322"/>
      <c r="S51" s="322"/>
      <c r="T51" s="322"/>
      <c r="AH51" s="324"/>
      <c r="AI51" s="324"/>
      <c r="AJ51" s="324"/>
      <c r="AK51" s="324"/>
      <c r="AL51" s="324"/>
      <c r="AM51" s="324"/>
      <c r="AN51" s="324"/>
      <c r="AO51" s="324"/>
      <c r="AP51" s="325"/>
      <c r="AV51" s="324"/>
    </row>
    <row r="52" spans="13:48">
      <c r="M52" s="322"/>
      <c r="O52" s="322"/>
      <c r="P52" s="322"/>
      <c r="Q52" s="322"/>
      <c r="R52" s="322"/>
      <c r="S52" s="322"/>
      <c r="T52" s="322"/>
      <c r="AV52" s="324"/>
    </row>
    <row r="53" spans="13:48">
      <c r="M53" s="322"/>
      <c r="O53" s="322"/>
      <c r="P53" s="322"/>
      <c r="Q53" s="322"/>
      <c r="R53" s="322"/>
      <c r="S53" s="322"/>
      <c r="T53" s="322"/>
    </row>
    <row r="54" spans="13:48">
      <c r="M54" s="322"/>
      <c r="O54" s="322"/>
      <c r="P54" s="322"/>
      <c r="Q54" s="322"/>
      <c r="R54" s="322"/>
      <c r="S54" s="322"/>
      <c r="T54" s="322"/>
    </row>
    <row r="55" spans="13:48">
      <c r="M55" s="322"/>
      <c r="O55" s="322"/>
      <c r="P55" s="322"/>
      <c r="Q55" s="322"/>
      <c r="R55" s="322"/>
      <c r="S55" s="322"/>
      <c r="T55" s="322"/>
    </row>
    <row r="56" spans="13:48">
      <c r="M56" s="322"/>
      <c r="O56" s="322"/>
      <c r="P56" s="322"/>
      <c r="Q56" s="322"/>
      <c r="R56" s="322"/>
      <c r="S56" s="322"/>
      <c r="T56" s="322"/>
    </row>
    <row r="57" spans="13:48">
      <c r="M57" s="322"/>
      <c r="O57" s="322"/>
      <c r="P57" s="322"/>
      <c r="Q57" s="322"/>
      <c r="R57" s="322"/>
      <c r="S57" s="322"/>
      <c r="T57" s="322"/>
    </row>
    <row r="58" spans="13:48">
      <c r="M58" s="322"/>
      <c r="O58" s="322"/>
      <c r="P58" s="322"/>
      <c r="Q58" s="322"/>
      <c r="R58" s="322"/>
      <c r="S58" s="322"/>
      <c r="T58" s="322"/>
    </row>
    <row r="59" spans="13:48">
      <c r="M59" s="322"/>
      <c r="O59" s="322"/>
      <c r="P59" s="322"/>
      <c r="Q59" s="322"/>
      <c r="R59" s="322"/>
      <c r="S59" s="322"/>
      <c r="T59" s="322"/>
    </row>
    <row r="60" spans="13:48">
      <c r="M60" s="322"/>
      <c r="O60" s="322"/>
      <c r="P60" s="322"/>
      <c r="Q60" s="322"/>
      <c r="R60" s="322"/>
      <c r="S60" s="322"/>
      <c r="T60" s="322"/>
    </row>
    <row r="61" spans="13:48">
      <c r="M61" s="322"/>
      <c r="O61" s="322"/>
      <c r="P61" s="322"/>
      <c r="Q61" s="322"/>
      <c r="R61" s="322"/>
      <c r="S61" s="322"/>
      <c r="T61" s="322"/>
    </row>
    <row r="62" spans="13:48">
      <c r="M62" s="322"/>
      <c r="O62" s="322"/>
      <c r="P62" s="322"/>
      <c r="Q62" s="322"/>
      <c r="R62" s="322"/>
      <c r="S62" s="322"/>
      <c r="T62" s="322"/>
    </row>
    <row r="63" spans="13:48">
      <c r="M63" s="322"/>
      <c r="O63" s="322"/>
      <c r="P63" s="322"/>
      <c r="Q63" s="322"/>
      <c r="R63" s="322"/>
      <c r="S63" s="322"/>
      <c r="T63" s="322"/>
    </row>
    <row r="64" spans="13:48">
      <c r="M64" s="322"/>
      <c r="O64" s="322"/>
      <c r="P64" s="322"/>
      <c r="Q64" s="322"/>
      <c r="R64" s="322"/>
      <c r="S64" s="322"/>
      <c r="T64" s="322"/>
    </row>
    <row r="65" spans="13:20">
      <c r="M65" s="322"/>
      <c r="O65" s="322"/>
      <c r="P65" s="322"/>
      <c r="Q65" s="322"/>
      <c r="R65" s="322"/>
      <c r="S65" s="322"/>
      <c r="T65" s="322"/>
    </row>
    <row r="66" spans="13:20">
      <c r="M66" s="322"/>
      <c r="O66" s="322"/>
      <c r="P66" s="322"/>
      <c r="Q66" s="322"/>
      <c r="R66" s="322"/>
      <c r="S66" s="322"/>
      <c r="T66" s="322"/>
    </row>
    <row r="67" spans="13:20">
      <c r="M67" s="322"/>
      <c r="O67" s="322"/>
      <c r="P67" s="322"/>
      <c r="Q67" s="322"/>
      <c r="R67" s="322"/>
      <c r="S67" s="322"/>
      <c r="T67" s="322"/>
    </row>
    <row r="68" spans="13:20">
      <c r="M68" s="322"/>
      <c r="O68" s="322"/>
      <c r="P68" s="322"/>
      <c r="Q68" s="322"/>
      <c r="R68" s="322"/>
      <c r="S68" s="322"/>
      <c r="T68" s="322"/>
    </row>
    <row r="69" spans="13:20">
      <c r="M69" s="322"/>
      <c r="O69" s="322"/>
      <c r="P69" s="322"/>
      <c r="Q69" s="322"/>
      <c r="R69" s="322"/>
      <c r="S69" s="322"/>
      <c r="T69" s="322"/>
    </row>
    <row r="70" spans="13:20">
      <c r="M70" s="322"/>
      <c r="O70" s="322"/>
      <c r="P70" s="322"/>
      <c r="Q70" s="322"/>
      <c r="R70" s="322"/>
      <c r="S70" s="322"/>
      <c r="T70" s="322"/>
    </row>
    <row r="71" spans="13:20">
      <c r="M71" s="322"/>
      <c r="O71" s="322"/>
      <c r="P71" s="322"/>
      <c r="Q71" s="322"/>
      <c r="R71" s="322"/>
      <c r="S71" s="322"/>
      <c r="T71" s="322"/>
    </row>
    <row r="72" spans="13:20">
      <c r="M72" s="322"/>
      <c r="O72" s="322"/>
      <c r="P72" s="322"/>
      <c r="Q72" s="322"/>
      <c r="R72" s="322"/>
      <c r="S72" s="322"/>
      <c r="T72" s="322"/>
    </row>
    <row r="73" spans="13:20">
      <c r="M73" s="322"/>
      <c r="O73" s="322"/>
      <c r="P73" s="322"/>
      <c r="Q73" s="322"/>
      <c r="R73" s="322"/>
      <c r="S73" s="322"/>
      <c r="T73" s="322"/>
    </row>
    <row r="74" spans="13:20">
      <c r="M74" s="322"/>
      <c r="O74" s="322"/>
      <c r="P74" s="322"/>
      <c r="Q74" s="322"/>
      <c r="R74" s="322"/>
      <c r="S74" s="322"/>
      <c r="T74" s="322"/>
    </row>
    <row r="75" spans="13:20">
      <c r="M75" s="322"/>
      <c r="O75" s="322"/>
      <c r="P75" s="322"/>
      <c r="Q75" s="322"/>
      <c r="R75" s="322"/>
      <c r="S75" s="322"/>
      <c r="T75" s="322"/>
    </row>
    <row r="76" spans="13:20">
      <c r="M76" s="322"/>
      <c r="O76" s="322"/>
      <c r="P76" s="322"/>
      <c r="Q76" s="322"/>
      <c r="R76" s="322"/>
      <c r="S76" s="322"/>
      <c r="T76" s="322"/>
    </row>
    <row r="77" spans="13:20">
      <c r="M77" s="322"/>
      <c r="O77" s="322"/>
      <c r="P77" s="322"/>
      <c r="Q77" s="322"/>
      <c r="R77" s="322"/>
      <c r="S77" s="322"/>
      <c r="T77" s="322"/>
    </row>
    <row r="78" spans="13:20">
      <c r="M78" s="322"/>
      <c r="O78" s="322"/>
      <c r="P78" s="322"/>
      <c r="Q78" s="322"/>
      <c r="R78" s="322"/>
      <c r="S78" s="322"/>
      <c r="T78" s="322"/>
    </row>
    <row r="79" spans="13:20">
      <c r="M79" s="322"/>
      <c r="O79" s="322"/>
      <c r="P79" s="322"/>
      <c r="Q79" s="322"/>
      <c r="R79" s="322"/>
      <c r="S79" s="322"/>
      <c r="T79" s="322"/>
    </row>
    <row r="80" spans="13:20">
      <c r="M80" s="322"/>
      <c r="O80" s="322"/>
      <c r="P80" s="322"/>
      <c r="Q80" s="322"/>
      <c r="R80" s="322"/>
      <c r="S80" s="322"/>
      <c r="T80" s="322"/>
    </row>
    <row r="81" spans="13:20">
      <c r="M81" s="322"/>
      <c r="O81" s="322"/>
      <c r="P81" s="322"/>
      <c r="Q81" s="322"/>
      <c r="R81" s="322"/>
      <c r="S81" s="322"/>
      <c r="T81" s="322"/>
    </row>
    <row r="82" spans="13:20">
      <c r="M82" s="322"/>
      <c r="O82" s="322"/>
      <c r="P82" s="322"/>
      <c r="Q82" s="322"/>
      <c r="R82" s="322"/>
      <c r="S82" s="322"/>
      <c r="T82" s="322"/>
    </row>
    <row r="83" spans="13:20">
      <c r="M83" s="322"/>
      <c r="O83" s="322"/>
      <c r="P83" s="322"/>
      <c r="Q83" s="322"/>
      <c r="R83" s="322"/>
      <c r="S83" s="322"/>
      <c r="T83" s="322"/>
    </row>
    <row r="84" spans="13:20">
      <c r="M84" s="322"/>
      <c r="O84" s="322"/>
      <c r="P84" s="322"/>
      <c r="Q84" s="322"/>
      <c r="R84" s="322"/>
      <c r="S84" s="322"/>
      <c r="T84" s="322"/>
    </row>
    <row r="85" spans="13:20">
      <c r="M85" s="322"/>
      <c r="O85" s="322"/>
      <c r="P85" s="322"/>
      <c r="Q85" s="322"/>
      <c r="R85" s="322"/>
      <c r="S85" s="322"/>
      <c r="T85" s="322"/>
    </row>
    <row r="86" spans="13:20">
      <c r="M86" s="322"/>
      <c r="O86" s="322"/>
      <c r="P86" s="322"/>
      <c r="Q86" s="322"/>
      <c r="R86" s="322"/>
      <c r="S86" s="322"/>
      <c r="T86" s="322"/>
    </row>
    <row r="87" spans="13:20">
      <c r="M87" s="322"/>
      <c r="O87" s="322"/>
      <c r="P87" s="322"/>
      <c r="Q87" s="322"/>
      <c r="R87" s="322"/>
      <c r="S87" s="322"/>
      <c r="T87" s="322"/>
    </row>
    <row r="88" spans="13:20">
      <c r="M88" s="322"/>
      <c r="O88" s="322"/>
      <c r="P88" s="322"/>
      <c r="Q88" s="322"/>
      <c r="R88" s="322"/>
      <c r="S88" s="322"/>
      <c r="T88" s="322"/>
    </row>
    <row r="89" spans="13:20">
      <c r="M89" s="322"/>
      <c r="O89" s="322"/>
      <c r="P89" s="322"/>
      <c r="Q89" s="322"/>
      <c r="R89" s="322"/>
      <c r="S89" s="322"/>
      <c r="T89" s="322"/>
    </row>
    <row r="90" spans="13:20">
      <c r="M90" s="322"/>
      <c r="O90" s="322"/>
      <c r="P90" s="322"/>
      <c r="Q90" s="322"/>
      <c r="R90" s="322"/>
      <c r="S90" s="322"/>
      <c r="T90" s="322"/>
    </row>
    <row r="91" spans="13:20">
      <c r="M91" s="322"/>
      <c r="O91" s="322"/>
      <c r="P91" s="322"/>
      <c r="Q91" s="322"/>
      <c r="R91" s="322"/>
      <c r="S91" s="322"/>
      <c r="T91" s="322"/>
    </row>
    <row r="92" spans="13:20">
      <c r="M92" s="322"/>
      <c r="O92" s="322"/>
      <c r="P92" s="322"/>
      <c r="Q92" s="322"/>
      <c r="R92" s="322"/>
      <c r="S92" s="322"/>
      <c r="T92" s="322"/>
    </row>
    <row r="93" spans="13:20">
      <c r="M93" s="322"/>
      <c r="O93" s="322"/>
      <c r="P93" s="322"/>
      <c r="Q93" s="322"/>
      <c r="R93" s="322"/>
      <c r="S93" s="322"/>
      <c r="T93" s="322"/>
    </row>
    <row r="94" spans="13:20">
      <c r="M94" s="322"/>
      <c r="O94" s="322"/>
      <c r="P94" s="322"/>
      <c r="Q94" s="322"/>
      <c r="R94" s="322"/>
      <c r="S94" s="322"/>
      <c r="T94" s="322"/>
    </row>
    <row r="95" spans="13:20">
      <c r="M95" s="322"/>
      <c r="O95" s="322"/>
      <c r="P95" s="322"/>
      <c r="Q95" s="322"/>
      <c r="R95" s="322"/>
      <c r="S95" s="322"/>
      <c r="T95" s="322"/>
    </row>
    <row r="96" spans="13:20">
      <c r="M96" s="322"/>
      <c r="O96" s="322"/>
      <c r="P96" s="322"/>
      <c r="Q96" s="322"/>
      <c r="R96" s="322"/>
      <c r="S96" s="322"/>
      <c r="T96" s="322"/>
    </row>
    <row r="97" spans="13:20">
      <c r="M97" s="322"/>
      <c r="O97" s="322"/>
      <c r="P97" s="322"/>
      <c r="Q97" s="322"/>
      <c r="R97" s="322"/>
      <c r="S97" s="322"/>
      <c r="T97" s="322"/>
    </row>
    <row r="98" spans="13:20">
      <c r="M98" s="322"/>
      <c r="O98" s="322"/>
      <c r="P98" s="322"/>
      <c r="Q98" s="322"/>
      <c r="R98" s="322"/>
      <c r="S98" s="322"/>
      <c r="T98" s="322"/>
    </row>
    <row r="99" spans="13:20">
      <c r="M99" s="322"/>
      <c r="O99" s="322"/>
      <c r="P99" s="322"/>
      <c r="Q99" s="322"/>
      <c r="R99" s="322"/>
      <c r="S99" s="322"/>
      <c r="T99" s="322"/>
    </row>
    <row r="100" spans="13:20">
      <c r="M100" s="322"/>
      <c r="O100" s="322"/>
      <c r="P100" s="322"/>
      <c r="Q100" s="322"/>
      <c r="R100" s="322"/>
      <c r="S100" s="322"/>
      <c r="T100" s="322"/>
    </row>
    <row r="101" spans="13:20">
      <c r="M101" s="322"/>
      <c r="O101" s="322"/>
      <c r="P101" s="322"/>
      <c r="Q101" s="322"/>
      <c r="R101" s="322"/>
      <c r="S101" s="322"/>
      <c r="T101" s="322"/>
    </row>
    <row r="102" spans="13:20">
      <c r="M102" s="322"/>
      <c r="O102" s="322"/>
      <c r="P102" s="322"/>
      <c r="Q102" s="322"/>
      <c r="R102" s="322"/>
      <c r="S102" s="322"/>
      <c r="T102" s="322"/>
    </row>
    <row r="103" spans="13:20">
      <c r="M103" s="322"/>
      <c r="O103" s="322"/>
      <c r="P103" s="322"/>
      <c r="Q103" s="322"/>
      <c r="R103" s="322"/>
      <c r="S103" s="322"/>
      <c r="T103" s="322"/>
    </row>
  </sheetData>
  <autoFilter ref="A9:AW43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55"/>
  <sheetViews>
    <sheetView topLeftCell="A7" workbookViewId="0">
      <pane xSplit="8" ySplit="5" topLeftCell="AQ12" activePane="bottomRight" state="frozen"/>
      <selection activeCell="E170" sqref="E170"/>
      <selection pane="topRight" activeCell="E170" sqref="E170"/>
      <selection pane="bottomLeft" activeCell="E170" sqref="E170"/>
      <selection pane="bottomRight" activeCell="F30" sqref="F30"/>
    </sheetView>
  </sheetViews>
  <sheetFormatPr defaultRowHeight="12.75"/>
  <cols>
    <col min="1" max="1" width="4.85546875" style="278" customWidth="1"/>
    <col min="2" max="2" width="9.28515625" style="278" customWidth="1"/>
    <col min="3" max="3" width="7.85546875" style="278" customWidth="1"/>
    <col min="4" max="4" width="9.7109375" style="278" customWidth="1"/>
    <col min="5" max="5" width="45.140625" style="278" customWidth="1"/>
    <col min="6" max="6" width="15.42578125" style="333" customWidth="1"/>
    <col min="7" max="8" width="5.85546875" style="279" customWidth="1"/>
    <col min="9" max="9" width="4.85546875" style="278" customWidth="1"/>
    <col min="10" max="10" width="14.85546875" style="278" customWidth="1"/>
    <col min="11" max="11" width="14.140625" style="278" customWidth="1"/>
    <col min="12" max="12" width="15.7109375" style="278" customWidth="1"/>
    <col min="13" max="13" width="15.5703125" style="278" customWidth="1"/>
    <col min="14" max="14" width="16.5703125" style="278" customWidth="1"/>
    <col min="15" max="15" width="13.28515625" style="278" customWidth="1"/>
    <col min="16" max="16" width="12.85546875" style="278" customWidth="1"/>
    <col min="17" max="17" width="12.42578125" style="278" customWidth="1"/>
    <col min="18" max="18" width="14.7109375" style="278" customWidth="1"/>
    <col min="19" max="19" width="5.5703125" style="278" customWidth="1"/>
    <col min="20" max="20" width="14.7109375" style="278" customWidth="1"/>
    <col min="21" max="21" width="15.28515625" style="278" customWidth="1"/>
    <col min="22" max="22" width="6.85546875" style="278" customWidth="1"/>
    <col min="23" max="23" width="7.42578125" style="278" customWidth="1"/>
    <col min="24" max="24" width="10.5703125" style="278" customWidth="1"/>
    <col min="25" max="25" width="10.28515625" style="278" customWidth="1"/>
    <col min="26" max="26" width="12.28515625" style="278" customWidth="1"/>
    <col min="27" max="27" width="13.85546875" style="278" customWidth="1"/>
    <col min="28" max="28" width="5.5703125" style="278" customWidth="1"/>
    <col min="29" max="29" width="15.28515625" style="278" customWidth="1"/>
    <col min="30" max="30" width="5.42578125" style="278" customWidth="1"/>
    <col min="31" max="31" width="13.85546875" style="278" customWidth="1"/>
    <col min="32" max="32" width="12.28515625" style="278" customWidth="1"/>
    <col min="33" max="33" width="5.28515625" style="278" customWidth="1"/>
    <col min="34" max="34" width="15.140625" style="278" customWidth="1"/>
    <col min="35" max="35" width="14.85546875" style="278" customWidth="1"/>
    <col min="36" max="36" width="9.5703125" style="278" customWidth="1"/>
    <col min="37" max="37" width="9.140625" style="278" customWidth="1"/>
    <col min="38" max="38" width="12.7109375" style="278" customWidth="1"/>
    <col min="39" max="39" width="12.5703125" style="278" customWidth="1"/>
    <col min="40" max="40" width="15.140625" style="278" customWidth="1"/>
    <col min="41" max="41" width="15.5703125" style="278" customWidth="1"/>
    <col min="42" max="43" width="10.85546875" style="278" customWidth="1"/>
    <col min="44" max="44" width="7" style="278" customWidth="1"/>
    <col min="45" max="45" width="7.7109375" style="278" customWidth="1"/>
    <col min="46" max="46" width="7.140625" style="278" customWidth="1"/>
    <col min="47" max="47" width="6.7109375" style="278" customWidth="1"/>
    <col min="48" max="48" width="14.7109375" style="278" customWidth="1"/>
    <col min="49" max="49" width="15.140625" style="278" customWidth="1"/>
    <col min="50" max="16384" width="9.140625" style="278"/>
  </cols>
  <sheetData>
    <row r="1" spans="1:49" ht="12.75" customHeight="1">
      <c r="A1" s="274"/>
      <c r="B1" s="275" t="s">
        <v>139</v>
      </c>
      <c r="C1" s="276"/>
      <c r="D1" s="276"/>
      <c r="E1" s="277"/>
      <c r="I1" s="276"/>
      <c r="M1" s="276" t="s">
        <v>214</v>
      </c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7"/>
      <c r="AM1" s="277"/>
      <c r="AN1" s="276"/>
      <c r="AO1" s="276"/>
      <c r="AP1" s="276"/>
      <c r="AQ1" s="276"/>
      <c r="AR1" s="276"/>
      <c r="AS1" s="276"/>
      <c r="AT1" s="276"/>
      <c r="AU1" s="276"/>
      <c r="AV1" s="276"/>
      <c r="AW1" s="276"/>
    </row>
    <row r="2" spans="1:49" ht="12.75" customHeight="1">
      <c r="A2" s="274"/>
      <c r="B2" s="275" t="s">
        <v>203</v>
      </c>
      <c r="C2" s="276"/>
      <c r="D2" s="276"/>
      <c r="E2" s="276"/>
      <c r="I2" s="280"/>
      <c r="M2" s="390" t="s">
        <v>215</v>
      </c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1"/>
      <c r="AM2" s="281"/>
      <c r="AN2" s="280"/>
      <c r="AO2" s="280"/>
      <c r="AP2" s="280"/>
      <c r="AQ2" s="280"/>
      <c r="AR2" s="280"/>
      <c r="AS2" s="280"/>
      <c r="AT2" s="280"/>
      <c r="AU2" s="280"/>
      <c r="AV2" s="280"/>
      <c r="AW2" s="280"/>
    </row>
    <row r="3" spans="1:49" ht="10.5" customHeight="1">
      <c r="A3" s="276"/>
      <c r="B3" s="276"/>
      <c r="C3" s="276"/>
      <c r="D3" s="276"/>
      <c r="E3" s="276"/>
      <c r="F3" s="334"/>
      <c r="G3" s="282"/>
      <c r="H3" s="282"/>
      <c r="I3" s="280"/>
      <c r="M3" s="39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1"/>
      <c r="AM3" s="281"/>
      <c r="AN3" s="280"/>
      <c r="AO3" s="280"/>
      <c r="AP3" s="280"/>
      <c r="AQ3" s="280"/>
      <c r="AR3" s="280"/>
      <c r="AS3" s="280"/>
      <c r="AT3" s="280"/>
      <c r="AU3" s="280"/>
      <c r="AV3" s="280"/>
      <c r="AW3" s="280"/>
    </row>
    <row r="4" spans="1:49" ht="19.5" customHeight="1">
      <c r="B4" s="391" t="s">
        <v>129</v>
      </c>
      <c r="C4" s="391"/>
      <c r="D4" s="391"/>
      <c r="E4" s="391"/>
      <c r="F4" s="400"/>
      <c r="G4" s="391"/>
      <c r="H4" s="391"/>
      <c r="I4" s="391"/>
      <c r="J4" s="391"/>
      <c r="K4" s="391"/>
      <c r="L4" s="391"/>
      <c r="M4" s="391"/>
      <c r="N4" s="283"/>
      <c r="O4" s="283"/>
      <c r="P4" s="283"/>
      <c r="Q4" s="283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335"/>
      <c r="AM4" s="335"/>
      <c r="AN4" s="285"/>
      <c r="AO4" s="285"/>
      <c r="AP4" s="285"/>
      <c r="AQ4" s="285"/>
      <c r="AR4" s="285"/>
      <c r="AS4" s="285"/>
      <c r="AT4" s="285"/>
      <c r="AU4" s="285"/>
      <c r="AV4" s="285"/>
      <c r="AW4" s="285"/>
    </row>
    <row r="5" spans="1:49" ht="15">
      <c r="B5" s="392" t="s">
        <v>247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6"/>
      <c r="AL5" s="286"/>
      <c r="AM5" s="286"/>
    </row>
    <row r="7" spans="1:49" ht="13.5" customHeight="1">
      <c r="A7" s="393" t="s">
        <v>48</v>
      </c>
      <c r="B7" s="395" t="s">
        <v>28</v>
      </c>
      <c r="C7" s="396" t="s">
        <v>1</v>
      </c>
      <c r="D7" s="397"/>
      <c r="E7" s="395" t="s">
        <v>0</v>
      </c>
      <c r="F7" s="395" t="s">
        <v>130</v>
      </c>
      <c r="G7" s="398" t="s">
        <v>131</v>
      </c>
      <c r="H7" s="398"/>
      <c r="I7" s="399" t="s">
        <v>48</v>
      </c>
      <c r="J7" s="395" t="s">
        <v>217</v>
      </c>
      <c r="K7" s="395"/>
      <c r="L7" s="395" t="s">
        <v>218</v>
      </c>
      <c r="M7" s="395"/>
      <c r="N7" s="395" t="s">
        <v>219</v>
      </c>
      <c r="O7" s="395"/>
      <c r="P7" s="395" t="s">
        <v>220</v>
      </c>
      <c r="Q7" s="395"/>
      <c r="R7" s="395" t="s">
        <v>221</v>
      </c>
      <c r="S7" s="395"/>
      <c r="T7" s="395" t="s">
        <v>222</v>
      </c>
      <c r="U7" s="395"/>
      <c r="V7" s="395" t="s">
        <v>223</v>
      </c>
      <c r="W7" s="395"/>
      <c r="X7" s="395" t="s">
        <v>224</v>
      </c>
      <c r="Y7" s="395"/>
      <c r="Z7" s="395" t="s">
        <v>225</v>
      </c>
      <c r="AA7" s="395"/>
      <c r="AB7" s="395" t="s">
        <v>226</v>
      </c>
      <c r="AC7" s="395"/>
      <c r="AD7" s="395" t="s">
        <v>227</v>
      </c>
      <c r="AE7" s="395"/>
      <c r="AF7" s="395" t="s">
        <v>228</v>
      </c>
      <c r="AG7" s="395"/>
      <c r="AH7" s="395" t="s">
        <v>229</v>
      </c>
      <c r="AI7" s="395"/>
      <c r="AJ7" s="395" t="s">
        <v>230</v>
      </c>
      <c r="AK7" s="395"/>
      <c r="AL7" s="395" t="s">
        <v>231</v>
      </c>
      <c r="AM7" s="395"/>
      <c r="AN7" s="395" t="s">
        <v>232</v>
      </c>
      <c r="AO7" s="395"/>
      <c r="AP7" s="395" t="s">
        <v>233</v>
      </c>
      <c r="AQ7" s="395"/>
      <c r="AR7" s="395" t="s">
        <v>234</v>
      </c>
      <c r="AS7" s="395"/>
      <c r="AT7" s="395" t="s">
        <v>235</v>
      </c>
      <c r="AU7" s="395"/>
      <c r="AV7" s="395" t="s">
        <v>236</v>
      </c>
      <c r="AW7" s="395"/>
    </row>
    <row r="8" spans="1:49" ht="22.5" customHeight="1">
      <c r="A8" s="394"/>
      <c r="B8" s="395"/>
      <c r="C8" s="289" t="s">
        <v>19</v>
      </c>
      <c r="D8" s="288" t="s">
        <v>40</v>
      </c>
      <c r="E8" s="395"/>
      <c r="F8" s="395"/>
      <c r="G8" s="290" t="s">
        <v>30</v>
      </c>
      <c r="H8" s="290" t="s">
        <v>31</v>
      </c>
      <c r="I8" s="399"/>
      <c r="J8" s="288" t="s">
        <v>30</v>
      </c>
      <c r="K8" s="288" t="s">
        <v>31</v>
      </c>
      <c r="L8" s="288" t="s">
        <v>30</v>
      </c>
      <c r="M8" s="288" t="s">
        <v>31</v>
      </c>
      <c r="N8" s="288" t="s">
        <v>30</v>
      </c>
      <c r="O8" s="288" t="s">
        <v>31</v>
      </c>
      <c r="P8" s="288" t="s">
        <v>30</v>
      </c>
      <c r="Q8" s="288" t="s">
        <v>31</v>
      </c>
      <c r="R8" s="288" t="s">
        <v>30</v>
      </c>
      <c r="S8" s="288" t="s">
        <v>31</v>
      </c>
      <c r="T8" s="288" t="s">
        <v>30</v>
      </c>
      <c r="U8" s="288" t="s">
        <v>31</v>
      </c>
      <c r="V8" s="288" t="s">
        <v>30</v>
      </c>
      <c r="W8" s="288" t="s">
        <v>31</v>
      </c>
      <c r="X8" s="288" t="s">
        <v>30</v>
      </c>
      <c r="Y8" s="288" t="s">
        <v>31</v>
      </c>
      <c r="Z8" s="288" t="s">
        <v>30</v>
      </c>
      <c r="AA8" s="288" t="s">
        <v>31</v>
      </c>
      <c r="AB8" s="288" t="s">
        <v>30</v>
      </c>
      <c r="AC8" s="288" t="s">
        <v>31</v>
      </c>
      <c r="AD8" s="288" t="s">
        <v>30</v>
      </c>
      <c r="AE8" s="288" t="s">
        <v>31</v>
      </c>
      <c r="AF8" s="288" t="s">
        <v>30</v>
      </c>
      <c r="AG8" s="288" t="s">
        <v>31</v>
      </c>
      <c r="AH8" s="288" t="s">
        <v>30</v>
      </c>
      <c r="AI8" s="288" t="s">
        <v>31</v>
      </c>
      <c r="AJ8" s="288" t="s">
        <v>30</v>
      </c>
      <c r="AK8" s="288" t="s">
        <v>31</v>
      </c>
      <c r="AL8" s="288" t="s">
        <v>30</v>
      </c>
      <c r="AM8" s="288" t="s">
        <v>31</v>
      </c>
      <c r="AN8" s="288" t="s">
        <v>30</v>
      </c>
      <c r="AO8" s="288" t="s">
        <v>31</v>
      </c>
      <c r="AP8" s="288" t="s">
        <v>30</v>
      </c>
      <c r="AQ8" s="288" t="s">
        <v>31</v>
      </c>
      <c r="AR8" s="288" t="s">
        <v>30</v>
      </c>
      <c r="AS8" s="288" t="s">
        <v>31</v>
      </c>
      <c r="AT8" s="288" t="s">
        <v>30</v>
      </c>
      <c r="AU8" s="288" t="s">
        <v>31</v>
      </c>
      <c r="AV8" s="288" t="s">
        <v>30</v>
      </c>
      <c r="AW8" s="288" t="s">
        <v>31</v>
      </c>
    </row>
    <row r="9" spans="1:49" s="292" customFormat="1" ht="8.25" customHeight="1">
      <c r="A9" s="291">
        <v>1</v>
      </c>
      <c r="B9" s="291">
        <v>2</v>
      </c>
      <c r="C9" s="291">
        <v>3</v>
      </c>
      <c r="D9" s="291">
        <v>4</v>
      </c>
      <c r="E9" s="291">
        <v>5</v>
      </c>
      <c r="F9" s="291">
        <v>6</v>
      </c>
      <c r="G9" s="291">
        <v>7</v>
      </c>
      <c r="H9" s="291">
        <v>8</v>
      </c>
      <c r="I9" s="291">
        <v>9</v>
      </c>
      <c r="J9" s="291">
        <v>10</v>
      </c>
      <c r="K9" s="291">
        <v>11</v>
      </c>
      <c r="L9" s="291">
        <v>12</v>
      </c>
      <c r="M9" s="291">
        <v>13</v>
      </c>
      <c r="N9" s="291">
        <v>14</v>
      </c>
      <c r="O9" s="291">
        <v>15</v>
      </c>
      <c r="P9" s="291">
        <v>16</v>
      </c>
      <c r="Q9" s="291">
        <v>17</v>
      </c>
      <c r="R9" s="291">
        <v>18</v>
      </c>
      <c r="S9" s="291">
        <v>19</v>
      </c>
      <c r="T9" s="291">
        <v>20</v>
      </c>
      <c r="U9" s="291">
        <v>21</v>
      </c>
      <c r="V9" s="291">
        <v>22</v>
      </c>
      <c r="W9" s="291">
        <v>23</v>
      </c>
      <c r="X9" s="291">
        <v>24</v>
      </c>
      <c r="Y9" s="291">
        <v>25</v>
      </c>
      <c r="Z9" s="291">
        <v>26</v>
      </c>
      <c r="AA9" s="291">
        <v>27</v>
      </c>
      <c r="AB9" s="291">
        <v>28</v>
      </c>
      <c r="AC9" s="291">
        <v>29</v>
      </c>
      <c r="AD9" s="291">
        <v>30</v>
      </c>
      <c r="AE9" s="291">
        <v>31</v>
      </c>
      <c r="AF9" s="291">
        <v>32</v>
      </c>
      <c r="AG9" s="291">
        <v>33</v>
      </c>
      <c r="AH9" s="291">
        <v>34</v>
      </c>
      <c r="AI9" s="291">
        <v>35</v>
      </c>
      <c r="AJ9" s="291">
        <v>36</v>
      </c>
      <c r="AK9" s="291">
        <v>37</v>
      </c>
      <c r="AL9" s="291">
        <v>38</v>
      </c>
      <c r="AM9" s="291">
        <v>39</v>
      </c>
      <c r="AN9" s="291">
        <v>40</v>
      </c>
      <c r="AO9" s="291">
        <v>41</v>
      </c>
      <c r="AP9" s="291">
        <v>42</v>
      </c>
      <c r="AQ9" s="291">
        <v>43</v>
      </c>
      <c r="AR9" s="291">
        <v>44</v>
      </c>
      <c r="AS9" s="291">
        <v>45</v>
      </c>
      <c r="AT9" s="291">
        <v>46</v>
      </c>
      <c r="AU9" s="291">
        <v>47</v>
      </c>
      <c r="AV9" s="291">
        <v>48</v>
      </c>
      <c r="AW9" s="291">
        <v>49</v>
      </c>
    </row>
    <row r="10" spans="1:49" s="300" customFormat="1" ht="12" customHeight="1">
      <c r="A10" s="63" t="str">
        <f t="array" ref="A10">IF(C10&lt;&gt;0,SUM(($C10:C$16&lt;&gt;0)*1),"")</f>
        <v/>
      </c>
      <c r="B10" s="293"/>
      <c r="C10" s="294"/>
      <c r="D10" s="293"/>
      <c r="E10" s="295" t="s">
        <v>200</v>
      </c>
      <c r="F10" s="296"/>
      <c r="G10" s="297"/>
      <c r="H10" s="297"/>
      <c r="I10" s="298"/>
      <c r="J10" s="299">
        <f ca="1">'04-06'!J42</f>
        <v>3160190000</v>
      </c>
      <c r="K10" s="299">
        <f ca="1">'04-06'!K42</f>
        <v>0</v>
      </c>
      <c r="L10" s="299">
        <f ca="1">'04-06'!L42</f>
        <v>168021</v>
      </c>
      <c r="M10" s="299">
        <f ca="1">'04-06'!M42</f>
        <v>0</v>
      </c>
      <c r="N10" s="299">
        <f ca="1">'04-06'!N42</f>
        <v>0</v>
      </c>
      <c r="O10" s="299">
        <f ca="1">'04-06'!O42</f>
        <v>0</v>
      </c>
      <c r="P10" s="299">
        <f ca="1">'04-06'!P42</f>
        <v>0</v>
      </c>
      <c r="Q10" s="299">
        <f ca="1">'04-06'!Q42</f>
        <v>0</v>
      </c>
      <c r="R10" s="299">
        <f ca="1">'04-06'!R42</f>
        <v>0</v>
      </c>
      <c r="S10" s="299">
        <f ca="1">'04-06'!S42</f>
        <v>0</v>
      </c>
      <c r="T10" s="299">
        <f ca="1">'04-06'!T42</f>
        <v>800000000</v>
      </c>
      <c r="U10" s="299">
        <f ca="1">'04-06'!U42</f>
        <v>0</v>
      </c>
      <c r="V10" s="299">
        <f ca="1">'04-06'!V42</f>
        <v>0</v>
      </c>
      <c r="W10" s="299">
        <f ca="1">'04-06'!W42</f>
        <v>0</v>
      </c>
      <c r="X10" s="299">
        <f ca="1">'04-06'!X42</f>
        <v>0</v>
      </c>
      <c r="Y10" s="299">
        <f ca="1">'04-06'!Y42</f>
        <v>0</v>
      </c>
      <c r="Z10" s="299">
        <f ca="1">'04-06'!Z42</f>
        <v>0</v>
      </c>
      <c r="AA10" s="299">
        <f ca="1">'04-06'!AA42</f>
        <v>0</v>
      </c>
      <c r="AB10" s="299">
        <f ca="1">'04-06'!AB42</f>
        <v>0</v>
      </c>
      <c r="AC10" s="299">
        <f ca="1">'04-06'!AC42</f>
        <v>0</v>
      </c>
      <c r="AD10" s="299">
        <f ca="1">'04-06'!AD42</f>
        <v>0</v>
      </c>
      <c r="AE10" s="299">
        <f ca="1">'04-06'!AE42</f>
        <v>4000000000</v>
      </c>
      <c r="AF10" s="299">
        <f ca="1">'04-06'!AF42</f>
        <v>5210000</v>
      </c>
      <c r="AG10" s="299">
        <f ca="1">'04-06'!AG42</f>
        <v>0</v>
      </c>
      <c r="AH10" s="299">
        <f ca="1">'04-06'!AH42</f>
        <v>34431979</v>
      </c>
      <c r="AI10" s="299">
        <f ca="1">'04-06'!AI42</f>
        <v>0</v>
      </c>
      <c r="AJ10" s="299">
        <f ca="1">'04-06'!AJ42</f>
        <v>0</v>
      </c>
      <c r="AK10" s="299">
        <f ca="1">'04-06'!AK42</f>
        <v>0</v>
      </c>
      <c r="AL10" s="299">
        <f ca="1">'04-06'!AL42</f>
        <v>0</v>
      </c>
      <c r="AM10" s="299">
        <f ca="1">'04-06'!AM42</f>
        <v>0</v>
      </c>
      <c r="AN10" s="299">
        <f ca="1">'04-06'!AN42</f>
        <v>0</v>
      </c>
      <c r="AO10" s="299">
        <f ca="1">'04-06'!AO42</f>
        <v>0</v>
      </c>
      <c r="AP10" s="299">
        <f ca="1">'04-06'!AP42</f>
        <v>0</v>
      </c>
      <c r="AQ10" s="299">
        <f ca="1">'04-06'!AQ42</f>
        <v>0</v>
      </c>
      <c r="AR10" s="299">
        <f ca="1">'04-06'!AR42</f>
        <v>0</v>
      </c>
      <c r="AS10" s="299">
        <f ca="1">'04-06'!AS42</f>
        <v>0</v>
      </c>
      <c r="AT10" s="299">
        <f ca="1">'04-06'!AT42</f>
        <v>0</v>
      </c>
      <c r="AU10" s="299">
        <f ca="1">'04-06'!AU42</f>
        <v>0</v>
      </c>
      <c r="AV10" s="299">
        <f ca="1">'04-06'!AV42</f>
        <v>0</v>
      </c>
      <c r="AW10" s="299">
        <f ca="1">'04-06'!AW42</f>
        <v>0</v>
      </c>
    </row>
    <row r="11" spans="1:49" s="300" customFormat="1" ht="12" customHeight="1">
      <c r="A11" s="63">
        <f t="array" aca="1" ref="A11" ca="1">IF(C11&lt;&gt;0,SUM(($C$11:C11&lt;&gt;0)*1),"")</f>
        <v>1</v>
      </c>
      <c r="B11" s="301">
        <f ca="1">IF(ROWS($1:1)&gt;COUNT(Dong8),"",OFFSET(TH!C$1,SMALL(Dong8,ROWS($1:1)),))</f>
        <v>40740</v>
      </c>
      <c r="C11" s="301" t="str">
        <f ca="1">IF(ROWS($1:1)&gt;COUNT(Dong8),"",OFFSET(TH!D$1,SMALL(Dong8,ROWS($1:1)),))</f>
        <v>GBN</v>
      </c>
      <c r="D11" s="301">
        <f ca="1">IF(ROWS($1:1)&gt;COUNT(Dong8),"",OFFSET(TH!E$1,SMALL(Dong8,ROWS($1:1)),))</f>
        <v>40740</v>
      </c>
      <c r="E11" s="351" t="str">
        <f ca="1">IF(ROWS($1:1)&gt;COUNT(Dong8),"",OFFSET(TH!F$1,SMALL(Dong8,ROWS($1:1)),))</f>
        <v>Phí NH</v>
      </c>
      <c r="F11" s="352">
        <f ca="1">IF(ROWS($1:1)&gt;COUNT(Dong8),"",OFFSET(TH!I$1,SMALL(Dong8,ROWS($1:1)),))</f>
        <v>5500</v>
      </c>
      <c r="G11" s="354" t="str">
        <f ca="1">IF(ROWS($1:1)&gt;COUNT(Dong8),"",OFFSET(TH!J$1,SMALL(Dong8,ROWS($1:1)),))</f>
        <v>642</v>
      </c>
      <c r="H11" s="354" t="str">
        <f ca="1">IF(ROWS($1:1)&gt;COUNT(Dong8),"",OFFSET(TH!K$1,SMALL(Dong8,ROWS($1:1)),))</f>
        <v>1121</v>
      </c>
      <c r="I11" s="63">
        <f t="shared" ref="I11:I26" ca="1" si="0">A11</f>
        <v>1</v>
      </c>
      <c r="J11" s="303">
        <f t="shared" ref="J11:J26" ca="1" si="1">IF($G11="1111",$F11,0)</f>
        <v>0</v>
      </c>
      <c r="K11" s="303">
        <f t="shared" ref="K11:K26" ca="1" si="2">IF($H11="1111",$F11,0)</f>
        <v>0</v>
      </c>
      <c r="L11" s="303">
        <f t="shared" ref="L11:L26" ca="1" si="3">IF($G11="1121",$F11,0)</f>
        <v>0</v>
      </c>
      <c r="M11" s="303">
        <f t="shared" ref="M11:M26" ca="1" si="4">IF($H11="1121",$F11,0)</f>
        <v>5500</v>
      </c>
      <c r="N11" s="303">
        <f t="shared" ref="N11:N26" ca="1" si="5">IF($G11="1331",$F11,0)</f>
        <v>0</v>
      </c>
      <c r="O11" s="303">
        <f t="shared" ref="O11:O26" ca="1" si="6">IF($H11="1331",$F11,0)</f>
        <v>0</v>
      </c>
      <c r="P11" s="303">
        <f t="shared" ref="P11:P26" ca="1" si="7">IF($G11="1388",$F11,0)</f>
        <v>0</v>
      </c>
      <c r="Q11" s="303">
        <f t="shared" ref="Q11:Q26" ca="1" si="8">IF($H11="1388",$F11,0)</f>
        <v>0</v>
      </c>
      <c r="R11" s="303">
        <f ca="1">IF($G11="2412",$F11,0)</f>
        <v>0</v>
      </c>
      <c r="S11" s="303">
        <f ca="1">IF($H11="2412",$F11,0)</f>
        <v>0</v>
      </c>
      <c r="T11" s="303">
        <f t="shared" ref="T11:T26" ca="1" si="9">IF($G11="331",$F11,0)</f>
        <v>0</v>
      </c>
      <c r="U11" s="303">
        <f t="shared" ref="U11:U26" ca="1" si="10">IF($H11="331",$F11,0)</f>
        <v>0</v>
      </c>
      <c r="V11" s="303">
        <f t="shared" ref="V11:V26" ca="1" si="11">IF($G11="3334",$F11,0)</f>
        <v>0</v>
      </c>
      <c r="W11" s="303">
        <f t="shared" ref="W11:W26" ca="1" si="12">IF($H11="3334",$F11,0)</f>
        <v>0</v>
      </c>
      <c r="X11" s="303">
        <f t="shared" ref="X11:X26" ca="1" si="13">IF($G11="33382",$F11,0)</f>
        <v>0</v>
      </c>
      <c r="Y11" s="303">
        <f t="shared" ref="Y11:Y26" ca="1" si="14">IF($H11="33382",$F11,0)</f>
        <v>0</v>
      </c>
      <c r="Z11" s="303">
        <f t="shared" ref="Z11:Z26" ca="1" si="15">IF($G11="3388",$F11,0)</f>
        <v>0</v>
      </c>
      <c r="AA11" s="303">
        <f t="shared" ref="AA11:AA26" ca="1" si="16">IF($H11="3388",$F11,0)</f>
        <v>0</v>
      </c>
      <c r="AB11" s="303">
        <f t="shared" ref="AB11:AB26" ca="1" si="17">IF($G11="3411",$F11,0)</f>
        <v>0</v>
      </c>
      <c r="AC11" s="303">
        <f t="shared" ref="AC11:AC26" ca="1" si="18">IF($H11="3411",$F11,0)</f>
        <v>0</v>
      </c>
      <c r="AD11" s="303">
        <f t="shared" ref="AD11:AD26" ca="1" si="19">IF($G11="4111",$F11,0)</f>
        <v>0</v>
      </c>
      <c r="AE11" s="303">
        <f t="shared" ref="AE11:AE26" ca="1" si="20">IF($H11="4111",$F11,0)</f>
        <v>0</v>
      </c>
      <c r="AF11" s="303">
        <f t="shared" ref="AF11:AF26" ca="1" si="21">IF($G11="4211",$F11,0)</f>
        <v>0</v>
      </c>
      <c r="AG11" s="303">
        <f t="shared" ref="AG11:AG26" ca="1" si="22">IF($H11="4211",$F11,0)</f>
        <v>0</v>
      </c>
      <c r="AH11" s="303">
        <f t="shared" ref="AH11:AH26" ca="1" si="23">IF($G11="4212",$F11,0)</f>
        <v>0</v>
      </c>
      <c r="AI11" s="303">
        <f t="shared" ref="AI11:AI26" ca="1" si="24">IF($H11="4212",$F11,0)</f>
        <v>0</v>
      </c>
      <c r="AJ11" s="303">
        <f t="shared" ref="AJ11:AJ26" ca="1" si="25">IF($G11="515",$F11,0)</f>
        <v>0</v>
      </c>
      <c r="AK11" s="303">
        <f t="shared" ref="AK11:AK26" ca="1" si="26">IF($H11="515",$F11,0)</f>
        <v>0</v>
      </c>
      <c r="AL11" s="303">
        <f t="shared" ref="AL11:AL26" ca="1" si="27">IF($G11="635",$F11,0)</f>
        <v>0</v>
      </c>
      <c r="AM11" s="303">
        <f t="shared" ref="AM11:AM26" ca="1" si="28">IF($H11="635",$F11,0)</f>
        <v>0</v>
      </c>
      <c r="AN11" s="303">
        <f t="shared" ref="AN11:AN26" ca="1" si="29">IF($G11="642",$F11,0)</f>
        <v>5500</v>
      </c>
      <c r="AO11" s="303">
        <f t="shared" ref="AO11:AO26" ca="1" si="30">IF($H11="642",$F11,0)</f>
        <v>0</v>
      </c>
      <c r="AP11" s="303">
        <f t="shared" ref="AP11:AP26" ca="1" si="31">IF($G11="711",$F11,0)</f>
        <v>0</v>
      </c>
      <c r="AQ11" s="303">
        <f t="shared" ref="AQ11:AQ26" ca="1" si="32">IF($H11="711",$F11,0)</f>
        <v>0</v>
      </c>
      <c r="AR11" s="303">
        <f t="shared" ref="AR11:AR26" ca="1" si="33">IF($G11="811",$F11,0)</f>
        <v>0</v>
      </c>
      <c r="AS11" s="303">
        <f t="shared" ref="AS11:AS26" ca="1" si="34">IF($H11="811",$F11,0)</f>
        <v>0</v>
      </c>
      <c r="AT11" s="303">
        <f t="shared" ref="AT11:AT26" ca="1" si="35">IF($G11="821",$F11,0)</f>
        <v>0</v>
      </c>
      <c r="AU11" s="303">
        <f t="shared" ref="AU11:AU26" ca="1" si="36">IF($H11="821",$F11,0)</f>
        <v>0</v>
      </c>
      <c r="AV11" s="303">
        <f t="shared" ref="AV11:AV26" ca="1" si="37">IF($G11="911",$F11,0)</f>
        <v>0</v>
      </c>
      <c r="AW11" s="303">
        <f t="shared" ref="AW11:AW26" ca="1" si="38">IF($H11="911",$F11,0)</f>
        <v>0</v>
      </c>
    </row>
    <row r="12" spans="1:49" s="300" customFormat="1" ht="12" customHeight="1">
      <c r="A12" s="63">
        <f t="array" aca="1" ref="A12" ca="1">IF(C12&lt;&gt;0,SUM(($C$11:C12&lt;&gt;0)*1),"")</f>
        <v>2</v>
      </c>
      <c r="B12" s="301">
        <f ca="1">IF(ROWS($1:2)&gt;COUNT(Dong8),"",OFFSET(TH!C$1,SMALL(Dong8,ROWS($1:2)),))</f>
        <v>40742</v>
      </c>
      <c r="C12" s="301" t="str">
        <f ca="1">IF(ROWS($1:2)&gt;COUNT(Dong8),"",OFFSET(TH!D$1,SMALL(Dong8,ROWS($1:2)),))</f>
        <v>GBN</v>
      </c>
      <c r="D12" s="301">
        <f ca="1">IF(ROWS($1:2)&gt;COUNT(Dong8),"",OFFSET(TH!E$1,SMALL(Dong8,ROWS($1:2)),))</f>
        <v>40742</v>
      </c>
      <c r="E12" s="351" t="str">
        <f ca="1">IF(ROWS($1:2)&gt;COUNT(Dong8),"",OFFSET(TH!F$1,SMALL(Dong8,ROWS($1:2)),))</f>
        <v>Phí NH</v>
      </c>
      <c r="F12" s="352">
        <f ca="1">IF(ROWS($1:2)&gt;COUNT(Dong8),"",OFFSET(TH!I$1,SMALL(Dong8,ROWS($1:2)),))</f>
        <v>5500</v>
      </c>
      <c r="G12" s="354" t="str">
        <f ca="1">IF(ROWS($1:2)&gt;COUNT(Dong8),"",OFFSET(TH!J$1,SMALL(Dong8,ROWS($1:2)),))</f>
        <v>642</v>
      </c>
      <c r="H12" s="354" t="str">
        <f ca="1">IF(ROWS($1:2)&gt;COUNT(Dong8),"",OFFSET(TH!K$1,SMALL(Dong8,ROWS($1:2)),))</f>
        <v>1121</v>
      </c>
      <c r="I12" s="63">
        <f t="shared" ca="1" si="0"/>
        <v>2</v>
      </c>
      <c r="J12" s="303">
        <f t="shared" ca="1" si="1"/>
        <v>0</v>
      </c>
      <c r="K12" s="303">
        <f t="shared" ca="1" si="2"/>
        <v>0</v>
      </c>
      <c r="L12" s="303">
        <f t="shared" ca="1" si="3"/>
        <v>0</v>
      </c>
      <c r="M12" s="303">
        <f t="shared" ca="1" si="4"/>
        <v>5500</v>
      </c>
      <c r="N12" s="303">
        <f t="shared" ca="1" si="5"/>
        <v>0</v>
      </c>
      <c r="O12" s="303">
        <f t="shared" ca="1" si="6"/>
        <v>0</v>
      </c>
      <c r="P12" s="303">
        <f t="shared" ca="1" si="7"/>
        <v>0</v>
      </c>
      <c r="Q12" s="303">
        <f t="shared" ca="1" si="8"/>
        <v>0</v>
      </c>
      <c r="R12" s="303">
        <f t="shared" ref="R12:R26" ca="1" si="39">IF($G12="2412",$F12,0)</f>
        <v>0</v>
      </c>
      <c r="S12" s="303">
        <f t="shared" ref="S12:S26" ca="1" si="40">IF($H12="2412",$F12,0)</f>
        <v>0</v>
      </c>
      <c r="T12" s="303">
        <f t="shared" ca="1" si="9"/>
        <v>0</v>
      </c>
      <c r="U12" s="303">
        <f t="shared" ca="1" si="10"/>
        <v>0</v>
      </c>
      <c r="V12" s="303">
        <f t="shared" ca="1" si="11"/>
        <v>0</v>
      </c>
      <c r="W12" s="303">
        <f t="shared" ca="1" si="12"/>
        <v>0</v>
      </c>
      <c r="X12" s="303">
        <f t="shared" ca="1" si="13"/>
        <v>0</v>
      </c>
      <c r="Y12" s="303">
        <f t="shared" ca="1" si="14"/>
        <v>0</v>
      </c>
      <c r="Z12" s="303">
        <f t="shared" ca="1" si="15"/>
        <v>0</v>
      </c>
      <c r="AA12" s="303">
        <f t="shared" ca="1" si="16"/>
        <v>0</v>
      </c>
      <c r="AB12" s="303">
        <f t="shared" ca="1" si="17"/>
        <v>0</v>
      </c>
      <c r="AC12" s="303">
        <f t="shared" ca="1" si="18"/>
        <v>0</v>
      </c>
      <c r="AD12" s="303">
        <f t="shared" ca="1" si="19"/>
        <v>0</v>
      </c>
      <c r="AE12" s="303">
        <f t="shared" ca="1" si="20"/>
        <v>0</v>
      </c>
      <c r="AF12" s="303">
        <f t="shared" ca="1" si="21"/>
        <v>0</v>
      </c>
      <c r="AG12" s="303">
        <f t="shared" ca="1" si="22"/>
        <v>0</v>
      </c>
      <c r="AH12" s="303">
        <f t="shared" ca="1" si="23"/>
        <v>0</v>
      </c>
      <c r="AI12" s="303">
        <f t="shared" ca="1" si="24"/>
        <v>0</v>
      </c>
      <c r="AJ12" s="303">
        <f t="shared" ca="1" si="25"/>
        <v>0</v>
      </c>
      <c r="AK12" s="303">
        <f t="shared" ca="1" si="26"/>
        <v>0</v>
      </c>
      <c r="AL12" s="303">
        <f t="shared" ca="1" si="27"/>
        <v>0</v>
      </c>
      <c r="AM12" s="303">
        <f t="shared" ca="1" si="28"/>
        <v>0</v>
      </c>
      <c r="AN12" s="303">
        <f t="shared" ca="1" si="29"/>
        <v>5500</v>
      </c>
      <c r="AO12" s="303">
        <f t="shared" ca="1" si="30"/>
        <v>0</v>
      </c>
      <c r="AP12" s="303">
        <f t="shared" ca="1" si="31"/>
        <v>0</v>
      </c>
      <c r="AQ12" s="303">
        <f t="shared" ca="1" si="32"/>
        <v>0</v>
      </c>
      <c r="AR12" s="303">
        <f t="shared" ca="1" si="33"/>
        <v>0</v>
      </c>
      <c r="AS12" s="303">
        <f t="shared" ca="1" si="34"/>
        <v>0</v>
      </c>
      <c r="AT12" s="303">
        <f t="shared" ca="1" si="35"/>
        <v>0</v>
      </c>
      <c r="AU12" s="303">
        <f t="shared" ca="1" si="36"/>
        <v>0</v>
      </c>
      <c r="AV12" s="303">
        <f t="shared" ca="1" si="37"/>
        <v>0</v>
      </c>
      <c r="AW12" s="303">
        <f t="shared" ca="1" si="38"/>
        <v>0</v>
      </c>
    </row>
    <row r="13" spans="1:49" s="300" customFormat="1" ht="12" customHeight="1">
      <c r="A13" s="63">
        <f t="array" aca="1" ref="A13" ca="1">IF(C13&lt;&gt;0,SUM(($C$11:C13&lt;&gt;0)*1),"")</f>
        <v>3</v>
      </c>
      <c r="B13" s="301">
        <f ca="1">IF(ROWS($1:3)&gt;COUNT(Dong8),"",OFFSET(TH!C$1,SMALL(Dong8,ROWS($1:3)),))</f>
        <v>40771</v>
      </c>
      <c r="C13" s="301" t="str">
        <f ca="1">IF(ROWS($1:3)&gt;COUNT(Dong8),"",OFFSET(TH!D$1,SMALL(Dong8,ROWS($1:3)),))</f>
        <v>GBN</v>
      </c>
      <c r="D13" s="301">
        <f ca="1">IF(ROWS($1:3)&gt;COUNT(Dong8),"",OFFSET(TH!E$1,SMALL(Dong8,ROWS($1:3)),))</f>
        <v>40771</v>
      </c>
      <c r="E13" s="351" t="str">
        <f ca="1">IF(ROWS($1:3)&gt;COUNT(Dong8),"",OFFSET(TH!F$1,SMALL(Dong8,ROWS($1:3)),))</f>
        <v>Phí NH</v>
      </c>
      <c r="F13" s="352">
        <f ca="1">IF(ROWS($1:3)&gt;COUNT(Dong8),"",OFFSET(TH!I$1,SMALL(Dong8,ROWS($1:3)),))</f>
        <v>5500</v>
      </c>
      <c r="G13" s="354" t="str">
        <f ca="1">IF(ROWS($1:3)&gt;COUNT(Dong8),"",OFFSET(TH!J$1,SMALL(Dong8,ROWS($1:3)),))</f>
        <v>642</v>
      </c>
      <c r="H13" s="354" t="str">
        <f ca="1">IF(ROWS($1:3)&gt;COUNT(Dong8),"",OFFSET(TH!K$1,SMALL(Dong8,ROWS($1:3)),))</f>
        <v>1121</v>
      </c>
      <c r="I13" s="63">
        <f t="shared" ca="1" si="0"/>
        <v>3</v>
      </c>
      <c r="J13" s="303">
        <f t="shared" ca="1" si="1"/>
        <v>0</v>
      </c>
      <c r="K13" s="303">
        <f t="shared" ca="1" si="2"/>
        <v>0</v>
      </c>
      <c r="L13" s="303">
        <f t="shared" ca="1" si="3"/>
        <v>0</v>
      </c>
      <c r="M13" s="303">
        <f t="shared" ca="1" si="4"/>
        <v>5500</v>
      </c>
      <c r="N13" s="303">
        <f t="shared" ca="1" si="5"/>
        <v>0</v>
      </c>
      <c r="O13" s="303">
        <f t="shared" ca="1" si="6"/>
        <v>0</v>
      </c>
      <c r="P13" s="303">
        <f t="shared" ca="1" si="7"/>
        <v>0</v>
      </c>
      <c r="Q13" s="303">
        <f t="shared" ca="1" si="8"/>
        <v>0</v>
      </c>
      <c r="R13" s="303">
        <f t="shared" ca="1" si="39"/>
        <v>0</v>
      </c>
      <c r="S13" s="303">
        <f t="shared" ca="1" si="40"/>
        <v>0</v>
      </c>
      <c r="T13" s="303">
        <f t="shared" ca="1" si="9"/>
        <v>0</v>
      </c>
      <c r="U13" s="303">
        <f t="shared" ca="1" si="10"/>
        <v>0</v>
      </c>
      <c r="V13" s="303">
        <f t="shared" ca="1" si="11"/>
        <v>0</v>
      </c>
      <c r="W13" s="303">
        <f t="shared" ca="1" si="12"/>
        <v>0</v>
      </c>
      <c r="X13" s="303">
        <f t="shared" ca="1" si="13"/>
        <v>0</v>
      </c>
      <c r="Y13" s="303">
        <f t="shared" ca="1" si="14"/>
        <v>0</v>
      </c>
      <c r="Z13" s="303">
        <f t="shared" ca="1" si="15"/>
        <v>0</v>
      </c>
      <c r="AA13" s="303">
        <f t="shared" ca="1" si="16"/>
        <v>0</v>
      </c>
      <c r="AB13" s="303">
        <f t="shared" ca="1" si="17"/>
        <v>0</v>
      </c>
      <c r="AC13" s="303">
        <f t="shared" ca="1" si="18"/>
        <v>0</v>
      </c>
      <c r="AD13" s="303">
        <f t="shared" ca="1" si="19"/>
        <v>0</v>
      </c>
      <c r="AE13" s="303">
        <f t="shared" ca="1" si="20"/>
        <v>0</v>
      </c>
      <c r="AF13" s="303">
        <f t="shared" ca="1" si="21"/>
        <v>0</v>
      </c>
      <c r="AG13" s="303">
        <f t="shared" ca="1" si="22"/>
        <v>0</v>
      </c>
      <c r="AH13" s="303">
        <f t="shared" ca="1" si="23"/>
        <v>0</v>
      </c>
      <c r="AI13" s="303">
        <f t="shared" ca="1" si="24"/>
        <v>0</v>
      </c>
      <c r="AJ13" s="303">
        <f t="shared" ca="1" si="25"/>
        <v>0</v>
      </c>
      <c r="AK13" s="303">
        <f t="shared" ca="1" si="26"/>
        <v>0</v>
      </c>
      <c r="AL13" s="303">
        <f t="shared" ca="1" si="27"/>
        <v>0</v>
      </c>
      <c r="AM13" s="303">
        <f t="shared" ca="1" si="28"/>
        <v>0</v>
      </c>
      <c r="AN13" s="303">
        <f t="shared" ca="1" si="29"/>
        <v>5500</v>
      </c>
      <c r="AO13" s="303">
        <f t="shared" ca="1" si="30"/>
        <v>0</v>
      </c>
      <c r="AP13" s="303">
        <f t="shared" ca="1" si="31"/>
        <v>0</v>
      </c>
      <c r="AQ13" s="303">
        <f t="shared" ca="1" si="32"/>
        <v>0</v>
      </c>
      <c r="AR13" s="303">
        <f t="shared" ca="1" si="33"/>
        <v>0</v>
      </c>
      <c r="AS13" s="303">
        <f t="shared" ca="1" si="34"/>
        <v>0</v>
      </c>
      <c r="AT13" s="303">
        <f t="shared" ca="1" si="35"/>
        <v>0</v>
      </c>
      <c r="AU13" s="303">
        <f t="shared" ca="1" si="36"/>
        <v>0</v>
      </c>
      <c r="AV13" s="303">
        <f t="shared" ca="1" si="37"/>
        <v>0</v>
      </c>
      <c r="AW13" s="303">
        <f t="shared" ca="1" si="38"/>
        <v>0</v>
      </c>
    </row>
    <row r="14" spans="1:49" s="300" customFormat="1" ht="12" customHeight="1">
      <c r="A14" s="63">
        <f t="array" aca="1" ref="A14" ca="1">IF(C14&lt;&gt;0,SUM(($C$11:C14&lt;&gt;0)*1),"")</f>
        <v>4</v>
      </c>
      <c r="B14" s="301">
        <f ca="1">IF(ROWS($1:4)&gt;COUNT(Dong8),"",OFFSET(TH!C$1,SMALL(Dong8,ROWS($1:4)),))</f>
        <v>40772</v>
      </c>
      <c r="C14" s="301" t="str">
        <f ca="1">IF(ROWS($1:4)&gt;COUNT(Dong8),"",OFFSET(TH!D$1,SMALL(Dong8,ROWS($1:4)),))</f>
        <v>GBN</v>
      </c>
      <c r="D14" s="301">
        <f ca="1">IF(ROWS($1:4)&gt;COUNT(Dong8),"",OFFSET(TH!E$1,SMALL(Dong8,ROWS($1:4)),))</f>
        <v>40772</v>
      </c>
      <c r="E14" s="351" t="str">
        <f ca="1">IF(ROWS($1:4)&gt;COUNT(Dong8),"",OFFSET(TH!F$1,SMALL(Dong8,ROWS($1:4)),))</f>
        <v>Phí NH</v>
      </c>
      <c r="F14" s="352">
        <f ca="1">IF(ROWS($1:4)&gt;COUNT(Dong8),"",OFFSET(TH!I$1,SMALL(Dong8,ROWS($1:4)),))</f>
        <v>5500</v>
      </c>
      <c r="G14" s="354" t="str">
        <f ca="1">IF(ROWS($1:4)&gt;COUNT(Dong8),"",OFFSET(TH!J$1,SMALL(Dong8,ROWS($1:4)),))</f>
        <v>642</v>
      </c>
      <c r="H14" s="354" t="str">
        <f ca="1">IF(ROWS($1:4)&gt;COUNT(Dong8),"",OFFSET(TH!K$1,SMALL(Dong8,ROWS($1:4)),))</f>
        <v>1121</v>
      </c>
      <c r="I14" s="63">
        <f t="shared" ca="1" si="0"/>
        <v>4</v>
      </c>
      <c r="J14" s="303">
        <f t="shared" ca="1" si="1"/>
        <v>0</v>
      </c>
      <c r="K14" s="303">
        <f t="shared" ca="1" si="2"/>
        <v>0</v>
      </c>
      <c r="L14" s="303">
        <f t="shared" ca="1" si="3"/>
        <v>0</v>
      </c>
      <c r="M14" s="303">
        <f t="shared" ca="1" si="4"/>
        <v>5500</v>
      </c>
      <c r="N14" s="303">
        <f t="shared" ca="1" si="5"/>
        <v>0</v>
      </c>
      <c r="O14" s="303">
        <f t="shared" ca="1" si="6"/>
        <v>0</v>
      </c>
      <c r="P14" s="303">
        <f t="shared" ca="1" si="7"/>
        <v>0</v>
      </c>
      <c r="Q14" s="303">
        <f t="shared" ca="1" si="8"/>
        <v>0</v>
      </c>
      <c r="R14" s="303">
        <f t="shared" ca="1" si="39"/>
        <v>0</v>
      </c>
      <c r="S14" s="303">
        <f t="shared" ca="1" si="40"/>
        <v>0</v>
      </c>
      <c r="T14" s="303">
        <f t="shared" ca="1" si="9"/>
        <v>0</v>
      </c>
      <c r="U14" s="303">
        <f t="shared" ca="1" si="10"/>
        <v>0</v>
      </c>
      <c r="V14" s="303">
        <f t="shared" ca="1" si="11"/>
        <v>0</v>
      </c>
      <c r="W14" s="303">
        <f t="shared" ca="1" si="12"/>
        <v>0</v>
      </c>
      <c r="X14" s="303">
        <f t="shared" ca="1" si="13"/>
        <v>0</v>
      </c>
      <c r="Y14" s="303">
        <f t="shared" ca="1" si="14"/>
        <v>0</v>
      </c>
      <c r="Z14" s="303">
        <f t="shared" ca="1" si="15"/>
        <v>0</v>
      </c>
      <c r="AA14" s="303">
        <f t="shared" ca="1" si="16"/>
        <v>0</v>
      </c>
      <c r="AB14" s="303">
        <f t="shared" ca="1" si="17"/>
        <v>0</v>
      </c>
      <c r="AC14" s="303">
        <f t="shared" ca="1" si="18"/>
        <v>0</v>
      </c>
      <c r="AD14" s="303">
        <f t="shared" ca="1" si="19"/>
        <v>0</v>
      </c>
      <c r="AE14" s="303">
        <f t="shared" ca="1" si="20"/>
        <v>0</v>
      </c>
      <c r="AF14" s="303">
        <f t="shared" ca="1" si="21"/>
        <v>0</v>
      </c>
      <c r="AG14" s="303">
        <f t="shared" ca="1" si="22"/>
        <v>0</v>
      </c>
      <c r="AH14" s="303">
        <f t="shared" ca="1" si="23"/>
        <v>0</v>
      </c>
      <c r="AI14" s="303">
        <f t="shared" ca="1" si="24"/>
        <v>0</v>
      </c>
      <c r="AJ14" s="303">
        <f t="shared" ca="1" si="25"/>
        <v>0</v>
      </c>
      <c r="AK14" s="303">
        <f t="shared" ca="1" si="26"/>
        <v>0</v>
      </c>
      <c r="AL14" s="303">
        <f t="shared" ca="1" si="27"/>
        <v>0</v>
      </c>
      <c r="AM14" s="303">
        <f t="shared" ca="1" si="28"/>
        <v>0</v>
      </c>
      <c r="AN14" s="303">
        <f t="shared" ca="1" si="29"/>
        <v>5500</v>
      </c>
      <c r="AO14" s="303">
        <f t="shared" ca="1" si="30"/>
        <v>0</v>
      </c>
      <c r="AP14" s="303">
        <f t="shared" ca="1" si="31"/>
        <v>0</v>
      </c>
      <c r="AQ14" s="303">
        <f t="shared" ca="1" si="32"/>
        <v>0</v>
      </c>
      <c r="AR14" s="303">
        <f t="shared" ca="1" si="33"/>
        <v>0</v>
      </c>
      <c r="AS14" s="303">
        <f t="shared" ca="1" si="34"/>
        <v>0</v>
      </c>
      <c r="AT14" s="303">
        <f t="shared" ca="1" si="35"/>
        <v>0</v>
      </c>
      <c r="AU14" s="303">
        <f t="shared" ca="1" si="36"/>
        <v>0</v>
      </c>
      <c r="AV14" s="303">
        <f t="shared" ca="1" si="37"/>
        <v>0</v>
      </c>
      <c r="AW14" s="303">
        <f t="shared" ca="1" si="38"/>
        <v>0</v>
      </c>
    </row>
    <row r="15" spans="1:49" s="300" customFormat="1" ht="12" customHeight="1">
      <c r="A15" s="63">
        <f t="array" aca="1" ref="A15" ca="1">IF(C15&lt;&gt;0,SUM(($C$11:C15&lt;&gt;0)*1),"")</f>
        <v>5</v>
      </c>
      <c r="B15" s="301">
        <f ca="1">IF(ROWS($1:5)&gt;COUNT(Dong8),"",OFFSET(TH!C$1,SMALL(Dong8,ROWS($1:5)),))</f>
        <v>40802</v>
      </c>
      <c r="C15" s="301" t="str">
        <f ca="1">IF(ROWS($1:5)&gt;COUNT(Dong8),"",OFFSET(TH!D$1,SMALL(Dong8,ROWS($1:5)),))</f>
        <v>GBN</v>
      </c>
      <c r="D15" s="301">
        <f ca="1">IF(ROWS($1:5)&gt;COUNT(Dong8),"",OFFSET(TH!E$1,SMALL(Dong8,ROWS($1:5)),))</f>
        <v>40802</v>
      </c>
      <c r="E15" s="351" t="str">
        <f ca="1">IF(ROWS($1:5)&gt;COUNT(Dong8),"",OFFSET(TH!F$1,SMALL(Dong8,ROWS($1:5)),))</f>
        <v>Phí duy trì DV SMS - 0982911262</v>
      </c>
      <c r="F15" s="352">
        <f ca="1">IF(ROWS($1:5)&gt;COUNT(Dong8),"",OFFSET(TH!I$1,SMALL(Dong8,ROWS($1:5)),))</f>
        <v>24000</v>
      </c>
      <c r="G15" s="354" t="str">
        <f ca="1">IF(ROWS($1:5)&gt;COUNT(Dong8),"",OFFSET(TH!J$1,SMALL(Dong8,ROWS($1:5)),))</f>
        <v>642</v>
      </c>
      <c r="H15" s="354" t="str">
        <f ca="1">IF(ROWS($1:5)&gt;COUNT(Dong8),"",OFFSET(TH!K$1,SMALL(Dong8,ROWS($1:5)),))</f>
        <v>1121</v>
      </c>
      <c r="I15" s="63">
        <f t="shared" ca="1" si="0"/>
        <v>5</v>
      </c>
      <c r="J15" s="303">
        <f t="shared" ca="1" si="1"/>
        <v>0</v>
      </c>
      <c r="K15" s="303">
        <f t="shared" ca="1" si="2"/>
        <v>0</v>
      </c>
      <c r="L15" s="303">
        <f t="shared" ca="1" si="3"/>
        <v>0</v>
      </c>
      <c r="M15" s="303">
        <f t="shared" ca="1" si="4"/>
        <v>24000</v>
      </c>
      <c r="N15" s="303">
        <f t="shared" ca="1" si="5"/>
        <v>0</v>
      </c>
      <c r="O15" s="303">
        <f t="shared" ca="1" si="6"/>
        <v>0</v>
      </c>
      <c r="P15" s="303">
        <f t="shared" ca="1" si="7"/>
        <v>0</v>
      </c>
      <c r="Q15" s="303">
        <f t="shared" ca="1" si="8"/>
        <v>0</v>
      </c>
      <c r="R15" s="303">
        <f t="shared" ca="1" si="39"/>
        <v>0</v>
      </c>
      <c r="S15" s="303">
        <f t="shared" ca="1" si="40"/>
        <v>0</v>
      </c>
      <c r="T15" s="303">
        <f t="shared" ca="1" si="9"/>
        <v>0</v>
      </c>
      <c r="U15" s="303">
        <f t="shared" ca="1" si="10"/>
        <v>0</v>
      </c>
      <c r="V15" s="303">
        <f t="shared" ca="1" si="11"/>
        <v>0</v>
      </c>
      <c r="W15" s="303">
        <f t="shared" ca="1" si="12"/>
        <v>0</v>
      </c>
      <c r="X15" s="303">
        <f t="shared" ca="1" si="13"/>
        <v>0</v>
      </c>
      <c r="Y15" s="303">
        <f t="shared" ca="1" si="14"/>
        <v>0</v>
      </c>
      <c r="Z15" s="303">
        <f t="shared" ca="1" si="15"/>
        <v>0</v>
      </c>
      <c r="AA15" s="303">
        <f t="shared" ca="1" si="16"/>
        <v>0</v>
      </c>
      <c r="AB15" s="303">
        <f t="shared" ca="1" si="17"/>
        <v>0</v>
      </c>
      <c r="AC15" s="303">
        <f t="shared" ca="1" si="18"/>
        <v>0</v>
      </c>
      <c r="AD15" s="303">
        <f t="shared" ca="1" si="19"/>
        <v>0</v>
      </c>
      <c r="AE15" s="303">
        <f t="shared" ca="1" si="20"/>
        <v>0</v>
      </c>
      <c r="AF15" s="303">
        <f t="shared" ca="1" si="21"/>
        <v>0</v>
      </c>
      <c r="AG15" s="303">
        <f t="shared" ca="1" si="22"/>
        <v>0</v>
      </c>
      <c r="AH15" s="303">
        <f t="shared" ca="1" si="23"/>
        <v>0</v>
      </c>
      <c r="AI15" s="303">
        <f t="shared" ca="1" si="24"/>
        <v>0</v>
      </c>
      <c r="AJ15" s="303">
        <f t="shared" ca="1" si="25"/>
        <v>0</v>
      </c>
      <c r="AK15" s="303">
        <f t="shared" ca="1" si="26"/>
        <v>0</v>
      </c>
      <c r="AL15" s="303">
        <f t="shared" ca="1" si="27"/>
        <v>0</v>
      </c>
      <c r="AM15" s="303">
        <f t="shared" ca="1" si="28"/>
        <v>0</v>
      </c>
      <c r="AN15" s="303">
        <f t="shared" ca="1" si="29"/>
        <v>24000</v>
      </c>
      <c r="AO15" s="303">
        <f t="shared" ca="1" si="30"/>
        <v>0</v>
      </c>
      <c r="AP15" s="303">
        <f t="shared" ca="1" si="31"/>
        <v>0</v>
      </c>
      <c r="AQ15" s="303">
        <f t="shared" ca="1" si="32"/>
        <v>0</v>
      </c>
      <c r="AR15" s="303">
        <f t="shared" ca="1" si="33"/>
        <v>0</v>
      </c>
      <c r="AS15" s="303">
        <f t="shared" ca="1" si="34"/>
        <v>0</v>
      </c>
      <c r="AT15" s="303">
        <f t="shared" ca="1" si="35"/>
        <v>0</v>
      </c>
      <c r="AU15" s="303">
        <f t="shared" ca="1" si="36"/>
        <v>0</v>
      </c>
      <c r="AV15" s="303">
        <f t="shared" ca="1" si="37"/>
        <v>0</v>
      </c>
      <c r="AW15" s="303">
        <f t="shared" ca="1" si="38"/>
        <v>0</v>
      </c>
    </row>
    <row r="16" spans="1:49" s="300" customFormat="1" ht="12" customHeight="1">
      <c r="A16" s="63">
        <f t="array" aca="1" ref="A16" ca="1">IF(C16&lt;&gt;0,SUM(($C$11:C16&lt;&gt;0)*1),"")</f>
        <v>6</v>
      </c>
      <c r="B16" s="301">
        <f ca="1">IF(ROWS($1:6)&gt;COUNT(Dong8),"",OFFSET(TH!C$1,SMALL(Dong8,ROWS($1:6)),))</f>
        <v>40802</v>
      </c>
      <c r="C16" s="301" t="str">
        <f ca="1">IF(ROWS($1:6)&gt;COUNT(Dong8),"",OFFSET(TH!D$1,SMALL(Dong8,ROWS($1:6)),))</f>
        <v>GBN</v>
      </c>
      <c r="D16" s="301">
        <f ca="1">IF(ROWS($1:6)&gt;COUNT(Dong8),"",OFFSET(TH!E$1,SMALL(Dong8,ROWS($1:6)),))</f>
        <v>40802</v>
      </c>
      <c r="E16" s="351" t="str">
        <f ca="1">IF(ROWS($1:6)&gt;COUNT(Dong8),"",OFFSET(TH!F$1,SMALL(Dong8,ROWS($1:6)),))</f>
        <v>GTGT Phí duy trì DV SMS</v>
      </c>
      <c r="F16" s="352">
        <f ca="1">IF(ROWS($1:6)&gt;COUNT(Dong8),"",OFFSET(TH!I$1,SMALL(Dong8,ROWS($1:6)),))</f>
        <v>2400</v>
      </c>
      <c r="G16" s="354" t="str">
        <f ca="1">IF(ROWS($1:6)&gt;COUNT(Dong8),"",OFFSET(TH!J$1,SMALL(Dong8,ROWS($1:6)),))</f>
        <v>642</v>
      </c>
      <c r="H16" s="354" t="str">
        <f ca="1">IF(ROWS($1:6)&gt;COUNT(Dong8),"",OFFSET(TH!K$1,SMALL(Dong8,ROWS($1:6)),))</f>
        <v>1121</v>
      </c>
      <c r="I16" s="63">
        <f t="shared" ca="1" si="0"/>
        <v>6</v>
      </c>
      <c r="J16" s="303">
        <f t="shared" ca="1" si="1"/>
        <v>0</v>
      </c>
      <c r="K16" s="303">
        <f t="shared" ca="1" si="2"/>
        <v>0</v>
      </c>
      <c r="L16" s="303">
        <f t="shared" ca="1" si="3"/>
        <v>0</v>
      </c>
      <c r="M16" s="303">
        <f t="shared" ca="1" si="4"/>
        <v>2400</v>
      </c>
      <c r="N16" s="303">
        <f t="shared" ca="1" si="5"/>
        <v>0</v>
      </c>
      <c r="O16" s="303">
        <f t="shared" ca="1" si="6"/>
        <v>0</v>
      </c>
      <c r="P16" s="303">
        <f t="shared" ca="1" si="7"/>
        <v>0</v>
      </c>
      <c r="Q16" s="303">
        <f t="shared" ca="1" si="8"/>
        <v>0</v>
      </c>
      <c r="R16" s="303">
        <f t="shared" ca="1" si="39"/>
        <v>0</v>
      </c>
      <c r="S16" s="303">
        <f t="shared" ca="1" si="40"/>
        <v>0</v>
      </c>
      <c r="T16" s="303">
        <f t="shared" ca="1" si="9"/>
        <v>0</v>
      </c>
      <c r="U16" s="303">
        <f t="shared" ca="1" si="10"/>
        <v>0</v>
      </c>
      <c r="V16" s="303">
        <f t="shared" ca="1" si="11"/>
        <v>0</v>
      </c>
      <c r="W16" s="303">
        <f t="shared" ca="1" si="12"/>
        <v>0</v>
      </c>
      <c r="X16" s="303">
        <f t="shared" ca="1" si="13"/>
        <v>0</v>
      </c>
      <c r="Y16" s="303">
        <f t="shared" ca="1" si="14"/>
        <v>0</v>
      </c>
      <c r="Z16" s="303">
        <f t="shared" ca="1" si="15"/>
        <v>0</v>
      </c>
      <c r="AA16" s="303">
        <f t="shared" ca="1" si="16"/>
        <v>0</v>
      </c>
      <c r="AB16" s="303">
        <f t="shared" ca="1" si="17"/>
        <v>0</v>
      </c>
      <c r="AC16" s="303">
        <f t="shared" ca="1" si="18"/>
        <v>0</v>
      </c>
      <c r="AD16" s="303">
        <f t="shared" ca="1" si="19"/>
        <v>0</v>
      </c>
      <c r="AE16" s="303">
        <f t="shared" ca="1" si="20"/>
        <v>0</v>
      </c>
      <c r="AF16" s="303">
        <f t="shared" ca="1" si="21"/>
        <v>0</v>
      </c>
      <c r="AG16" s="303">
        <f t="shared" ca="1" si="22"/>
        <v>0</v>
      </c>
      <c r="AH16" s="303">
        <f t="shared" ca="1" si="23"/>
        <v>0</v>
      </c>
      <c r="AI16" s="303">
        <f t="shared" ca="1" si="24"/>
        <v>0</v>
      </c>
      <c r="AJ16" s="303">
        <f t="shared" ca="1" si="25"/>
        <v>0</v>
      </c>
      <c r="AK16" s="303">
        <f t="shared" ca="1" si="26"/>
        <v>0</v>
      </c>
      <c r="AL16" s="303">
        <f t="shared" ca="1" si="27"/>
        <v>0</v>
      </c>
      <c r="AM16" s="303">
        <f t="shared" ca="1" si="28"/>
        <v>0</v>
      </c>
      <c r="AN16" s="303">
        <f t="shared" ca="1" si="29"/>
        <v>2400</v>
      </c>
      <c r="AO16" s="303">
        <f t="shared" ca="1" si="30"/>
        <v>0</v>
      </c>
      <c r="AP16" s="303">
        <f t="shared" ca="1" si="31"/>
        <v>0</v>
      </c>
      <c r="AQ16" s="303">
        <f t="shared" ca="1" si="32"/>
        <v>0</v>
      </c>
      <c r="AR16" s="303">
        <f t="shared" ca="1" si="33"/>
        <v>0</v>
      </c>
      <c r="AS16" s="303">
        <f t="shared" ca="1" si="34"/>
        <v>0</v>
      </c>
      <c r="AT16" s="303">
        <f t="shared" ca="1" si="35"/>
        <v>0</v>
      </c>
      <c r="AU16" s="303">
        <f t="shared" ca="1" si="36"/>
        <v>0</v>
      </c>
      <c r="AV16" s="303">
        <f t="shared" ca="1" si="37"/>
        <v>0</v>
      </c>
      <c r="AW16" s="303">
        <f t="shared" ca="1" si="38"/>
        <v>0</v>
      </c>
    </row>
    <row r="17" spans="1:49" s="300" customFormat="1" ht="12" customHeight="1">
      <c r="A17" s="63">
        <f t="array" aca="1" ref="A17" ca="1">IF(C17&lt;&gt;0,SUM(($C$11:C17&lt;&gt;0)*1),"")</f>
        <v>7</v>
      </c>
      <c r="B17" s="301">
        <f ca="1">IF(ROWS($1:7)&gt;COUNT(Dong8),"",OFFSET(TH!C$1,SMALL(Dong8,ROWS($1:7)),))</f>
        <v>40802</v>
      </c>
      <c r="C17" s="301" t="str">
        <f ca="1">IF(ROWS($1:7)&gt;COUNT(Dong8),"",OFFSET(TH!D$1,SMALL(Dong8,ROWS($1:7)),))</f>
        <v>GBN</v>
      </c>
      <c r="D17" s="301">
        <f ca="1">IF(ROWS($1:7)&gt;COUNT(Dong8),"",OFFSET(TH!E$1,SMALL(Dong8,ROWS($1:7)),))</f>
        <v>40802</v>
      </c>
      <c r="E17" s="351" t="str">
        <f ca="1">IF(ROWS($1:7)&gt;COUNT(Dong8),"",OFFSET(TH!F$1,SMALL(Dong8,ROWS($1:7)),))</f>
        <v>Phí duy trì DV SMS - 0913906967</v>
      </c>
      <c r="F17" s="352">
        <f ca="1">IF(ROWS($1:7)&gt;COUNT(Dong8),"",OFFSET(TH!I$1,SMALL(Dong8,ROWS($1:7)),))</f>
        <v>24000</v>
      </c>
      <c r="G17" s="354" t="str">
        <f ca="1">IF(ROWS($1:7)&gt;COUNT(Dong8),"",OFFSET(TH!J$1,SMALL(Dong8,ROWS($1:7)),))</f>
        <v>642</v>
      </c>
      <c r="H17" s="354" t="str">
        <f ca="1">IF(ROWS($1:7)&gt;COUNT(Dong8),"",OFFSET(TH!K$1,SMALL(Dong8,ROWS($1:7)),))</f>
        <v>1121</v>
      </c>
      <c r="I17" s="63">
        <f t="shared" ca="1" si="0"/>
        <v>7</v>
      </c>
      <c r="J17" s="303">
        <f t="shared" ca="1" si="1"/>
        <v>0</v>
      </c>
      <c r="K17" s="303">
        <f t="shared" ca="1" si="2"/>
        <v>0</v>
      </c>
      <c r="L17" s="303">
        <f t="shared" ca="1" si="3"/>
        <v>0</v>
      </c>
      <c r="M17" s="303">
        <f t="shared" ca="1" si="4"/>
        <v>24000</v>
      </c>
      <c r="N17" s="303">
        <f t="shared" ca="1" si="5"/>
        <v>0</v>
      </c>
      <c r="O17" s="303">
        <f t="shared" ca="1" si="6"/>
        <v>0</v>
      </c>
      <c r="P17" s="303">
        <f t="shared" ca="1" si="7"/>
        <v>0</v>
      </c>
      <c r="Q17" s="303">
        <f t="shared" ca="1" si="8"/>
        <v>0</v>
      </c>
      <c r="R17" s="303">
        <f t="shared" ca="1" si="39"/>
        <v>0</v>
      </c>
      <c r="S17" s="303">
        <f t="shared" ca="1" si="40"/>
        <v>0</v>
      </c>
      <c r="T17" s="303">
        <f t="shared" ca="1" si="9"/>
        <v>0</v>
      </c>
      <c r="U17" s="303">
        <f t="shared" ca="1" si="10"/>
        <v>0</v>
      </c>
      <c r="V17" s="303">
        <f t="shared" ca="1" si="11"/>
        <v>0</v>
      </c>
      <c r="W17" s="303">
        <f t="shared" ca="1" si="12"/>
        <v>0</v>
      </c>
      <c r="X17" s="303">
        <f t="shared" ca="1" si="13"/>
        <v>0</v>
      </c>
      <c r="Y17" s="303">
        <f t="shared" ca="1" si="14"/>
        <v>0</v>
      </c>
      <c r="Z17" s="303">
        <f t="shared" ca="1" si="15"/>
        <v>0</v>
      </c>
      <c r="AA17" s="303">
        <f t="shared" ca="1" si="16"/>
        <v>0</v>
      </c>
      <c r="AB17" s="303">
        <f t="shared" ca="1" si="17"/>
        <v>0</v>
      </c>
      <c r="AC17" s="303">
        <f t="shared" ca="1" si="18"/>
        <v>0</v>
      </c>
      <c r="AD17" s="303">
        <f t="shared" ca="1" si="19"/>
        <v>0</v>
      </c>
      <c r="AE17" s="303">
        <f t="shared" ca="1" si="20"/>
        <v>0</v>
      </c>
      <c r="AF17" s="303">
        <f t="shared" ca="1" si="21"/>
        <v>0</v>
      </c>
      <c r="AG17" s="303">
        <f t="shared" ca="1" si="22"/>
        <v>0</v>
      </c>
      <c r="AH17" s="303">
        <f t="shared" ca="1" si="23"/>
        <v>0</v>
      </c>
      <c r="AI17" s="303">
        <f t="shared" ca="1" si="24"/>
        <v>0</v>
      </c>
      <c r="AJ17" s="303">
        <f t="shared" ca="1" si="25"/>
        <v>0</v>
      </c>
      <c r="AK17" s="303">
        <f t="shared" ca="1" si="26"/>
        <v>0</v>
      </c>
      <c r="AL17" s="303">
        <f t="shared" ca="1" si="27"/>
        <v>0</v>
      </c>
      <c r="AM17" s="303">
        <f t="shared" ca="1" si="28"/>
        <v>0</v>
      </c>
      <c r="AN17" s="303">
        <f t="shared" ca="1" si="29"/>
        <v>24000</v>
      </c>
      <c r="AO17" s="303">
        <f t="shared" ca="1" si="30"/>
        <v>0</v>
      </c>
      <c r="AP17" s="303">
        <f t="shared" ca="1" si="31"/>
        <v>0</v>
      </c>
      <c r="AQ17" s="303">
        <f t="shared" ca="1" si="32"/>
        <v>0</v>
      </c>
      <c r="AR17" s="303">
        <f t="shared" ca="1" si="33"/>
        <v>0</v>
      </c>
      <c r="AS17" s="303">
        <f t="shared" ca="1" si="34"/>
        <v>0</v>
      </c>
      <c r="AT17" s="303">
        <f t="shared" ca="1" si="35"/>
        <v>0</v>
      </c>
      <c r="AU17" s="303">
        <f t="shared" ca="1" si="36"/>
        <v>0</v>
      </c>
      <c r="AV17" s="303">
        <f t="shared" ca="1" si="37"/>
        <v>0</v>
      </c>
      <c r="AW17" s="303">
        <f t="shared" ca="1" si="38"/>
        <v>0</v>
      </c>
    </row>
    <row r="18" spans="1:49" s="300" customFormat="1" ht="12" customHeight="1">
      <c r="A18" s="63">
        <f t="array" aca="1" ref="A18" ca="1">IF(C18&lt;&gt;0,SUM(($C$11:C18&lt;&gt;0)*1),"")</f>
        <v>8</v>
      </c>
      <c r="B18" s="301">
        <f ca="1">IF(ROWS($1:8)&gt;COUNT(Dong8),"",OFFSET(TH!C$1,SMALL(Dong8,ROWS($1:8)),))</f>
        <v>40802</v>
      </c>
      <c r="C18" s="301" t="str">
        <f ca="1">IF(ROWS($1:8)&gt;COUNT(Dong8),"",OFFSET(TH!D$1,SMALL(Dong8,ROWS($1:8)),))</f>
        <v>GBN</v>
      </c>
      <c r="D18" s="301">
        <f ca="1">IF(ROWS($1:8)&gt;COUNT(Dong8),"",OFFSET(TH!E$1,SMALL(Dong8,ROWS($1:8)),))</f>
        <v>40802</v>
      </c>
      <c r="E18" s="351" t="str">
        <f ca="1">IF(ROWS($1:8)&gt;COUNT(Dong8),"",OFFSET(TH!F$1,SMALL(Dong8,ROWS($1:8)),))</f>
        <v>GTGT Phí duy trì DV SMS</v>
      </c>
      <c r="F18" s="352">
        <f ca="1">IF(ROWS($1:8)&gt;COUNT(Dong8),"",OFFSET(TH!I$1,SMALL(Dong8,ROWS($1:8)),))</f>
        <v>2400</v>
      </c>
      <c r="G18" s="354" t="str">
        <f ca="1">IF(ROWS($1:8)&gt;COUNT(Dong8),"",OFFSET(TH!J$1,SMALL(Dong8,ROWS($1:8)),))</f>
        <v>642</v>
      </c>
      <c r="H18" s="354" t="str">
        <f ca="1">IF(ROWS($1:8)&gt;COUNT(Dong8),"",OFFSET(TH!K$1,SMALL(Dong8,ROWS($1:8)),))</f>
        <v>1121</v>
      </c>
      <c r="I18" s="63">
        <f t="shared" ca="1" si="0"/>
        <v>8</v>
      </c>
      <c r="J18" s="303">
        <f t="shared" ca="1" si="1"/>
        <v>0</v>
      </c>
      <c r="K18" s="303">
        <f t="shared" ca="1" si="2"/>
        <v>0</v>
      </c>
      <c r="L18" s="303">
        <f t="shared" ca="1" si="3"/>
        <v>0</v>
      </c>
      <c r="M18" s="303">
        <f t="shared" ca="1" si="4"/>
        <v>2400</v>
      </c>
      <c r="N18" s="303">
        <f t="shared" ca="1" si="5"/>
        <v>0</v>
      </c>
      <c r="O18" s="303">
        <f t="shared" ca="1" si="6"/>
        <v>0</v>
      </c>
      <c r="P18" s="303">
        <f t="shared" ca="1" si="7"/>
        <v>0</v>
      </c>
      <c r="Q18" s="303">
        <f t="shared" ca="1" si="8"/>
        <v>0</v>
      </c>
      <c r="R18" s="303">
        <f t="shared" ca="1" si="39"/>
        <v>0</v>
      </c>
      <c r="S18" s="303">
        <f t="shared" ca="1" si="40"/>
        <v>0</v>
      </c>
      <c r="T18" s="303">
        <f t="shared" ca="1" si="9"/>
        <v>0</v>
      </c>
      <c r="U18" s="303">
        <f t="shared" ca="1" si="10"/>
        <v>0</v>
      </c>
      <c r="V18" s="303">
        <f t="shared" ca="1" si="11"/>
        <v>0</v>
      </c>
      <c r="W18" s="303">
        <f t="shared" ca="1" si="12"/>
        <v>0</v>
      </c>
      <c r="X18" s="303">
        <f t="shared" ca="1" si="13"/>
        <v>0</v>
      </c>
      <c r="Y18" s="303">
        <f t="shared" ca="1" si="14"/>
        <v>0</v>
      </c>
      <c r="Z18" s="303">
        <f t="shared" ca="1" si="15"/>
        <v>0</v>
      </c>
      <c r="AA18" s="303">
        <f t="shared" ca="1" si="16"/>
        <v>0</v>
      </c>
      <c r="AB18" s="303">
        <f t="shared" ca="1" si="17"/>
        <v>0</v>
      </c>
      <c r="AC18" s="303">
        <f t="shared" ca="1" si="18"/>
        <v>0</v>
      </c>
      <c r="AD18" s="303">
        <f t="shared" ca="1" si="19"/>
        <v>0</v>
      </c>
      <c r="AE18" s="303">
        <f t="shared" ca="1" si="20"/>
        <v>0</v>
      </c>
      <c r="AF18" s="303">
        <f t="shared" ca="1" si="21"/>
        <v>0</v>
      </c>
      <c r="AG18" s="303">
        <f t="shared" ca="1" si="22"/>
        <v>0</v>
      </c>
      <c r="AH18" s="303">
        <f t="shared" ca="1" si="23"/>
        <v>0</v>
      </c>
      <c r="AI18" s="303">
        <f t="shared" ca="1" si="24"/>
        <v>0</v>
      </c>
      <c r="AJ18" s="303">
        <f t="shared" ca="1" si="25"/>
        <v>0</v>
      </c>
      <c r="AK18" s="303">
        <f t="shared" ca="1" si="26"/>
        <v>0</v>
      </c>
      <c r="AL18" s="303">
        <f t="shared" ca="1" si="27"/>
        <v>0</v>
      </c>
      <c r="AM18" s="303">
        <f t="shared" ca="1" si="28"/>
        <v>0</v>
      </c>
      <c r="AN18" s="303">
        <f t="shared" ca="1" si="29"/>
        <v>2400</v>
      </c>
      <c r="AO18" s="303">
        <f t="shared" ca="1" si="30"/>
        <v>0</v>
      </c>
      <c r="AP18" s="303">
        <f t="shared" ca="1" si="31"/>
        <v>0</v>
      </c>
      <c r="AQ18" s="303">
        <f t="shared" ca="1" si="32"/>
        <v>0</v>
      </c>
      <c r="AR18" s="303">
        <f t="shared" ca="1" si="33"/>
        <v>0</v>
      </c>
      <c r="AS18" s="303">
        <f t="shared" ca="1" si="34"/>
        <v>0</v>
      </c>
      <c r="AT18" s="303">
        <f t="shared" ca="1" si="35"/>
        <v>0</v>
      </c>
      <c r="AU18" s="303">
        <f t="shared" ca="1" si="36"/>
        <v>0</v>
      </c>
      <c r="AV18" s="303">
        <f t="shared" ca="1" si="37"/>
        <v>0</v>
      </c>
      <c r="AW18" s="303">
        <f t="shared" ca="1" si="38"/>
        <v>0</v>
      </c>
    </row>
    <row r="19" spans="1:49" s="300" customFormat="1" ht="12" customHeight="1">
      <c r="A19" s="63">
        <f t="array" aca="1" ref="A19" ca="1">IF(C19&lt;&gt;0,SUM(($C$11:C19&lt;&gt;0)*1),"")</f>
        <v>9</v>
      </c>
      <c r="B19" s="301">
        <f ca="1">IF(ROWS($1:9)&gt;COUNT(Dong8),"",OFFSET(TH!C$1,SMALL(Dong8,ROWS($1:9)),))</f>
        <v>40802</v>
      </c>
      <c r="C19" s="301" t="str">
        <f ca="1">IF(ROWS($1:9)&gt;COUNT(Dong8),"",OFFSET(TH!D$1,SMALL(Dong8,ROWS($1:9)),))</f>
        <v>GBN</v>
      </c>
      <c r="D19" s="301">
        <f ca="1">IF(ROWS($1:9)&gt;COUNT(Dong8),"",OFFSET(TH!E$1,SMALL(Dong8,ROWS($1:9)),))</f>
        <v>40802</v>
      </c>
      <c r="E19" s="351" t="str">
        <f ca="1">IF(ROWS($1:9)&gt;COUNT(Dong8),"",OFFSET(TH!F$1,SMALL(Dong8,ROWS($1:9)),))</f>
        <v>Phí duy trì DV SMS - 0903921945</v>
      </c>
      <c r="F19" s="352">
        <f ca="1">IF(ROWS($1:9)&gt;COUNT(Dong8),"",OFFSET(TH!I$1,SMALL(Dong8,ROWS($1:9)),))</f>
        <v>24000</v>
      </c>
      <c r="G19" s="354" t="str">
        <f ca="1">IF(ROWS($1:9)&gt;COUNT(Dong8),"",OFFSET(TH!J$1,SMALL(Dong8,ROWS($1:9)),))</f>
        <v>642</v>
      </c>
      <c r="H19" s="354" t="str">
        <f ca="1">IF(ROWS($1:9)&gt;COUNT(Dong8),"",OFFSET(TH!K$1,SMALL(Dong8,ROWS($1:9)),))</f>
        <v>1121</v>
      </c>
      <c r="I19" s="63">
        <f t="shared" ca="1" si="0"/>
        <v>9</v>
      </c>
      <c r="J19" s="303">
        <f t="shared" ca="1" si="1"/>
        <v>0</v>
      </c>
      <c r="K19" s="303">
        <f t="shared" ca="1" si="2"/>
        <v>0</v>
      </c>
      <c r="L19" s="303">
        <f t="shared" ca="1" si="3"/>
        <v>0</v>
      </c>
      <c r="M19" s="303">
        <f t="shared" ca="1" si="4"/>
        <v>24000</v>
      </c>
      <c r="N19" s="303">
        <f t="shared" ca="1" si="5"/>
        <v>0</v>
      </c>
      <c r="O19" s="303">
        <f t="shared" ca="1" si="6"/>
        <v>0</v>
      </c>
      <c r="P19" s="303">
        <f t="shared" ca="1" si="7"/>
        <v>0</v>
      </c>
      <c r="Q19" s="303">
        <f t="shared" ca="1" si="8"/>
        <v>0</v>
      </c>
      <c r="R19" s="303">
        <f t="shared" ca="1" si="39"/>
        <v>0</v>
      </c>
      <c r="S19" s="303">
        <f t="shared" ca="1" si="40"/>
        <v>0</v>
      </c>
      <c r="T19" s="303">
        <f t="shared" ca="1" si="9"/>
        <v>0</v>
      </c>
      <c r="U19" s="303">
        <f t="shared" ca="1" si="10"/>
        <v>0</v>
      </c>
      <c r="V19" s="303">
        <f t="shared" ca="1" si="11"/>
        <v>0</v>
      </c>
      <c r="W19" s="303">
        <f t="shared" ca="1" si="12"/>
        <v>0</v>
      </c>
      <c r="X19" s="303">
        <f t="shared" ca="1" si="13"/>
        <v>0</v>
      </c>
      <c r="Y19" s="303">
        <f t="shared" ca="1" si="14"/>
        <v>0</v>
      </c>
      <c r="Z19" s="303">
        <f t="shared" ca="1" si="15"/>
        <v>0</v>
      </c>
      <c r="AA19" s="303">
        <f t="shared" ca="1" si="16"/>
        <v>0</v>
      </c>
      <c r="AB19" s="303">
        <f t="shared" ca="1" si="17"/>
        <v>0</v>
      </c>
      <c r="AC19" s="303">
        <f t="shared" ca="1" si="18"/>
        <v>0</v>
      </c>
      <c r="AD19" s="303">
        <f t="shared" ca="1" si="19"/>
        <v>0</v>
      </c>
      <c r="AE19" s="303">
        <f t="shared" ca="1" si="20"/>
        <v>0</v>
      </c>
      <c r="AF19" s="303">
        <f t="shared" ca="1" si="21"/>
        <v>0</v>
      </c>
      <c r="AG19" s="303">
        <f t="shared" ca="1" si="22"/>
        <v>0</v>
      </c>
      <c r="AH19" s="303">
        <f t="shared" ca="1" si="23"/>
        <v>0</v>
      </c>
      <c r="AI19" s="303">
        <f t="shared" ca="1" si="24"/>
        <v>0</v>
      </c>
      <c r="AJ19" s="303">
        <f t="shared" ca="1" si="25"/>
        <v>0</v>
      </c>
      <c r="AK19" s="303">
        <f t="shared" ca="1" si="26"/>
        <v>0</v>
      </c>
      <c r="AL19" s="303">
        <f t="shared" ca="1" si="27"/>
        <v>0</v>
      </c>
      <c r="AM19" s="303">
        <f t="shared" ca="1" si="28"/>
        <v>0</v>
      </c>
      <c r="AN19" s="303">
        <f t="shared" ca="1" si="29"/>
        <v>24000</v>
      </c>
      <c r="AO19" s="303">
        <f t="shared" ca="1" si="30"/>
        <v>0</v>
      </c>
      <c r="AP19" s="303">
        <f t="shared" ca="1" si="31"/>
        <v>0</v>
      </c>
      <c r="AQ19" s="303">
        <f t="shared" ca="1" si="32"/>
        <v>0</v>
      </c>
      <c r="AR19" s="303">
        <f t="shared" ca="1" si="33"/>
        <v>0</v>
      </c>
      <c r="AS19" s="303">
        <f t="shared" ca="1" si="34"/>
        <v>0</v>
      </c>
      <c r="AT19" s="303">
        <f t="shared" ca="1" si="35"/>
        <v>0</v>
      </c>
      <c r="AU19" s="303">
        <f t="shared" ca="1" si="36"/>
        <v>0</v>
      </c>
      <c r="AV19" s="303">
        <f t="shared" ca="1" si="37"/>
        <v>0</v>
      </c>
      <c r="AW19" s="303">
        <f t="shared" ca="1" si="38"/>
        <v>0</v>
      </c>
    </row>
    <row r="20" spans="1:49" s="300" customFormat="1" ht="12" customHeight="1">
      <c r="A20" s="63">
        <f t="array" aca="1" ref="A20" ca="1">IF(C20&lt;&gt;0,SUM(($C$11:C20&lt;&gt;0)*1),"")</f>
        <v>10</v>
      </c>
      <c r="B20" s="301">
        <f ca="1">IF(ROWS($1:10)&gt;COUNT(Dong8),"",OFFSET(TH!C$1,SMALL(Dong8,ROWS($1:10)),))</f>
        <v>40802</v>
      </c>
      <c r="C20" s="301" t="str">
        <f ca="1">IF(ROWS($1:10)&gt;COUNT(Dong8),"",OFFSET(TH!D$1,SMALL(Dong8,ROWS($1:10)),))</f>
        <v>GBN</v>
      </c>
      <c r="D20" s="301">
        <f ca="1">IF(ROWS($1:10)&gt;COUNT(Dong8),"",OFFSET(TH!E$1,SMALL(Dong8,ROWS($1:10)),))</f>
        <v>40802</v>
      </c>
      <c r="E20" s="351" t="str">
        <f ca="1">IF(ROWS($1:10)&gt;COUNT(Dong8),"",OFFSET(TH!F$1,SMALL(Dong8,ROWS($1:10)),))</f>
        <v>GTGT Phí duy trì DV SMS</v>
      </c>
      <c r="F20" s="352">
        <f ca="1">IF(ROWS($1:10)&gt;COUNT(Dong8),"",OFFSET(TH!I$1,SMALL(Dong8,ROWS($1:10)),))</f>
        <v>2400</v>
      </c>
      <c r="G20" s="354" t="str">
        <f ca="1">IF(ROWS($1:10)&gt;COUNT(Dong8),"",OFFSET(TH!J$1,SMALL(Dong8,ROWS($1:10)),))</f>
        <v>642</v>
      </c>
      <c r="H20" s="354" t="str">
        <f ca="1">IF(ROWS($1:10)&gt;COUNT(Dong8),"",OFFSET(TH!K$1,SMALL(Dong8,ROWS($1:10)),))</f>
        <v>1121</v>
      </c>
      <c r="I20" s="63">
        <f t="shared" ca="1" si="0"/>
        <v>10</v>
      </c>
      <c r="J20" s="303">
        <f t="shared" ca="1" si="1"/>
        <v>0</v>
      </c>
      <c r="K20" s="303">
        <f t="shared" ca="1" si="2"/>
        <v>0</v>
      </c>
      <c r="L20" s="303">
        <f t="shared" ca="1" si="3"/>
        <v>0</v>
      </c>
      <c r="M20" s="303">
        <f t="shared" ca="1" si="4"/>
        <v>2400</v>
      </c>
      <c r="N20" s="303">
        <f t="shared" ca="1" si="5"/>
        <v>0</v>
      </c>
      <c r="O20" s="303">
        <f t="shared" ca="1" si="6"/>
        <v>0</v>
      </c>
      <c r="P20" s="303">
        <f t="shared" ca="1" si="7"/>
        <v>0</v>
      </c>
      <c r="Q20" s="303">
        <f t="shared" ca="1" si="8"/>
        <v>0</v>
      </c>
      <c r="R20" s="303">
        <f t="shared" ca="1" si="39"/>
        <v>0</v>
      </c>
      <c r="S20" s="303">
        <f t="shared" ca="1" si="40"/>
        <v>0</v>
      </c>
      <c r="T20" s="303">
        <f t="shared" ca="1" si="9"/>
        <v>0</v>
      </c>
      <c r="U20" s="303">
        <f t="shared" ca="1" si="10"/>
        <v>0</v>
      </c>
      <c r="V20" s="303">
        <f t="shared" ca="1" si="11"/>
        <v>0</v>
      </c>
      <c r="W20" s="303">
        <f t="shared" ca="1" si="12"/>
        <v>0</v>
      </c>
      <c r="X20" s="303">
        <f t="shared" ca="1" si="13"/>
        <v>0</v>
      </c>
      <c r="Y20" s="303">
        <f t="shared" ca="1" si="14"/>
        <v>0</v>
      </c>
      <c r="Z20" s="303">
        <f t="shared" ca="1" si="15"/>
        <v>0</v>
      </c>
      <c r="AA20" s="303">
        <f t="shared" ca="1" si="16"/>
        <v>0</v>
      </c>
      <c r="AB20" s="303">
        <f t="shared" ca="1" si="17"/>
        <v>0</v>
      </c>
      <c r="AC20" s="303">
        <f t="shared" ca="1" si="18"/>
        <v>0</v>
      </c>
      <c r="AD20" s="303">
        <f t="shared" ca="1" si="19"/>
        <v>0</v>
      </c>
      <c r="AE20" s="303">
        <f t="shared" ca="1" si="20"/>
        <v>0</v>
      </c>
      <c r="AF20" s="303">
        <f t="shared" ca="1" si="21"/>
        <v>0</v>
      </c>
      <c r="AG20" s="303">
        <f t="shared" ca="1" si="22"/>
        <v>0</v>
      </c>
      <c r="AH20" s="303">
        <f t="shared" ca="1" si="23"/>
        <v>0</v>
      </c>
      <c r="AI20" s="303">
        <f t="shared" ca="1" si="24"/>
        <v>0</v>
      </c>
      <c r="AJ20" s="303">
        <f t="shared" ca="1" si="25"/>
        <v>0</v>
      </c>
      <c r="AK20" s="303">
        <f t="shared" ca="1" si="26"/>
        <v>0</v>
      </c>
      <c r="AL20" s="303">
        <f t="shared" ca="1" si="27"/>
        <v>0</v>
      </c>
      <c r="AM20" s="303">
        <f t="shared" ca="1" si="28"/>
        <v>0</v>
      </c>
      <c r="AN20" s="303">
        <f t="shared" ca="1" si="29"/>
        <v>2400</v>
      </c>
      <c r="AO20" s="303">
        <f t="shared" ca="1" si="30"/>
        <v>0</v>
      </c>
      <c r="AP20" s="303">
        <f t="shared" ca="1" si="31"/>
        <v>0</v>
      </c>
      <c r="AQ20" s="303">
        <f t="shared" ca="1" si="32"/>
        <v>0</v>
      </c>
      <c r="AR20" s="303">
        <f t="shared" ca="1" si="33"/>
        <v>0</v>
      </c>
      <c r="AS20" s="303">
        <f t="shared" ca="1" si="34"/>
        <v>0</v>
      </c>
      <c r="AT20" s="303">
        <f t="shared" ca="1" si="35"/>
        <v>0</v>
      </c>
      <c r="AU20" s="303">
        <f t="shared" ca="1" si="36"/>
        <v>0</v>
      </c>
      <c r="AV20" s="303">
        <f t="shared" ca="1" si="37"/>
        <v>0</v>
      </c>
      <c r="AW20" s="303">
        <f t="shared" ca="1" si="38"/>
        <v>0</v>
      </c>
    </row>
    <row r="21" spans="1:49" s="300" customFormat="1" ht="12" customHeight="1">
      <c r="A21" s="63">
        <f t="array" aca="1" ref="A21" ca="1">IF(C21&lt;&gt;0,SUM(($C$11:C21&lt;&gt;0)*1),"")</f>
        <v>11</v>
      </c>
      <c r="B21" s="301">
        <f ca="1">IF(ROWS($1:11)&gt;COUNT(Dong8),"",OFFSET(TH!C$1,SMALL(Dong8,ROWS($1:11)),))</f>
        <v>40803</v>
      </c>
      <c r="C21" s="301" t="str">
        <f ca="1">IF(ROWS($1:11)&gt;COUNT(Dong8),"",OFFSET(TH!D$1,SMALL(Dong8,ROWS($1:11)),))</f>
        <v>GBN</v>
      </c>
      <c r="D21" s="301">
        <f ca="1">IF(ROWS($1:11)&gt;COUNT(Dong8),"",OFFSET(TH!E$1,SMALL(Dong8,ROWS($1:11)),))</f>
        <v>40803</v>
      </c>
      <c r="E21" s="351" t="str">
        <f ca="1">IF(ROWS($1:11)&gt;COUNT(Dong8),"",OFFSET(TH!F$1,SMALL(Dong8,ROWS($1:11)),))</f>
        <v>Phí duy trì DV SMS</v>
      </c>
      <c r="F21" s="352">
        <f ca="1">IF(ROWS($1:11)&gt;COUNT(Dong8),"",OFFSET(TH!I$1,SMALL(Dong8,ROWS($1:11)),))</f>
        <v>24000</v>
      </c>
      <c r="G21" s="354" t="str">
        <f ca="1">IF(ROWS($1:11)&gt;COUNT(Dong8),"",OFFSET(TH!J$1,SMALL(Dong8,ROWS($1:11)),))</f>
        <v>642</v>
      </c>
      <c r="H21" s="354" t="str">
        <f ca="1">IF(ROWS($1:11)&gt;COUNT(Dong8),"",OFFSET(TH!K$1,SMALL(Dong8,ROWS($1:11)),))</f>
        <v>1121</v>
      </c>
      <c r="I21" s="63">
        <f t="shared" ca="1" si="0"/>
        <v>11</v>
      </c>
      <c r="J21" s="303">
        <f t="shared" ca="1" si="1"/>
        <v>0</v>
      </c>
      <c r="K21" s="303">
        <f t="shared" ca="1" si="2"/>
        <v>0</v>
      </c>
      <c r="L21" s="303">
        <f t="shared" ca="1" si="3"/>
        <v>0</v>
      </c>
      <c r="M21" s="303">
        <f t="shared" ca="1" si="4"/>
        <v>24000</v>
      </c>
      <c r="N21" s="303">
        <f t="shared" ca="1" si="5"/>
        <v>0</v>
      </c>
      <c r="O21" s="303">
        <f t="shared" ca="1" si="6"/>
        <v>0</v>
      </c>
      <c r="P21" s="303">
        <f t="shared" ca="1" si="7"/>
        <v>0</v>
      </c>
      <c r="Q21" s="303">
        <f t="shared" ca="1" si="8"/>
        <v>0</v>
      </c>
      <c r="R21" s="303">
        <f t="shared" ca="1" si="39"/>
        <v>0</v>
      </c>
      <c r="S21" s="303">
        <f t="shared" ca="1" si="40"/>
        <v>0</v>
      </c>
      <c r="T21" s="303">
        <f t="shared" ca="1" si="9"/>
        <v>0</v>
      </c>
      <c r="U21" s="303">
        <f t="shared" ca="1" si="10"/>
        <v>0</v>
      </c>
      <c r="V21" s="303">
        <f t="shared" ca="1" si="11"/>
        <v>0</v>
      </c>
      <c r="W21" s="303">
        <f t="shared" ca="1" si="12"/>
        <v>0</v>
      </c>
      <c r="X21" s="303">
        <f t="shared" ca="1" si="13"/>
        <v>0</v>
      </c>
      <c r="Y21" s="303">
        <f t="shared" ca="1" si="14"/>
        <v>0</v>
      </c>
      <c r="Z21" s="303">
        <f t="shared" ca="1" si="15"/>
        <v>0</v>
      </c>
      <c r="AA21" s="303">
        <f t="shared" ca="1" si="16"/>
        <v>0</v>
      </c>
      <c r="AB21" s="303">
        <f t="shared" ca="1" si="17"/>
        <v>0</v>
      </c>
      <c r="AC21" s="303">
        <f t="shared" ca="1" si="18"/>
        <v>0</v>
      </c>
      <c r="AD21" s="303">
        <f t="shared" ca="1" si="19"/>
        <v>0</v>
      </c>
      <c r="AE21" s="303">
        <f t="shared" ca="1" si="20"/>
        <v>0</v>
      </c>
      <c r="AF21" s="303">
        <f t="shared" ca="1" si="21"/>
        <v>0</v>
      </c>
      <c r="AG21" s="303">
        <f t="shared" ca="1" si="22"/>
        <v>0</v>
      </c>
      <c r="AH21" s="303">
        <f t="shared" ca="1" si="23"/>
        <v>0</v>
      </c>
      <c r="AI21" s="303">
        <f t="shared" ca="1" si="24"/>
        <v>0</v>
      </c>
      <c r="AJ21" s="303">
        <f t="shared" ca="1" si="25"/>
        <v>0</v>
      </c>
      <c r="AK21" s="303">
        <f t="shared" ca="1" si="26"/>
        <v>0</v>
      </c>
      <c r="AL21" s="303">
        <f t="shared" ca="1" si="27"/>
        <v>0</v>
      </c>
      <c r="AM21" s="303">
        <f t="shared" ca="1" si="28"/>
        <v>0</v>
      </c>
      <c r="AN21" s="303">
        <f t="shared" ca="1" si="29"/>
        <v>24000</v>
      </c>
      <c r="AO21" s="303">
        <f t="shared" ca="1" si="30"/>
        <v>0</v>
      </c>
      <c r="AP21" s="303">
        <f t="shared" ca="1" si="31"/>
        <v>0</v>
      </c>
      <c r="AQ21" s="303">
        <f t="shared" ca="1" si="32"/>
        <v>0</v>
      </c>
      <c r="AR21" s="303">
        <f t="shared" ca="1" si="33"/>
        <v>0</v>
      </c>
      <c r="AS21" s="303">
        <f t="shared" ca="1" si="34"/>
        <v>0</v>
      </c>
      <c r="AT21" s="303">
        <f t="shared" ca="1" si="35"/>
        <v>0</v>
      </c>
      <c r="AU21" s="303">
        <f t="shared" ca="1" si="36"/>
        <v>0</v>
      </c>
      <c r="AV21" s="303">
        <f t="shared" ca="1" si="37"/>
        <v>0</v>
      </c>
      <c r="AW21" s="303">
        <f t="shared" ca="1" si="38"/>
        <v>0</v>
      </c>
    </row>
    <row r="22" spans="1:49" s="300" customFormat="1" ht="12" customHeight="1">
      <c r="A22" s="63">
        <f t="array" aca="1" ref="A22" ca="1">IF(C22&lt;&gt;0,SUM(($C$11:C22&lt;&gt;0)*1),"")</f>
        <v>12</v>
      </c>
      <c r="B22" s="301">
        <f ca="1">IF(ROWS($1:12)&gt;COUNT(Dong8),"",OFFSET(TH!C$1,SMALL(Dong8,ROWS($1:12)),))</f>
        <v>40803</v>
      </c>
      <c r="C22" s="301" t="str">
        <f ca="1">IF(ROWS($1:12)&gt;COUNT(Dong8),"",OFFSET(TH!D$1,SMALL(Dong8,ROWS($1:12)),))</f>
        <v>GBN</v>
      </c>
      <c r="D22" s="301">
        <f ca="1">IF(ROWS($1:12)&gt;COUNT(Dong8),"",OFFSET(TH!E$1,SMALL(Dong8,ROWS($1:12)),))</f>
        <v>40803</v>
      </c>
      <c r="E22" s="351" t="str">
        <f ca="1">IF(ROWS($1:12)&gt;COUNT(Dong8),"",OFFSET(TH!F$1,SMALL(Dong8,ROWS($1:12)),))</f>
        <v>GTGT Phí duy trì DV SMS</v>
      </c>
      <c r="F22" s="352">
        <f ca="1">IF(ROWS($1:12)&gt;COUNT(Dong8),"",OFFSET(TH!I$1,SMALL(Dong8,ROWS($1:12)),))</f>
        <v>2400</v>
      </c>
      <c r="G22" s="354" t="str">
        <f ca="1">IF(ROWS($1:12)&gt;COUNT(Dong8),"",OFFSET(TH!J$1,SMALL(Dong8,ROWS($1:12)),))</f>
        <v>642</v>
      </c>
      <c r="H22" s="354" t="str">
        <f ca="1">IF(ROWS($1:12)&gt;COUNT(Dong8),"",OFFSET(TH!K$1,SMALL(Dong8,ROWS($1:12)),))</f>
        <v>1121</v>
      </c>
      <c r="I22" s="63">
        <f t="shared" ca="1" si="0"/>
        <v>12</v>
      </c>
      <c r="J22" s="303">
        <f t="shared" ca="1" si="1"/>
        <v>0</v>
      </c>
      <c r="K22" s="303">
        <f t="shared" ca="1" si="2"/>
        <v>0</v>
      </c>
      <c r="L22" s="303">
        <f t="shared" ca="1" si="3"/>
        <v>0</v>
      </c>
      <c r="M22" s="303">
        <f t="shared" ca="1" si="4"/>
        <v>2400</v>
      </c>
      <c r="N22" s="303">
        <f t="shared" ca="1" si="5"/>
        <v>0</v>
      </c>
      <c r="O22" s="303">
        <f t="shared" ca="1" si="6"/>
        <v>0</v>
      </c>
      <c r="P22" s="303">
        <f t="shared" ca="1" si="7"/>
        <v>0</v>
      </c>
      <c r="Q22" s="303">
        <f t="shared" ca="1" si="8"/>
        <v>0</v>
      </c>
      <c r="R22" s="303">
        <f t="shared" ca="1" si="39"/>
        <v>0</v>
      </c>
      <c r="S22" s="303">
        <f t="shared" ca="1" si="40"/>
        <v>0</v>
      </c>
      <c r="T22" s="303">
        <f t="shared" ca="1" si="9"/>
        <v>0</v>
      </c>
      <c r="U22" s="303">
        <f t="shared" ca="1" si="10"/>
        <v>0</v>
      </c>
      <c r="V22" s="303">
        <f t="shared" ca="1" si="11"/>
        <v>0</v>
      </c>
      <c r="W22" s="303">
        <f t="shared" ca="1" si="12"/>
        <v>0</v>
      </c>
      <c r="X22" s="303">
        <f t="shared" ca="1" si="13"/>
        <v>0</v>
      </c>
      <c r="Y22" s="303">
        <f t="shared" ca="1" si="14"/>
        <v>0</v>
      </c>
      <c r="Z22" s="303">
        <f t="shared" ca="1" si="15"/>
        <v>0</v>
      </c>
      <c r="AA22" s="303">
        <f t="shared" ca="1" si="16"/>
        <v>0</v>
      </c>
      <c r="AB22" s="303">
        <f t="shared" ca="1" si="17"/>
        <v>0</v>
      </c>
      <c r="AC22" s="303">
        <f t="shared" ca="1" si="18"/>
        <v>0</v>
      </c>
      <c r="AD22" s="303">
        <f t="shared" ca="1" si="19"/>
        <v>0</v>
      </c>
      <c r="AE22" s="303">
        <f t="shared" ca="1" si="20"/>
        <v>0</v>
      </c>
      <c r="AF22" s="303">
        <f t="shared" ca="1" si="21"/>
        <v>0</v>
      </c>
      <c r="AG22" s="303">
        <f t="shared" ca="1" si="22"/>
        <v>0</v>
      </c>
      <c r="AH22" s="303">
        <f t="shared" ca="1" si="23"/>
        <v>0</v>
      </c>
      <c r="AI22" s="303">
        <f t="shared" ca="1" si="24"/>
        <v>0</v>
      </c>
      <c r="AJ22" s="303">
        <f t="shared" ca="1" si="25"/>
        <v>0</v>
      </c>
      <c r="AK22" s="303">
        <f t="shared" ca="1" si="26"/>
        <v>0</v>
      </c>
      <c r="AL22" s="303">
        <f t="shared" ca="1" si="27"/>
        <v>0</v>
      </c>
      <c r="AM22" s="303">
        <f t="shared" ca="1" si="28"/>
        <v>0</v>
      </c>
      <c r="AN22" s="303">
        <f t="shared" ca="1" si="29"/>
        <v>2400</v>
      </c>
      <c r="AO22" s="303">
        <f t="shared" ca="1" si="30"/>
        <v>0</v>
      </c>
      <c r="AP22" s="303">
        <f t="shared" ca="1" si="31"/>
        <v>0</v>
      </c>
      <c r="AQ22" s="303">
        <f t="shared" ca="1" si="32"/>
        <v>0</v>
      </c>
      <c r="AR22" s="303">
        <f t="shared" ca="1" si="33"/>
        <v>0</v>
      </c>
      <c r="AS22" s="303">
        <f t="shared" ca="1" si="34"/>
        <v>0</v>
      </c>
      <c r="AT22" s="303">
        <f t="shared" ca="1" si="35"/>
        <v>0</v>
      </c>
      <c r="AU22" s="303">
        <f t="shared" ca="1" si="36"/>
        <v>0</v>
      </c>
      <c r="AV22" s="303">
        <f t="shared" ca="1" si="37"/>
        <v>0</v>
      </c>
      <c r="AW22" s="303">
        <f t="shared" ca="1" si="38"/>
        <v>0</v>
      </c>
    </row>
    <row r="23" spans="1:49" s="300" customFormat="1" ht="12" customHeight="1">
      <c r="A23" s="63">
        <f t="array" aca="1" ref="A23" ca="1">IF(C23&lt;&gt;0,SUM(($C$11:C23&lt;&gt;0)*1),"")</f>
        <v>13</v>
      </c>
      <c r="B23" s="301">
        <f ca="1">IF(ROWS($1:13)&gt;COUNT(Dong8),"",OFFSET(TH!C$1,SMALL(Dong8,ROWS($1:13)),))</f>
        <v>40803</v>
      </c>
      <c r="C23" s="301" t="str">
        <f ca="1">IF(ROWS($1:13)&gt;COUNT(Dong8),"",OFFSET(TH!D$1,SMALL(Dong8,ROWS($1:13)),))</f>
        <v>GBN</v>
      </c>
      <c r="D23" s="301">
        <f ca="1">IF(ROWS($1:13)&gt;COUNT(Dong8),"",OFFSET(TH!E$1,SMALL(Dong8,ROWS($1:13)),))</f>
        <v>40803</v>
      </c>
      <c r="E23" s="351" t="str">
        <f ca="1">IF(ROWS($1:13)&gt;COUNT(Dong8),"",OFFSET(TH!F$1,SMALL(Dong8,ROWS($1:13)),))</f>
        <v>Phí kiểm đếm</v>
      </c>
      <c r="F23" s="352">
        <f ca="1">IF(ROWS($1:13)&gt;COUNT(Dong8),"",OFFSET(TH!I$1,SMALL(Dong8,ROWS($1:13)),))</f>
        <v>12746</v>
      </c>
      <c r="G23" s="354" t="str">
        <f ca="1">IF(ROWS($1:13)&gt;COUNT(Dong8),"",OFFSET(TH!J$1,SMALL(Dong8,ROWS($1:13)),))</f>
        <v>642</v>
      </c>
      <c r="H23" s="354" t="str">
        <f ca="1">IF(ROWS($1:13)&gt;COUNT(Dong8),"",OFFSET(TH!K$1,SMALL(Dong8,ROWS($1:13)),))</f>
        <v>1121</v>
      </c>
      <c r="I23" s="63">
        <f t="shared" ca="1" si="0"/>
        <v>13</v>
      </c>
      <c r="J23" s="303">
        <f t="shared" ca="1" si="1"/>
        <v>0</v>
      </c>
      <c r="K23" s="303">
        <f t="shared" ca="1" si="2"/>
        <v>0</v>
      </c>
      <c r="L23" s="303">
        <f t="shared" ca="1" si="3"/>
        <v>0</v>
      </c>
      <c r="M23" s="303">
        <f t="shared" ca="1" si="4"/>
        <v>12746</v>
      </c>
      <c r="N23" s="303">
        <f t="shared" ca="1" si="5"/>
        <v>0</v>
      </c>
      <c r="O23" s="303">
        <f t="shared" ca="1" si="6"/>
        <v>0</v>
      </c>
      <c r="P23" s="303">
        <f t="shared" ca="1" si="7"/>
        <v>0</v>
      </c>
      <c r="Q23" s="303">
        <f t="shared" ca="1" si="8"/>
        <v>0</v>
      </c>
      <c r="R23" s="303">
        <f t="shared" ca="1" si="39"/>
        <v>0</v>
      </c>
      <c r="S23" s="303">
        <f t="shared" ca="1" si="40"/>
        <v>0</v>
      </c>
      <c r="T23" s="303">
        <f t="shared" ca="1" si="9"/>
        <v>0</v>
      </c>
      <c r="U23" s="303">
        <f t="shared" ca="1" si="10"/>
        <v>0</v>
      </c>
      <c r="V23" s="303">
        <f t="shared" ca="1" si="11"/>
        <v>0</v>
      </c>
      <c r="W23" s="303">
        <f t="shared" ca="1" si="12"/>
        <v>0</v>
      </c>
      <c r="X23" s="303">
        <f t="shared" ca="1" si="13"/>
        <v>0</v>
      </c>
      <c r="Y23" s="303">
        <f t="shared" ca="1" si="14"/>
        <v>0</v>
      </c>
      <c r="Z23" s="303">
        <f t="shared" ca="1" si="15"/>
        <v>0</v>
      </c>
      <c r="AA23" s="303">
        <f t="shared" ca="1" si="16"/>
        <v>0</v>
      </c>
      <c r="AB23" s="303">
        <f t="shared" ca="1" si="17"/>
        <v>0</v>
      </c>
      <c r="AC23" s="303">
        <f t="shared" ca="1" si="18"/>
        <v>0</v>
      </c>
      <c r="AD23" s="303">
        <f t="shared" ca="1" si="19"/>
        <v>0</v>
      </c>
      <c r="AE23" s="303">
        <f t="shared" ca="1" si="20"/>
        <v>0</v>
      </c>
      <c r="AF23" s="303">
        <f t="shared" ca="1" si="21"/>
        <v>0</v>
      </c>
      <c r="AG23" s="303">
        <f t="shared" ca="1" si="22"/>
        <v>0</v>
      </c>
      <c r="AH23" s="303">
        <f t="shared" ca="1" si="23"/>
        <v>0</v>
      </c>
      <c r="AI23" s="303">
        <f t="shared" ca="1" si="24"/>
        <v>0</v>
      </c>
      <c r="AJ23" s="303">
        <f t="shared" ca="1" si="25"/>
        <v>0</v>
      </c>
      <c r="AK23" s="303">
        <f t="shared" ca="1" si="26"/>
        <v>0</v>
      </c>
      <c r="AL23" s="303">
        <f t="shared" ca="1" si="27"/>
        <v>0</v>
      </c>
      <c r="AM23" s="303">
        <f t="shared" ca="1" si="28"/>
        <v>0</v>
      </c>
      <c r="AN23" s="303">
        <f t="shared" ca="1" si="29"/>
        <v>12746</v>
      </c>
      <c r="AO23" s="303">
        <f t="shared" ca="1" si="30"/>
        <v>0</v>
      </c>
      <c r="AP23" s="303">
        <f t="shared" ca="1" si="31"/>
        <v>0</v>
      </c>
      <c r="AQ23" s="303">
        <f t="shared" ca="1" si="32"/>
        <v>0</v>
      </c>
      <c r="AR23" s="303">
        <f t="shared" ca="1" si="33"/>
        <v>0</v>
      </c>
      <c r="AS23" s="303">
        <f t="shared" ca="1" si="34"/>
        <v>0</v>
      </c>
      <c r="AT23" s="303">
        <f t="shared" ca="1" si="35"/>
        <v>0</v>
      </c>
      <c r="AU23" s="303">
        <f t="shared" ca="1" si="36"/>
        <v>0</v>
      </c>
      <c r="AV23" s="303">
        <f t="shared" ca="1" si="37"/>
        <v>0</v>
      </c>
      <c r="AW23" s="303">
        <f t="shared" ca="1" si="38"/>
        <v>0</v>
      </c>
    </row>
    <row r="24" spans="1:49" s="300" customFormat="1" ht="12" customHeight="1">
      <c r="A24" s="63">
        <f t="array" aca="1" ref="A24" ca="1">IF(C24&lt;&gt;0,SUM(($C$11:C24&lt;&gt;0)*1),"")</f>
        <v>14</v>
      </c>
      <c r="B24" s="301">
        <f ca="1">IF(ROWS($1:14)&gt;COUNT(Dong8),"",OFFSET(TH!C$1,SMALL(Dong8,ROWS($1:14)),))</f>
        <v>40803</v>
      </c>
      <c r="C24" s="301" t="str">
        <f ca="1">IF(ROWS($1:14)&gt;COUNT(Dong8),"",OFFSET(TH!D$1,SMALL(Dong8,ROWS($1:14)),))</f>
        <v>GBN</v>
      </c>
      <c r="D24" s="301">
        <f ca="1">IF(ROWS($1:14)&gt;COUNT(Dong8),"",OFFSET(TH!E$1,SMALL(Dong8,ROWS($1:14)),))</f>
        <v>40803</v>
      </c>
      <c r="E24" s="351" t="str">
        <f ca="1">IF(ROWS($1:14)&gt;COUNT(Dong8),"",OFFSET(TH!F$1,SMALL(Dong8,ROWS($1:14)),))</f>
        <v>GTGT Phí kiểm đếm</v>
      </c>
      <c r="F24" s="352">
        <f ca="1">IF(ROWS($1:14)&gt;COUNT(Dong8),"",OFFSET(TH!I$1,SMALL(Dong8,ROWS($1:14)),))</f>
        <v>1275</v>
      </c>
      <c r="G24" s="354" t="str">
        <f ca="1">IF(ROWS($1:14)&gt;COUNT(Dong8),"",OFFSET(TH!J$1,SMALL(Dong8,ROWS($1:14)),))</f>
        <v>642</v>
      </c>
      <c r="H24" s="354" t="str">
        <f ca="1">IF(ROWS($1:14)&gt;COUNT(Dong8),"",OFFSET(TH!K$1,SMALL(Dong8,ROWS($1:14)),))</f>
        <v>1121</v>
      </c>
      <c r="I24" s="63">
        <f t="shared" ca="1" si="0"/>
        <v>14</v>
      </c>
      <c r="J24" s="303">
        <f t="shared" ca="1" si="1"/>
        <v>0</v>
      </c>
      <c r="K24" s="303">
        <f t="shared" ca="1" si="2"/>
        <v>0</v>
      </c>
      <c r="L24" s="303">
        <f t="shared" ca="1" si="3"/>
        <v>0</v>
      </c>
      <c r="M24" s="303">
        <f t="shared" ca="1" si="4"/>
        <v>1275</v>
      </c>
      <c r="N24" s="303">
        <f t="shared" ca="1" si="5"/>
        <v>0</v>
      </c>
      <c r="O24" s="303">
        <f t="shared" ca="1" si="6"/>
        <v>0</v>
      </c>
      <c r="P24" s="303">
        <f t="shared" ca="1" si="7"/>
        <v>0</v>
      </c>
      <c r="Q24" s="303">
        <f t="shared" ca="1" si="8"/>
        <v>0</v>
      </c>
      <c r="R24" s="303">
        <f t="shared" ca="1" si="39"/>
        <v>0</v>
      </c>
      <c r="S24" s="303">
        <f t="shared" ca="1" si="40"/>
        <v>0</v>
      </c>
      <c r="T24" s="303">
        <f t="shared" ca="1" si="9"/>
        <v>0</v>
      </c>
      <c r="U24" s="303">
        <f t="shared" ca="1" si="10"/>
        <v>0</v>
      </c>
      <c r="V24" s="303">
        <f t="shared" ca="1" si="11"/>
        <v>0</v>
      </c>
      <c r="W24" s="303">
        <f t="shared" ca="1" si="12"/>
        <v>0</v>
      </c>
      <c r="X24" s="303">
        <f t="shared" ca="1" si="13"/>
        <v>0</v>
      </c>
      <c r="Y24" s="303">
        <f t="shared" ca="1" si="14"/>
        <v>0</v>
      </c>
      <c r="Z24" s="303">
        <f t="shared" ca="1" si="15"/>
        <v>0</v>
      </c>
      <c r="AA24" s="303">
        <f t="shared" ca="1" si="16"/>
        <v>0</v>
      </c>
      <c r="AB24" s="303">
        <f t="shared" ca="1" si="17"/>
        <v>0</v>
      </c>
      <c r="AC24" s="303">
        <f t="shared" ca="1" si="18"/>
        <v>0</v>
      </c>
      <c r="AD24" s="303">
        <f t="shared" ca="1" si="19"/>
        <v>0</v>
      </c>
      <c r="AE24" s="303">
        <f t="shared" ca="1" si="20"/>
        <v>0</v>
      </c>
      <c r="AF24" s="303">
        <f t="shared" ca="1" si="21"/>
        <v>0</v>
      </c>
      <c r="AG24" s="303">
        <f t="shared" ca="1" si="22"/>
        <v>0</v>
      </c>
      <c r="AH24" s="303">
        <f t="shared" ca="1" si="23"/>
        <v>0</v>
      </c>
      <c r="AI24" s="303">
        <f t="shared" ca="1" si="24"/>
        <v>0</v>
      </c>
      <c r="AJ24" s="303">
        <f t="shared" ca="1" si="25"/>
        <v>0</v>
      </c>
      <c r="AK24" s="303">
        <f t="shared" ca="1" si="26"/>
        <v>0</v>
      </c>
      <c r="AL24" s="303">
        <f t="shared" ca="1" si="27"/>
        <v>0</v>
      </c>
      <c r="AM24" s="303">
        <f t="shared" ca="1" si="28"/>
        <v>0</v>
      </c>
      <c r="AN24" s="303">
        <f t="shared" ca="1" si="29"/>
        <v>1275</v>
      </c>
      <c r="AO24" s="303">
        <f t="shared" ca="1" si="30"/>
        <v>0</v>
      </c>
      <c r="AP24" s="303">
        <f t="shared" ca="1" si="31"/>
        <v>0</v>
      </c>
      <c r="AQ24" s="303">
        <f t="shared" ca="1" si="32"/>
        <v>0</v>
      </c>
      <c r="AR24" s="303">
        <f t="shared" ca="1" si="33"/>
        <v>0</v>
      </c>
      <c r="AS24" s="303">
        <f t="shared" ca="1" si="34"/>
        <v>0</v>
      </c>
      <c r="AT24" s="303">
        <f t="shared" ca="1" si="35"/>
        <v>0</v>
      </c>
      <c r="AU24" s="303">
        <f t="shared" ca="1" si="36"/>
        <v>0</v>
      </c>
      <c r="AV24" s="303">
        <f t="shared" ca="1" si="37"/>
        <v>0</v>
      </c>
      <c r="AW24" s="303">
        <f t="shared" ca="1" si="38"/>
        <v>0</v>
      </c>
    </row>
    <row r="25" spans="1:49" s="300" customFormat="1" ht="12" customHeight="1">
      <c r="A25" s="63">
        <f t="array" aca="1" ref="A25" ca="1">IF(C25&lt;&gt;0,SUM(($C$11:C25&lt;&gt;0)*1),"")</f>
        <v>15</v>
      </c>
      <c r="B25" s="301">
        <f ca="1">IF(ROWS($1:15)&gt;COUNT(Dong8),"",OFFSET(TH!C$1,SMALL(Dong8,ROWS($1:15)),))</f>
        <v>40803</v>
      </c>
      <c r="C25" s="301" t="str">
        <f ca="1">IF(ROWS($1:15)&gt;COUNT(Dong8),"",OFFSET(TH!D$1,SMALL(Dong8,ROWS($1:15)),))</f>
        <v>GBN</v>
      </c>
      <c r="D25" s="301">
        <f ca="1">IF(ROWS($1:15)&gt;COUNT(Dong8),"",OFFSET(TH!E$1,SMALL(Dong8,ROWS($1:15)),))</f>
        <v>40803</v>
      </c>
      <c r="E25" s="351" t="str">
        <f ca="1">IF(ROWS($1:15)&gt;COUNT(Dong8),"",OFFSET(TH!F$1,SMALL(Dong8,ROWS($1:15)),))</f>
        <v>Phí NH</v>
      </c>
      <c r="F25" s="352">
        <f ca="1">IF(ROWS($1:15)&gt;COUNT(Dong8),"",OFFSET(TH!I$1,SMALL(Dong8,ROWS($1:15)),))</f>
        <v>14021</v>
      </c>
      <c r="G25" s="354" t="str">
        <f ca="1">IF(ROWS($1:15)&gt;COUNT(Dong8),"",OFFSET(TH!J$1,SMALL(Dong8,ROWS($1:15)),))</f>
        <v>642</v>
      </c>
      <c r="H25" s="354" t="str">
        <f ca="1">IF(ROWS($1:15)&gt;COUNT(Dong8),"",OFFSET(TH!K$1,SMALL(Dong8,ROWS($1:15)),))</f>
        <v>1121</v>
      </c>
      <c r="I25" s="63">
        <f t="shared" ca="1" si="0"/>
        <v>15</v>
      </c>
      <c r="J25" s="303">
        <f t="shared" ca="1" si="1"/>
        <v>0</v>
      </c>
      <c r="K25" s="303">
        <f t="shared" ca="1" si="2"/>
        <v>0</v>
      </c>
      <c r="L25" s="303">
        <f t="shared" ca="1" si="3"/>
        <v>0</v>
      </c>
      <c r="M25" s="303">
        <f t="shared" ca="1" si="4"/>
        <v>14021</v>
      </c>
      <c r="N25" s="303">
        <f t="shared" ca="1" si="5"/>
        <v>0</v>
      </c>
      <c r="O25" s="303">
        <f t="shared" ca="1" si="6"/>
        <v>0</v>
      </c>
      <c r="P25" s="303">
        <f t="shared" ca="1" si="7"/>
        <v>0</v>
      </c>
      <c r="Q25" s="303">
        <f t="shared" ca="1" si="8"/>
        <v>0</v>
      </c>
      <c r="R25" s="303">
        <f t="shared" ca="1" si="39"/>
        <v>0</v>
      </c>
      <c r="S25" s="303">
        <f t="shared" ca="1" si="40"/>
        <v>0</v>
      </c>
      <c r="T25" s="303">
        <f t="shared" ca="1" si="9"/>
        <v>0</v>
      </c>
      <c r="U25" s="303">
        <f t="shared" ca="1" si="10"/>
        <v>0</v>
      </c>
      <c r="V25" s="303">
        <f t="shared" ca="1" si="11"/>
        <v>0</v>
      </c>
      <c r="W25" s="303">
        <f t="shared" ca="1" si="12"/>
        <v>0</v>
      </c>
      <c r="X25" s="303">
        <f t="shared" ca="1" si="13"/>
        <v>0</v>
      </c>
      <c r="Y25" s="303">
        <f t="shared" ca="1" si="14"/>
        <v>0</v>
      </c>
      <c r="Z25" s="303">
        <f t="shared" ca="1" si="15"/>
        <v>0</v>
      </c>
      <c r="AA25" s="303">
        <f t="shared" ca="1" si="16"/>
        <v>0</v>
      </c>
      <c r="AB25" s="303">
        <f t="shared" ca="1" si="17"/>
        <v>0</v>
      </c>
      <c r="AC25" s="303">
        <f t="shared" ca="1" si="18"/>
        <v>0</v>
      </c>
      <c r="AD25" s="303">
        <f t="shared" ca="1" si="19"/>
        <v>0</v>
      </c>
      <c r="AE25" s="303">
        <f t="shared" ca="1" si="20"/>
        <v>0</v>
      </c>
      <c r="AF25" s="303">
        <f t="shared" ca="1" si="21"/>
        <v>0</v>
      </c>
      <c r="AG25" s="303">
        <f t="shared" ca="1" si="22"/>
        <v>0</v>
      </c>
      <c r="AH25" s="303">
        <f t="shared" ca="1" si="23"/>
        <v>0</v>
      </c>
      <c r="AI25" s="303">
        <f t="shared" ca="1" si="24"/>
        <v>0</v>
      </c>
      <c r="AJ25" s="303">
        <f t="shared" ca="1" si="25"/>
        <v>0</v>
      </c>
      <c r="AK25" s="303">
        <f t="shared" ca="1" si="26"/>
        <v>0</v>
      </c>
      <c r="AL25" s="303">
        <f t="shared" ca="1" si="27"/>
        <v>0</v>
      </c>
      <c r="AM25" s="303">
        <f t="shared" ca="1" si="28"/>
        <v>0</v>
      </c>
      <c r="AN25" s="303">
        <f t="shared" ca="1" si="29"/>
        <v>14021</v>
      </c>
      <c r="AO25" s="303">
        <f t="shared" ca="1" si="30"/>
        <v>0</v>
      </c>
      <c r="AP25" s="303">
        <f t="shared" ca="1" si="31"/>
        <v>0</v>
      </c>
      <c r="AQ25" s="303">
        <f t="shared" ca="1" si="32"/>
        <v>0</v>
      </c>
      <c r="AR25" s="303">
        <f t="shared" ca="1" si="33"/>
        <v>0</v>
      </c>
      <c r="AS25" s="303">
        <f t="shared" ca="1" si="34"/>
        <v>0</v>
      </c>
      <c r="AT25" s="303">
        <f t="shared" ca="1" si="35"/>
        <v>0</v>
      </c>
      <c r="AU25" s="303">
        <f t="shared" ca="1" si="36"/>
        <v>0</v>
      </c>
      <c r="AV25" s="303">
        <f t="shared" ca="1" si="37"/>
        <v>0</v>
      </c>
      <c r="AW25" s="303">
        <f t="shared" ca="1" si="38"/>
        <v>0</v>
      </c>
    </row>
    <row r="26" spans="1:49" s="300" customFormat="1" ht="12" customHeight="1">
      <c r="A26" s="63">
        <f t="array" aca="1" ref="A26" ca="1">IF(C26&lt;&gt;0,SUM(($C$11:C26&lt;&gt;0)*1),"")</f>
        <v>16</v>
      </c>
      <c r="B26" s="301">
        <f ca="1">IF(ROWS($1:16)&gt;COUNT(Dong8),"",OFFSET(TH!C$1,SMALL(Dong8,ROWS($1:16)),))</f>
        <v>40803</v>
      </c>
      <c r="C26" s="301" t="str">
        <f ca="1">IF(ROWS($1:16)&gt;COUNT(Dong8),"",OFFSET(TH!D$1,SMALL(Dong8,ROWS($1:16)),))</f>
        <v>GBN</v>
      </c>
      <c r="D26" s="301">
        <f ca="1">IF(ROWS($1:16)&gt;COUNT(Dong8),"",OFFSET(TH!E$1,SMALL(Dong8,ROWS($1:16)),))</f>
        <v>40803</v>
      </c>
      <c r="E26" s="351" t="str">
        <f ca="1">IF(ROWS($1:16)&gt;COUNT(Dong8),"",OFFSET(TH!F$1,SMALL(Dong8,ROWS($1:16)),))</f>
        <v>Phí NH</v>
      </c>
      <c r="F26" s="352">
        <f ca="1">IF(ROWS($1:16)&gt;COUNT(Dong8),"",OFFSET(TH!I$1,SMALL(Dong8,ROWS($1:16)),))</f>
        <v>12379</v>
      </c>
      <c r="G26" s="354" t="str">
        <f ca="1">IF(ROWS($1:16)&gt;COUNT(Dong8),"",OFFSET(TH!J$1,SMALL(Dong8,ROWS($1:16)),))</f>
        <v>642</v>
      </c>
      <c r="H26" s="354" t="str">
        <f ca="1">IF(ROWS($1:16)&gt;COUNT(Dong8),"",OFFSET(TH!K$1,SMALL(Dong8,ROWS($1:16)),))</f>
        <v>1121</v>
      </c>
      <c r="I26" s="63">
        <f t="shared" ca="1" si="0"/>
        <v>16</v>
      </c>
      <c r="J26" s="303">
        <f t="shared" ca="1" si="1"/>
        <v>0</v>
      </c>
      <c r="K26" s="303">
        <f t="shared" ca="1" si="2"/>
        <v>0</v>
      </c>
      <c r="L26" s="303">
        <f t="shared" ca="1" si="3"/>
        <v>0</v>
      </c>
      <c r="M26" s="303">
        <f t="shared" ca="1" si="4"/>
        <v>12379</v>
      </c>
      <c r="N26" s="303">
        <f t="shared" ca="1" si="5"/>
        <v>0</v>
      </c>
      <c r="O26" s="303">
        <f t="shared" ca="1" si="6"/>
        <v>0</v>
      </c>
      <c r="P26" s="303">
        <f t="shared" ca="1" si="7"/>
        <v>0</v>
      </c>
      <c r="Q26" s="303">
        <f t="shared" ca="1" si="8"/>
        <v>0</v>
      </c>
      <c r="R26" s="303">
        <f t="shared" ca="1" si="39"/>
        <v>0</v>
      </c>
      <c r="S26" s="303">
        <f t="shared" ca="1" si="40"/>
        <v>0</v>
      </c>
      <c r="T26" s="303">
        <f t="shared" ca="1" si="9"/>
        <v>0</v>
      </c>
      <c r="U26" s="303">
        <f t="shared" ca="1" si="10"/>
        <v>0</v>
      </c>
      <c r="V26" s="303">
        <f t="shared" ca="1" si="11"/>
        <v>0</v>
      </c>
      <c r="W26" s="303">
        <f t="shared" ca="1" si="12"/>
        <v>0</v>
      </c>
      <c r="X26" s="303">
        <f t="shared" ca="1" si="13"/>
        <v>0</v>
      </c>
      <c r="Y26" s="303">
        <f t="shared" ca="1" si="14"/>
        <v>0</v>
      </c>
      <c r="Z26" s="303">
        <f t="shared" ca="1" si="15"/>
        <v>0</v>
      </c>
      <c r="AA26" s="303">
        <f t="shared" ca="1" si="16"/>
        <v>0</v>
      </c>
      <c r="AB26" s="303">
        <f t="shared" ca="1" si="17"/>
        <v>0</v>
      </c>
      <c r="AC26" s="303">
        <f t="shared" ca="1" si="18"/>
        <v>0</v>
      </c>
      <c r="AD26" s="303">
        <f t="shared" ca="1" si="19"/>
        <v>0</v>
      </c>
      <c r="AE26" s="303">
        <f t="shared" ca="1" si="20"/>
        <v>0</v>
      </c>
      <c r="AF26" s="303">
        <f t="shared" ca="1" si="21"/>
        <v>0</v>
      </c>
      <c r="AG26" s="303">
        <f t="shared" ca="1" si="22"/>
        <v>0</v>
      </c>
      <c r="AH26" s="303">
        <f t="shared" ca="1" si="23"/>
        <v>0</v>
      </c>
      <c r="AI26" s="303">
        <f t="shared" ca="1" si="24"/>
        <v>0</v>
      </c>
      <c r="AJ26" s="303">
        <f t="shared" ca="1" si="25"/>
        <v>0</v>
      </c>
      <c r="AK26" s="303">
        <f t="shared" ca="1" si="26"/>
        <v>0</v>
      </c>
      <c r="AL26" s="303">
        <f t="shared" ca="1" si="27"/>
        <v>0</v>
      </c>
      <c r="AM26" s="303">
        <f t="shared" ca="1" si="28"/>
        <v>0</v>
      </c>
      <c r="AN26" s="303">
        <f t="shared" ca="1" si="29"/>
        <v>12379</v>
      </c>
      <c r="AO26" s="303">
        <f t="shared" ca="1" si="30"/>
        <v>0</v>
      </c>
      <c r="AP26" s="303">
        <f t="shared" ca="1" si="31"/>
        <v>0</v>
      </c>
      <c r="AQ26" s="303">
        <f t="shared" ca="1" si="32"/>
        <v>0</v>
      </c>
      <c r="AR26" s="303">
        <f t="shared" ca="1" si="33"/>
        <v>0</v>
      </c>
      <c r="AS26" s="303">
        <f t="shared" ca="1" si="34"/>
        <v>0</v>
      </c>
      <c r="AT26" s="303">
        <f t="shared" ca="1" si="35"/>
        <v>0</v>
      </c>
      <c r="AU26" s="303">
        <f t="shared" ca="1" si="36"/>
        <v>0</v>
      </c>
      <c r="AV26" s="303">
        <f t="shared" ca="1" si="37"/>
        <v>0</v>
      </c>
      <c r="AW26" s="303">
        <f t="shared" ca="1" si="38"/>
        <v>0</v>
      </c>
    </row>
    <row r="27" spans="1:49" s="300" customFormat="1" ht="12" customHeight="1">
      <c r="A27" s="63">
        <f t="array" aca="1" ref="A27" ca="1">IF(C27&lt;&gt;0,SUM(($C$11:C27&lt;&gt;0)*1),"")</f>
        <v>17</v>
      </c>
      <c r="B27" s="304">
        <v>40816</v>
      </c>
      <c r="C27" s="304" t="s">
        <v>132</v>
      </c>
      <c r="D27" s="304">
        <f t="shared" ref="D27:D32" si="41">B27</f>
        <v>40816</v>
      </c>
      <c r="E27" s="305" t="s">
        <v>133</v>
      </c>
      <c r="F27" s="90">
        <f ca="1">AL34</f>
        <v>0</v>
      </c>
      <c r="G27" s="306" t="s">
        <v>184</v>
      </c>
      <c r="H27" s="306" t="s">
        <v>116</v>
      </c>
      <c r="I27" s="63">
        <f t="shared" ref="I27:I33" ca="1" si="42">A27</f>
        <v>17</v>
      </c>
      <c r="J27" s="303">
        <f t="shared" ref="J27:J33" si="43">IF($G27="1111",$F27,0)</f>
        <v>0</v>
      </c>
      <c r="K27" s="303">
        <f t="shared" ref="K27:K33" si="44">IF($H27="1111",$F27,0)</f>
        <v>0</v>
      </c>
      <c r="L27" s="303">
        <f t="shared" ref="L27:L33" si="45">IF($G27="1121",$F27,0)</f>
        <v>0</v>
      </c>
      <c r="M27" s="303">
        <f t="shared" ref="M27:M33" si="46">IF($H27="1121",$F27,0)</f>
        <v>0</v>
      </c>
      <c r="N27" s="303">
        <f t="shared" ref="N27:N33" si="47">IF($G27="1331",$F27,0)</f>
        <v>0</v>
      </c>
      <c r="O27" s="303">
        <f t="shared" ref="O27:O33" si="48">IF($H27="1331",$F27,0)</f>
        <v>0</v>
      </c>
      <c r="P27" s="303">
        <f t="shared" ref="P27:P33" si="49">IF($G27="1388",$F27,0)</f>
        <v>0</v>
      </c>
      <c r="Q27" s="303">
        <f t="shared" ref="Q27:Q33" si="50">IF($H27="1388",$F27,0)</f>
        <v>0</v>
      </c>
      <c r="R27" s="303">
        <f t="shared" ref="R27:R33" ca="1" si="51">IF($G27="2412",$F27,0)</f>
        <v>0</v>
      </c>
      <c r="S27" s="303">
        <f t="shared" ref="S27:S33" si="52">IF($H27="2412",$F27,0)</f>
        <v>0</v>
      </c>
      <c r="T27" s="303">
        <f t="shared" ref="T27:T33" si="53">IF($G27="331",$F27,0)</f>
        <v>0</v>
      </c>
      <c r="U27" s="303">
        <f t="shared" ref="U27:U33" si="54">IF($H27="331",$F27,0)</f>
        <v>0</v>
      </c>
      <c r="V27" s="303">
        <f t="shared" ref="V27:V33" si="55">IF($G27="3334",$F27,0)</f>
        <v>0</v>
      </c>
      <c r="W27" s="303">
        <f t="shared" ref="W27:W33" si="56">IF($H27="3334",$F27,0)</f>
        <v>0</v>
      </c>
      <c r="X27" s="303">
        <f t="shared" ref="X27:X33" si="57">IF($G27="33382",$F27,0)</f>
        <v>0</v>
      </c>
      <c r="Y27" s="303">
        <f t="shared" ref="Y27:Y33" si="58">IF($H27="33382",$F27,0)</f>
        <v>0</v>
      </c>
      <c r="Z27" s="303">
        <f t="shared" ref="Z27:Z33" si="59">IF($G27="3388",$F27,0)</f>
        <v>0</v>
      </c>
      <c r="AA27" s="303">
        <f t="shared" ref="AA27:AA33" si="60">IF($H27="3388",$F27,0)</f>
        <v>0</v>
      </c>
      <c r="AB27" s="303">
        <f t="shared" ref="AB27:AB33" si="61">IF($G27="3411",$F27,0)</f>
        <v>0</v>
      </c>
      <c r="AC27" s="303">
        <f t="shared" ref="AC27:AC33" si="62">IF($H27="3411",$F27,0)</f>
        <v>0</v>
      </c>
      <c r="AD27" s="303">
        <f t="shared" ref="AD27:AD33" si="63">IF($G27="4111",$F27,0)</f>
        <v>0</v>
      </c>
      <c r="AE27" s="303">
        <f t="shared" ref="AE27:AE33" si="64">IF($H27="4111",$F27,0)</f>
        <v>0</v>
      </c>
      <c r="AF27" s="303">
        <f t="shared" ref="AF27:AF33" si="65">IF($G27="4211",$F27,0)</f>
        <v>0</v>
      </c>
      <c r="AG27" s="303">
        <f t="shared" ref="AG27:AG33" si="66">IF($H27="4211",$F27,0)</f>
        <v>0</v>
      </c>
      <c r="AH27" s="303">
        <f t="shared" ref="AH27:AH33" si="67">IF($G27="4212",$F27,0)</f>
        <v>0</v>
      </c>
      <c r="AI27" s="303">
        <f t="shared" ref="AI27:AI33" si="68">IF($H27="4212",$F27,0)</f>
        <v>0</v>
      </c>
      <c r="AJ27" s="303">
        <f t="shared" ref="AJ27:AJ33" si="69">IF($G27="515",$F27,0)</f>
        <v>0</v>
      </c>
      <c r="AK27" s="303">
        <f t="shared" ref="AK27:AK33" si="70">IF($H27="515",$F27,0)</f>
        <v>0</v>
      </c>
      <c r="AL27" s="303">
        <f t="shared" ref="AL27:AL33" si="71">IF($G27="635",$F27,0)</f>
        <v>0</v>
      </c>
      <c r="AM27" s="303">
        <f t="shared" ref="AM27:AM33" ca="1" si="72">IF($H27="635",$F27,0)</f>
        <v>0</v>
      </c>
      <c r="AN27" s="303">
        <f t="shared" ref="AN27:AN33" si="73">IF($G27="642",$F27,0)</f>
        <v>0</v>
      </c>
      <c r="AO27" s="303">
        <f t="shared" ref="AO27:AO33" si="74">IF($H27="642",$F27,0)</f>
        <v>0</v>
      </c>
      <c r="AP27" s="303">
        <f t="shared" ref="AP27:AP33" si="75">IF($G27="711",$F27,0)</f>
        <v>0</v>
      </c>
      <c r="AQ27" s="303">
        <f t="shared" ref="AQ27:AQ33" si="76">IF($H27="711",$F27,0)</f>
        <v>0</v>
      </c>
      <c r="AR27" s="303">
        <f t="shared" ref="AR27:AR33" si="77">IF($G27="811",$F27,0)</f>
        <v>0</v>
      </c>
      <c r="AS27" s="303">
        <f t="shared" ref="AS27:AS33" si="78">IF($H27="811",$F27,0)</f>
        <v>0</v>
      </c>
      <c r="AT27" s="303">
        <f t="shared" ref="AT27:AT33" si="79">IF($G27="821",$F27,0)</f>
        <v>0</v>
      </c>
      <c r="AU27" s="303">
        <f t="shared" ref="AU27:AU33" si="80">IF($H27="821",$F27,0)</f>
        <v>0</v>
      </c>
      <c r="AV27" s="303">
        <f t="shared" ref="AV27:AV33" si="81">IF($G27="911",$F27,0)</f>
        <v>0</v>
      </c>
      <c r="AW27" s="303">
        <f t="shared" ref="AW27:AW33" si="82">IF($H27="911",$F27,0)</f>
        <v>0</v>
      </c>
    </row>
    <row r="28" spans="1:49" s="300" customFormat="1" ht="12" customHeight="1">
      <c r="A28" s="63">
        <f t="array" aca="1" ref="A28" ca="1">IF(C28&lt;&gt;0,SUM(($C$11:C28&lt;&gt;0)*1),"")</f>
        <v>18</v>
      </c>
      <c r="B28" s="304">
        <v>40816</v>
      </c>
      <c r="C28" s="304" t="s">
        <v>132</v>
      </c>
      <c r="D28" s="304">
        <f t="shared" si="41"/>
        <v>40816</v>
      </c>
      <c r="E28" s="305" t="s">
        <v>134</v>
      </c>
      <c r="F28" s="90">
        <f ca="1">AN34</f>
        <v>168021</v>
      </c>
      <c r="G28" s="306" t="s">
        <v>126</v>
      </c>
      <c r="H28" s="306" t="s">
        <v>118</v>
      </c>
      <c r="I28" s="63">
        <f t="shared" ca="1" si="42"/>
        <v>18</v>
      </c>
      <c r="J28" s="303">
        <f t="shared" si="43"/>
        <v>0</v>
      </c>
      <c r="K28" s="303">
        <f t="shared" si="44"/>
        <v>0</v>
      </c>
      <c r="L28" s="303">
        <f t="shared" si="45"/>
        <v>0</v>
      </c>
      <c r="M28" s="303">
        <f t="shared" si="46"/>
        <v>0</v>
      </c>
      <c r="N28" s="303">
        <f t="shared" si="47"/>
        <v>0</v>
      </c>
      <c r="O28" s="303">
        <f t="shared" si="48"/>
        <v>0</v>
      </c>
      <c r="P28" s="303">
        <f t="shared" si="49"/>
        <v>0</v>
      </c>
      <c r="Q28" s="303">
        <f t="shared" si="50"/>
        <v>0</v>
      </c>
      <c r="R28" s="303">
        <f t="shared" si="51"/>
        <v>0</v>
      </c>
      <c r="S28" s="303">
        <f t="shared" si="52"/>
        <v>0</v>
      </c>
      <c r="T28" s="303">
        <f t="shared" si="53"/>
        <v>0</v>
      </c>
      <c r="U28" s="303">
        <f t="shared" si="54"/>
        <v>0</v>
      </c>
      <c r="V28" s="303">
        <f t="shared" si="55"/>
        <v>0</v>
      </c>
      <c r="W28" s="303">
        <f t="shared" si="56"/>
        <v>0</v>
      </c>
      <c r="X28" s="303">
        <f t="shared" si="57"/>
        <v>0</v>
      </c>
      <c r="Y28" s="303">
        <f t="shared" si="58"/>
        <v>0</v>
      </c>
      <c r="Z28" s="303">
        <f t="shared" si="59"/>
        <v>0</v>
      </c>
      <c r="AA28" s="303">
        <f t="shared" si="60"/>
        <v>0</v>
      </c>
      <c r="AB28" s="303">
        <f t="shared" si="61"/>
        <v>0</v>
      </c>
      <c r="AC28" s="303">
        <f t="shared" si="62"/>
        <v>0</v>
      </c>
      <c r="AD28" s="303">
        <f t="shared" si="63"/>
        <v>0</v>
      </c>
      <c r="AE28" s="303">
        <f t="shared" si="64"/>
        <v>0</v>
      </c>
      <c r="AF28" s="303">
        <f t="shared" si="65"/>
        <v>0</v>
      </c>
      <c r="AG28" s="303">
        <f t="shared" si="66"/>
        <v>0</v>
      </c>
      <c r="AH28" s="303">
        <f t="shared" si="67"/>
        <v>0</v>
      </c>
      <c r="AI28" s="303">
        <f t="shared" si="68"/>
        <v>0</v>
      </c>
      <c r="AJ28" s="303">
        <f t="shared" si="69"/>
        <v>0</v>
      </c>
      <c r="AK28" s="303">
        <f t="shared" si="70"/>
        <v>0</v>
      </c>
      <c r="AL28" s="303">
        <f t="shared" si="71"/>
        <v>0</v>
      </c>
      <c r="AM28" s="303">
        <f t="shared" si="72"/>
        <v>0</v>
      </c>
      <c r="AN28" s="303">
        <f t="shared" si="73"/>
        <v>0</v>
      </c>
      <c r="AO28" s="303">
        <f t="shared" ca="1" si="74"/>
        <v>168021</v>
      </c>
      <c r="AP28" s="303">
        <f t="shared" si="75"/>
        <v>0</v>
      </c>
      <c r="AQ28" s="303">
        <f t="shared" si="76"/>
        <v>0</v>
      </c>
      <c r="AR28" s="303">
        <f t="shared" si="77"/>
        <v>0</v>
      </c>
      <c r="AS28" s="303">
        <f t="shared" si="78"/>
        <v>0</v>
      </c>
      <c r="AT28" s="303">
        <f t="shared" si="79"/>
        <v>0</v>
      </c>
      <c r="AU28" s="303">
        <f t="shared" si="80"/>
        <v>0</v>
      </c>
      <c r="AV28" s="303">
        <f t="shared" ca="1" si="81"/>
        <v>168021</v>
      </c>
      <c r="AW28" s="303">
        <f t="shared" si="82"/>
        <v>0</v>
      </c>
    </row>
    <row r="29" spans="1:49" s="300" customFormat="1" ht="12" customHeight="1">
      <c r="A29" s="63">
        <f t="array" aca="1" ref="A29" ca="1">IF(C29&lt;&gt;0,SUM(($C$11:C29&lt;&gt;0)*1),"")</f>
        <v>19</v>
      </c>
      <c r="B29" s="304">
        <v>40816</v>
      </c>
      <c r="C29" s="304" t="s">
        <v>132</v>
      </c>
      <c r="D29" s="304">
        <f t="shared" si="41"/>
        <v>40816</v>
      </c>
      <c r="E29" s="305" t="s">
        <v>239</v>
      </c>
      <c r="F29" s="90">
        <f ca="1">AV34</f>
        <v>168021</v>
      </c>
      <c r="G29" s="306" t="s">
        <v>111</v>
      </c>
      <c r="H29" s="306" t="s">
        <v>126</v>
      </c>
      <c r="I29" s="63">
        <f t="shared" ca="1" si="42"/>
        <v>19</v>
      </c>
      <c r="J29" s="303">
        <f t="shared" si="43"/>
        <v>0</v>
      </c>
      <c r="K29" s="303">
        <f t="shared" si="44"/>
        <v>0</v>
      </c>
      <c r="L29" s="303">
        <f t="shared" si="45"/>
        <v>0</v>
      </c>
      <c r="M29" s="303">
        <f t="shared" si="46"/>
        <v>0</v>
      </c>
      <c r="N29" s="303">
        <f t="shared" si="47"/>
        <v>0</v>
      </c>
      <c r="O29" s="303">
        <f t="shared" si="48"/>
        <v>0</v>
      </c>
      <c r="P29" s="303">
        <f t="shared" si="49"/>
        <v>0</v>
      </c>
      <c r="Q29" s="303">
        <f t="shared" si="50"/>
        <v>0</v>
      </c>
      <c r="R29" s="303">
        <f t="shared" si="51"/>
        <v>0</v>
      </c>
      <c r="S29" s="303">
        <f t="shared" si="52"/>
        <v>0</v>
      </c>
      <c r="T29" s="303">
        <f t="shared" si="53"/>
        <v>0</v>
      </c>
      <c r="U29" s="303">
        <f t="shared" si="54"/>
        <v>0</v>
      </c>
      <c r="V29" s="303">
        <f t="shared" si="55"/>
        <v>0</v>
      </c>
      <c r="W29" s="303">
        <f t="shared" si="56"/>
        <v>0</v>
      </c>
      <c r="X29" s="303">
        <f t="shared" si="57"/>
        <v>0</v>
      </c>
      <c r="Y29" s="303">
        <f t="shared" si="58"/>
        <v>0</v>
      </c>
      <c r="Z29" s="303">
        <f t="shared" si="59"/>
        <v>0</v>
      </c>
      <c r="AA29" s="303">
        <f t="shared" si="60"/>
        <v>0</v>
      </c>
      <c r="AB29" s="303">
        <f t="shared" si="61"/>
        <v>0</v>
      </c>
      <c r="AC29" s="303">
        <f t="shared" si="62"/>
        <v>0</v>
      </c>
      <c r="AD29" s="303">
        <f t="shared" si="63"/>
        <v>0</v>
      </c>
      <c r="AE29" s="303">
        <f t="shared" si="64"/>
        <v>0</v>
      </c>
      <c r="AF29" s="303">
        <f t="shared" si="65"/>
        <v>0</v>
      </c>
      <c r="AG29" s="303">
        <f t="shared" si="66"/>
        <v>0</v>
      </c>
      <c r="AH29" s="303">
        <f t="shared" ca="1" si="67"/>
        <v>168021</v>
      </c>
      <c r="AI29" s="303">
        <f t="shared" si="68"/>
        <v>0</v>
      </c>
      <c r="AJ29" s="303">
        <f t="shared" si="69"/>
        <v>0</v>
      </c>
      <c r="AK29" s="303">
        <f t="shared" si="70"/>
        <v>0</v>
      </c>
      <c r="AL29" s="303">
        <f t="shared" si="71"/>
        <v>0</v>
      </c>
      <c r="AM29" s="303">
        <f t="shared" si="72"/>
        <v>0</v>
      </c>
      <c r="AN29" s="303">
        <f t="shared" si="73"/>
        <v>0</v>
      </c>
      <c r="AO29" s="303">
        <f t="shared" si="74"/>
        <v>0</v>
      </c>
      <c r="AP29" s="303">
        <f t="shared" si="75"/>
        <v>0</v>
      </c>
      <c r="AQ29" s="303">
        <f t="shared" si="76"/>
        <v>0</v>
      </c>
      <c r="AR29" s="303">
        <f t="shared" si="77"/>
        <v>0</v>
      </c>
      <c r="AS29" s="303">
        <f t="shared" si="78"/>
        <v>0</v>
      </c>
      <c r="AT29" s="303">
        <f t="shared" si="79"/>
        <v>0</v>
      </c>
      <c r="AU29" s="303">
        <f t="shared" si="80"/>
        <v>0</v>
      </c>
      <c r="AV29" s="303">
        <f t="shared" si="81"/>
        <v>0</v>
      </c>
      <c r="AW29" s="303">
        <f t="shared" ca="1" si="82"/>
        <v>168021</v>
      </c>
    </row>
    <row r="30" spans="1:49" s="300" customFormat="1" ht="12" customHeight="1">
      <c r="A30" s="63">
        <f t="array" aca="1" ref="A30" ca="1">IF(C30&lt;&gt;0,SUM(($C$11:C30&lt;&gt;0)*1),"")</f>
        <v>20</v>
      </c>
      <c r="B30" s="304">
        <v>40816</v>
      </c>
      <c r="C30" s="304" t="s">
        <v>132</v>
      </c>
      <c r="D30" s="304">
        <f t="shared" si="41"/>
        <v>40816</v>
      </c>
      <c r="E30" s="305" t="s">
        <v>136</v>
      </c>
      <c r="F30" s="90">
        <f ca="1">AK34</f>
        <v>0</v>
      </c>
      <c r="G30" s="306" t="s">
        <v>58</v>
      </c>
      <c r="H30" s="306" t="s">
        <v>126</v>
      </c>
      <c r="I30" s="63">
        <f t="shared" ca="1" si="42"/>
        <v>20</v>
      </c>
      <c r="J30" s="303">
        <f t="shared" si="43"/>
        <v>0</v>
      </c>
      <c r="K30" s="303">
        <f t="shared" si="44"/>
        <v>0</v>
      </c>
      <c r="L30" s="303">
        <f t="shared" si="45"/>
        <v>0</v>
      </c>
      <c r="M30" s="303">
        <f t="shared" si="46"/>
        <v>0</v>
      </c>
      <c r="N30" s="303">
        <f t="shared" si="47"/>
        <v>0</v>
      </c>
      <c r="O30" s="303">
        <f t="shared" si="48"/>
        <v>0</v>
      </c>
      <c r="P30" s="303">
        <f t="shared" si="49"/>
        <v>0</v>
      </c>
      <c r="Q30" s="303">
        <f t="shared" si="50"/>
        <v>0</v>
      </c>
      <c r="R30" s="303">
        <f t="shared" si="51"/>
        <v>0</v>
      </c>
      <c r="S30" s="303">
        <f t="shared" si="52"/>
        <v>0</v>
      </c>
      <c r="T30" s="303">
        <f t="shared" si="53"/>
        <v>0</v>
      </c>
      <c r="U30" s="303">
        <f t="shared" si="54"/>
        <v>0</v>
      </c>
      <c r="V30" s="303">
        <f t="shared" si="55"/>
        <v>0</v>
      </c>
      <c r="W30" s="303">
        <f t="shared" si="56"/>
        <v>0</v>
      </c>
      <c r="X30" s="303">
        <f t="shared" si="57"/>
        <v>0</v>
      </c>
      <c r="Y30" s="303">
        <f t="shared" si="58"/>
        <v>0</v>
      </c>
      <c r="Z30" s="303">
        <f t="shared" si="59"/>
        <v>0</v>
      </c>
      <c r="AA30" s="303">
        <f t="shared" si="60"/>
        <v>0</v>
      </c>
      <c r="AB30" s="303">
        <f t="shared" si="61"/>
        <v>0</v>
      </c>
      <c r="AC30" s="303">
        <f t="shared" si="62"/>
        <v>0</v>
      </c>
      <c r="AD30" s="303">
        <f t="shared" si="63"/>
        <v>0</v>
      </c>
      <c r="AE30" s="303">
        <f t="shared" si="64"/>
        <v>0</v>
      </c>
      <c r="AF30" s="303">
        <f t="shared" si="65"/>
        <v>0</v>
      </c>
      <c r="AG30" s="303">
        <f t="shared" si="66"/>
        <v>0</v>
      </c>
      <c r="AH30" s="303">
        <f t="shared" si="67"/>
        <v>0</v>
      </c>
      <c r="AI30" s="303">
        <f t="shared" si="68"/>
        <v>0</v>
      </c>
      <c r="AJ30" s="303">
        <f t="shared" ca="1" si="69"/>
        <v>0</v>
      </c>
      <c r="AK30" s="303">
        <f t="shared" si="70"/>
        <v>0</v>
      </c>
      <c r="AL30" s="303">
        <f t="shared" si="71"/>
        <v>0</v>
      </c>
      <c r="AM30" s="303">
        <f t="shared" si="72"/>
        <v>0</v>
      </c>
      <c r="AN30" s="303">
        <f t="shared" si="73"/>
        <v>0</v>
      </c>
      <c r="AO30" s="303">
        <f t="shared" si="74"/>
        <v>0</v>
      </c>
      <c r="AP30" s="303">
        <f t="shared" si="75"/>
        <v>0</v>
      </c>
      <c r="AQ30" s="303">
        <f t="shared" si="76"/>
        <v>0</v>
      </c>
      <c r="AR30" s="303">
        <f t="shared" si="77"/>
        <v>0</v>
      </c>
      <c r="AS30" s="303">
        <f t="shared" si="78"/>
        <v>0</v>
      </c>
      <c r="AT30" s="303">
        <f t="shared" si="79"/>
        <v>0</v>
      </c>
      <c r="AU30" s="303">
        <f t="shared" si="80"/>
        <v>0</v>
      </c>
      <c r="AV30" s="303">
        <f t="shared" si="81"/>
        <v>0</v>
      </c>
      <c r="AW30" s="303">
        <f t="shared" ca="1" si="82"/>
        <v>0</v>
      </c>
    </row>
    <row r="31" spans="1:49" s="300" customFormat="1" ht="12" customHeight="1">
      <c r="A31" s="63">
        <f t="array" aca="1" ref="A31" ca="1">IF(C31&lt;&gt;0,SUM(($C$11:C31&lt;&gt;0)*1),"")</f>
        <v>21</v>
      </c>
      <c r="B31" s="304">
        <v>40816</v>
      </c>
      <c r="C31" s="304" t="s">
        <v>132</v>
      </c>
      <c r="D31" s="304">
        <f t="shared" si="41"/>
        <v>40816</v>
      </c>
      <c r="E31" s="305" t="s">
        <v>137</v>
      </c>
      <c r="F31" s="90">
        <f ca="1">AQ34</f>
        <v>0</v>
      </c>
      <c r="G31" s="306" t="s">
        <v>120</v>
      </c>
      <c r="H31" s="306" t="s">
        <v>126</v>
      </c>
      <c r="I31" s="63">
        <f t="shared" ca="1" si="42"/>
        <v>21</v>
      </c>
      <c r="J31" s="303">
        <f t="shared" si="43"/>
        <v>0</v>
      </c>
      <c r="K31" s="303">
        <f t="shared" si="44"/>
        <v>0</v>
      </c>
      <c r="L31" s="303">
        <f t="shared" si="45"/>
        <v>0</v>
      </c>
      <c r="M31" s="303">
        <f t="shared" si="46"/>
        <v>0</v>
      </c>
      <c r="N31" s="303">
        <f t="shared" si="47"/>
        <v>0</v>
      </c>
      <c r="O31" s="303">
        <f t="shared" si="48"/>
        <v>0</v>
      </c>
      <c r="P31" s="303">
        <f t="shared" si="49"/>
        <v>0</v>
      </c>
      <c r="Q31" s="303">
        <f t="shared" si="50"/>
        <v>0</v>
      </c>
      <c r="R31" s="303">
        <f t="shared" si="51"/>
        <v>0</v>
      </c>
      <c r="S31" s="303">
        <f t="shared" si="52"/>
        <v>0</v>
      </c>
      <c r="T31" s="303">
        <f t="shared" si="53"/>
        <v>0</v>
      </c>
      <c r="U31" s="303">
        <f t="shared" si="54"/>
        <v>0</v>
      </c>
      <c r="V31" s="303">
        <f t="shared" si="55"/>
        <v>0</v>
      </c>
      <c r="W31" s="303">
        <f t="shared" si="56"/>
        <v>0</v>
      </c>
      <c r="X31" s="303">
        <f t="shared" si="57"/>
        <v>0</v>
      </c>
      <c r="Y31" s="303">
        <f t="shared" si="58"/>
        <v>0</v>
      </c>
      <c r="Z31" s="303">
        <f t="shared" si="59"/>
        <v>0</v>
      </c>
      <c r="AA31" s="303">
        <f t="shared" si="60"/>
        <v>0</v>
      </c>
      <c r="AB31" s="303">
        <f t="shared" si="61"/>
        <v>0</v>
      </c>
      <c r="AC31" s="303">
        <f t="shared" si="62"/>
        <v>0</v>
      </c>
      <c r="AD31" s="303">
        <f t="shared" si="63"/>
        <v>0</v>
      </c>
      <c r="AE31" s="303">
        <f t="shared" si="64"/>
        <v>0</v>
      </c>
      <c r="AF31" s="303">
        <f t="shared" si="65"/>
        <v>0</v>
      </c>
      <c r="AG31" s="303">
        <f t="shared" si="66"/>
        <v>0</v>
      </c>
      <c r="AH31" s="303">
        <f t="shared" si="67"/>
        <v>0</v>
      </c>
      <c r="AI31" s="303">
        <f t="shared" si="68"/>
        <v>0</v>
      </c>
      <c r="AJ31" s="303">
        <f t="shared" si="69"/>
        <v>0</v>
      </c>
      <c r="AK31" s="303">
        <f t="shared" si="70"/>
        <v>0</v>
      </c>
      <c r="AL31" s="303">
        <f t="shared" si="71"/>
        <v>0</v>
      </c>
      <c r="AM31" s="303">
        <f t="shared" si="72"/>
        <v>0</v>
      </c>
      <c r="AN31" s="303">
        <f t="shared" si="73"/>
        <v>0</v>
      </c>
      <c r="AO31" s="303">
        <f t="shared" si="74"/>
        <v>0</v>
      </c>
      <c r="AP31" s="303">
        <f t="shared" ca="1" si="75"/>
        <v>0</v>
      </c>
      <c r="AQ31" s="303">
        <f t="shared" si="76"/>
        <v>0</v>
      </c>
      <c r="AR31" s="303">
        <f t="shared" si="77"/>
        <v>0</v>
      </c>
      <c r="AS31" s="303">
        <f t="shared" si="78"/>
        <v>0</v>
      </c>
      <c r="AT31" s="303">
        <f t="shared" si="79"/>
        <v>0</v>
      </c>
      <c r="AU31" s="303">
        <f t="shared" si="80"/>
        <v>0</v>
      </c>
      <c r="AV31" s="303">
        <f t="shared" si="81"/>
        <v>0</v>
      </c>
      <c r="AW31" s="303">
        <f t="shared" ca="1" si="82"/>
        <v>0</v>
      </c>
    </row>
    <row r="32" spans="1:49" s="300" customFormat="1" ht="12" customHeight="1">
      <c r="A32" s="63">
        <f t="array" aca="1" ref="A32" ca="1">IF(C32&lt;&gt;0,SUM(($C$11:C32&lt;&gt;0)*1),"")</f>
        <v>22</v>
      </c>
      <c r="B32" s="304">
        <v>40816</v>
      </c>
      <c r="C32" s="304" t="s">
        <v>132</v>
      </c>
      <c r="D32" s="304">
        <f t="shared" si="41"/>
        <v>40816</v>
      </c>
      <c r="E32" s="305" t="s">
        <v>138</v>
      </c>
      <c r="F32" s="90">
        <f ca="1">AR34</f>
        <v>0</v>
      </c>
      <c r="G32" s="306" t="s">
        <v>126</v>
      </c>
      <c r="H32" s="306" t="s">
        <v>122</v>
      </c>
      <c r="I32" s="63">
        <f t="shared" ca="1" si="42"/>
        <v>22</v>
      </c>
      <c r="J32" s="303">
        <f t="shared" si="43"/>
        <v>0</v>
      </c>
      <c r="K32" s="303">
        <f t="shared" si="44"/>
        <v>0</v>
      </c>
      <c r="L32" s="303">
        <f t="shared" si="45"/>
        <v>0</v>
      </c>
      <c r="M32" s="303">
        <f t="shared" si="46"/>
        <v>0</v>
      </c>
      <c r="N32" s="303">
        <f t="shared" si="47"/>
        <v>0</v>
      </c>
      <c r="O32" s="303">
        <f t="shared" si="48"/>
        <v>0</v>
      </c>
      <c r="P32" s="303">
        <f t="shared" si="49"/>
        <v>0</v>
      </c>
      <c r="Q32" s="303">
        <f t="shared" si="50"/>
        <v>0</v>
      </c>
      <c r="R32" s="303">
        <f t="shared" si="51"/>
        <v>0</v>
      </c>
      <c r="S32" s="303">
        <f t="shared" si="52"/>
        <v>0</v>
      </c>
      <c r="T32" s="303">
        <f t="shared" si="53"/>
        <v>0</v>
      </c>
      <c r="U32" s="303">
        <f t="shared" si="54"/>
        <v>0</v>
      </c>
      <c r="V32" s="303">
        <f t="shared" si="55"/>
        <v>0</v>
      </c>
      <c r="W32" s="303">
        <f t="shared" si="56"/>
        <v>0</v>
      </c>
      <c r="X32" s="303">
        <f t="shared" si="57"/>
        <v>0</v>
      </c>
      <c r="Y32" s="303">
        <f t="shared" si="58"/>
        <v>0</v>
      </c>
      <c r="Z32" s="303">
        <f t="shared" si="59"/>
        <v>0</v>
      </c>
      <c r="AA32" s="303">
        <f t="shared" si="60"/>
        <v>0</v>
      </c>
      <c r="AB32" s="303">
        <f t="shared" si="61"/>
        <v>0</v>
      </c>
      <c r="AC32" s="303">
        <f t="shared" si="62"/>
        <v>0</v>
      </c>
      <c r="AD32" s="303">
        <f t="shared" si="63"/>
        <v>0</v>
      </c>
      <c r="AE32" s="303">
        <f t="shared" si="64"/>
        <v>0</v>
      </c>
      <c r="AF32" s="303">
        <f t="shared" si="65"/>
        <v>0</v>
      </c>
      <c r="AG32" s="303">
        <f t="shared" si="66"/>
        <v>0</v>
      </c>
      <c r="AH32" s="303">
        <f t="shared" si="67"/>
        <v>0</v>
      </c>
      <c r="AI32" s="303">
        <f t="shared" si="68"/>
        <v>0</v>
      </c>
      <c r="AJ32" s="303">
        <f t="shared" si="69"/>
        <v>0</v>
      </c>
      <c r="AK32" s="303">
        <f t="shared" si="70"/>
        <v>0</v>
      </c>
      <c r="AL32" s="303">
        <f t="shared" si="71"/>
        <v>0</v>
      </c>
      <c r="AM32" s="303">
        <f t="shared" si="72"/>
        <v>0</v>
      </c>
      <c r="AN32" s="303">
        <f t="shared" si="73"/>
        <v>0</v>
      </c>
      <c r="AO32" s="303">
        <f t="shared" si="74"/>
        <v>0</v>
      </c>
      <c r="AP32" s="303">
        <f t="shared" si="75"/>
        <v>0</v>
      </c>
      <c r="AQ32" s="303">
        <f t="shared" si="76"/>
        <v>0</v>
      </c>
      <c r="AR32" s="303">
        <f t="shared" si="77"/>
        <v>0</v>
      </c>
      <c r="AS32" s="303">
        <f t="shared" ca="1" si="78"/>
        <v>0</v>
      </c>
      <c r="AT32" s="303">
        <f t="shared" si="79"/>
        <v>0</v>
      </c>
      <c r="AU32" s="303">
        <f t="shared" si="80"/>
        <v>0</v>
      </c>
      <c r="AV32" s="303">
        <f t="shared" ca="1" si="81"/>
        <v>0</v>
      </c>
      <c r="AW32" s="303">
        <f t="shared" si="82"/>
        <v>0</v>
      </c>
    </row>
    <row r="33" spans="1:49" s="300" customFormat="1" ht="12" customHeight="1">
      <c r="A33" s="63" t="str">
        <f t="array" ref="A33">IF(C33&lt;&gt;0,SUM(($C$11:C33&lt;&gt;0)*1),"")</f>
        <v/>
      </c>
      <c r="B33" s="251"/>
      <c r="C33" s="307"/>
      <c r="D33" s="251"/>
      <c r="E33" s="302"/>
      <c r="F33" s="65"/>
      <c r="G33" s="308"/>
      <c r="H33" s="308"/>
      <c r="I33" s="63" t="str">
        <f t="shared" si="42"/>
        <v/>
      </c>
      <c r="J33" s="303">
        <f t="shared" si="43"/>
        <v>0</v>
      </c>
      <c r="K33" s="303">
        <f t="shared" si="44"/>
        <v>0</v>
      </c>
      <c r="L33" s="303">
        <f t="shared" si="45"/>
        <v>0</v>
      </c>
      <c r="M33" s="303">
        <f t="shared" si="46"/>
        <v>0</v>
      </c>
      <c r="N33" s="303">
        <f t="shared" si="47"/>
        <v>0</v>
      </c>
      <c r="O33" s="303">
        <f t="shared" si="48"/>
        <v>0</v>
      </c>
      <c r="P33" s="303">
        <f t="shared" si="49"/>
        <v>0</v>
      </c>
      <c r="Q33" s="303">
        <f t="shared" si="50"/>
        <v>0</v>
      </c>
      <c r="R33" s="303">
        <f t="shared" si="51"/>
        <v>0</v>
      </c>
      <c r="S33" s="303">
        <f t="shared" si="52"/>
        <v>0</v>
      </c>
      <c r="T33" s="303">
        <f t="shared" si="53"/>
        <v>0</v>
      </c>
      <c r="U33" s="303">
        <f t="shared" si="54"/>
        <v>0</v>
      </c>
      <c r="V33" s="303">
        <f t="shared" si="55"/>
        <v>0</v>
      </c>
      <c r="W33" s="303">
        <f t="shared" si="56"/>
        <v>0</v>
      </c>
      <c r="X33" s="303">
        <f t="shared" si="57"/>
        <v>0</v>
      </c>
      <c r="Y33" s="303">
        <f t="shared" si="58"/>
        <v>0</v>
      </c>
      <c r="Z33" s="303">
        <f t="shared" si="59"/>
        <v>0</v>
      </c>
      <c r="AA33" s="303">
        <f t="shared" si="60"/>
        <v>0</v>
      </c>
      <c r="AB33" s="303">
        <f t="shared" si="61"/>
        <v>0</v>
      </c>
      <c r="AC33" s="303">
        <f t="shared" si="62"/>
        <v>0</v>
      </c>
      <c r="AD33" s="303">
        <f t="shared" si="63"/>
        <v>0</v>
      </c>
      <c r="AE33" s="303">
        <f t="shared" si="64"/>
        <v>0</v>
      </c>
      <c r="AF33" s="303">
        <f t="shared" si="65"/>
        <v>0</v>
      </c>
      <c r="AG33" s="303">
        <f t="shared" si="66"/>
        <v>0</v>
      </c>
      <c r="AH33" s="303">
        <f t="shared" si="67"/>
        <v>0</v>
      </c>
      <c r="AI33" s="303">
        <f t="shared" si="68"/>
        <v>0</v>
      </c>
      <c r="AJ33" s="303">
        <f t="shared" si="69"/>
        <v>0</v>
      </c>
      <c r="AK33" s="303">
        <f t="shared" si="70"/>
        <v>0</v>
      </c>
      <c r="AL33" s="303">
        <f t="shared" si="71"/>
        <v>0</v>
      </c>
      <c r="AM33" s="303">
        <f t="shared" si="72"/>
        <v>0</v>
      </c>
      <c r="AN33" s="303">
        <f t="shared" si="73"/>
        <v>0</v>
      </c>
      <c r="AO33" s="303">
        <f t="shared" si="74"/>
        <v>0</v>
      </c>
      <c r="AP33" s="303">
        <f t="shared" si="75"/>
        <v>0</v>
      </c>
      <c r="AQ33" s="303">
        <f t="shared" si="76"/>
        <v>0</v>
      </c>
      <c r="AR33" s="303">
        <f t="shared" si="77"/>
        <v>0</v>
      </c>
      <c r="AS33" s="303">
        <f t="shared" si="78"/>
        <v>0</v>
      </c>
      <c r="AT33" s="303">
        <f t="shared" si="79"/>
        <v>0</v>
      </c>
      <c r="AU33" s="303">
        <f t="shared" si="80"/>
        <v>0</v>
      </c>
      <c r="AV33" s="303">
        <f t="shared" si="81"/>
        <v>0</v>
      </c>
      <c r="AW33" s="303">
        <f t="shared" si="82"/>
        <v>0</v>
      </c>
    </row>
    <row r="34" spans="1:49" s="300" customFormat="1" ht="12" customHeight="1">
      <c r="A34" s="309"/>
      <c r="B34" s="309"/>
      <c r="C34" s="336"/>
      <c r="D34" s="309"/>
      <c r="E34" s="302" t="s">
        <v>201</v>
      </c>
      <c r="F34" s="309"/>
      <c r="G34" s="308"/>
      <c r="H34" s="308"/>
      <c r="I34" s="309"/>
      <c r="J34" s="309">
        <f t="shared" ref="J34:AW34" ca="1" si="83">SUM(J11:J33)</f>
        <v>0</v>
      </c>
      <c r="K34" s="309">
        <f t="shared" ca="1" si="83"/>
        <v>0</v>
      </c>
      <c r="L34" s="309">
        <f t="shared" ca="1" si="83"/>
        <v>0</v>
      </c>
      <c r="M34" s="309">
        <f t="shared" ca="1" si="83"/>
        <v>168021</v>
      </c>
      <c r="N34" s="309">
        <f t="shared" ca="1" si="83"/>
        <v>0</v>
      </c>
      <c r="O34" s="309">
        <f t="shared" ca="1" si="83"/>
        <v>0</v>
      </c>
      <c r="P34" s="309">
        <f t="shared" ca="1" si="83"/>
        <v>0</v>
      </c>
      <c r="Q34" s="309">
        <f t="shared" ca="1" si="83"/>
        <v>0</v>
      </c>
      <c r="R34" s="309">
        <f t="shared" ca="1" si="83"/>
        <v>0</v>
      </c>
      <c r="S34" s="309">
        <f t="shared" ca="1" si="83"/>
        <v>0</v>
      </c>
      <c r="T34" s="309">
        <f t="shared" ca="1" si="83"/>
        <v>0</v>
      </c>
      <c r="U34" s="309">
        <f t="shared" ca="1" si="83"/>
        <v>0</v>
      </c>
      <c r="V34" s="309">
        <f t="shared" ca="1" si="83"/>
        <v>0</v>
      </c>
      <c r="W34" s="309">
        <f t="shared" ca="1" si="83"/>
        <v>0</v>
      </c>
      <c r="X34" s="309">
        <f t="shared" ca="1" si="83"/>
        <v>0</v>
      </c>
      <c r="Y34" s="309">
        <f t="shared" ca="1" si="83"/>
        <v>0</v>
      </c>
      <c r="Z34" s="309">
        <f t="shared" ca="1" si="83"/>
        <v>0</v>
      </c>
      <c r="AA34" s="309">
        <f t="shared" ca="1" si="83"/>
        <v>0</v>
      </c>
      <c r="AB34" s="309">
        <f t="shared" ca="1" si="83"/>
        <v>0</v>
      </c>
      <c r="AC34" s="309">
        <f t="shared" ca="1" si="83"/>
        <v>0</v>
      </c>
      <c r="AD34" s="309">
        <f t="shared" ca="1" si="83"/>
        <v>0</v>
      </c>
      <c r="AE34" s="309">
        <f t="shared" ca="1" si="83"/>
        <v>0</v>
      </c>
      <c r="AF34" s="309">
        <f t="shared" ca="1" si="83"/>
        <v>0</v>
      </c>
      <c r="AG34" s="309">
        <f t="shared" ca="1" si="83"/>
        <v>0</v>
      </c>
      <c r="AH34" s="309">
        <f t="shared" ca="1" si="83"/>
        <v>168021</v>
      </c>
      <c r="AI34" s="309">
        <f t="shared" ca="1" si="83"/>
        <v>0</v>
      </c>
      <c r="AJ34" s="309">
        <f t="shared" ca="1" si="83"/>
        <v>0</v>
      </c>
      <c r="AK34" s="309">
        <f t="shared" ca="1" si="83"/>
        <v>0</v>
      </c>
      <c r="AL34" s="309">
        <f t="shared" ca="1" si="83"/>
        <v>0</v>
      </c>
      <c r="AM34" s="309">
        <f t="shared" ca="1" si="83"/>
        <v>0</v>
      </c>
      <c r="AN34" s="309">
        <f t="shared" ca="1" si="83"/>
        <v>168021</v>
      </c>
      <c r="AO34" s="309">
        <f t="shared" ca="1" si="83"/>
        <v>168021</v>
      </c>
      <c r="AP34" s="309">
        <f t="shared" ca="1" si="83"/>
        <v>0</v>
      </c>
      <c r="AQ34" s="309">
        <f t="shared" ca="1" si="83"/>
        <v>0</v>
      </c>
      <c r="AR34" s="309">
        <f t="shared" ca="1" si="83"/>
        <v>0</v>
      </c>
      <c r="AS34" s="309">
        <f t="shared" ca="1" si="83"/>
        <v>0</v>
      </c>
      <c r="AT34" s="309">
        <f t="shared" ca="1" si="83"/>
        <v>0</v>
      </c>
      <c r="AU34" s="309">
        <f t="shared" ca="1" si="83"/>
        <v>0</v>
      </c>
      <c r="AV34" s="309">
        <f t="shared" ca="1" si="83"/>
        <v>168021</v>
      </c>
      <c r="AW34" s="309">
        <f t="shared" ca="1" si="83"/>
        <v>168021</v>
      </c>
    </row>
    <row r="35" spans="1:49" s="300" customFormat="1" ht="12" customHeight="1">
      <c r="A35" s="310"/>
      <c r="B35" s="310"/>
      <c r="C35" s="310"/>
      <c r="D35" s="310"/>
      <c r="E35" s="311" t="s">
        <v>240</v>
      </c>
      <c r="F35" s="310"/>
      <c r="G35" s="312"/>
      <c r="H35" s="312"/>
      <c r="I35" s="310"/>
      <c r="J35" s="332">
        <f ca="1">MAX(J10+J34-K10-K34,0)</f>
        <v>3160190000</v>
      </c>
      <c r="K35" s="332">
        <f ca="1">MAX(K10+K34-J10-J34,0)</f>
        <v>0</v>
      </c>
      <c r="L35" s="332">
        <f ca="1">MAX(L10+L34-M10-M34,0)</f>
        <v>0</v>
      </c>
      <c r="M35" s="332">
        <f ca="1">MAX(M10+M34-L10-L34,0)</f>
        <v>0</v>
      </c>
      <c r="N35" s="332">
        <f ca="1">MAX(N10+N34-O10-O34,0)</f>
        <v>0</v>
      </c>
      <c r="O35" s="332">
        <f ca="1">MAX(O10+O34-N10-N34,0)</f>
        <v>0</v>
      </c>
      <c r="P35" s="332">
        <f ca="1">MAX(P10+P34-Q10-Q34,0)</f>
        <v>0</v>
      </c>
      <c r="Q35" s="332">
        <f ca="1">MAX(Q10+Q34-P10-P34,0)</f>
        <v>0</v>
      </c>
      <c r="R35" s="332">
        <f ca="1">MAX(R10+R34-S10-S34,0)</f>
        <v>0</v>
      </c>
      <c r="S35" s="332">
        <f ca="1">MAX(S10+S34-R10-R34,0)</f>
        <v>0</v>
      </c>
      <c r="T35" s="332">
        <f ca="1">MAX(T10+T34-U10-U34,0)</f>
        <v>800000000</v>
      </c>
      <c r="U35" s="332">
        <f ca="1">MAX(U10+U34-T10-T34,0)</f>
        <v>0</v>
      </c>
      <c r="V35" s="332">
        <f ca="1">MAX(V10+V34-W10-W34,0)</f>
        <v>0</v>
      </c>
      <c r="W35" s="332">
        <f ca="1">MAX(W10+W34-V10-V34,0)</f>
        <v>0</v>
      </c>
      <c r="X35" s="332">
        <f ca="1">MAX(X10+X34-Y10-Y34,0)</f>
        <v>0</v>
      </c>
      <c r="Y35" s="332">
        <f ca="1">MAX(Y10+Y34-X10-X34,0)</f>
        <v>0</v>
      </c>
      <c r="Z35" s="332">
        <f ca="1">MAX(Z10+Z34-AA10-AA34,0)</f>
        <v>0</v>
      </c>
      <c r="AA35" s="332">
        <f ca="1">MAX(AA10+AA34-Z10-Z34,0)</f>
        <v>0</v>
      </c>
      <c r="AB35" s="332">
        <f ca="1">MAX(AB10+AB34-AC10-AC34,0)</f>
        <v>0</v>
      </c>
      <c r="AC35" s="332">
        <f ca="1">MAX(AC10+AC34-AB10-AB34,0)</f>
        <v>0</v>
      </c>
      <c r="AD35" s="332">
        <f ca="1">MAX(AD10+AD34-AE10-AE34,0)</f>
        <v>0</v>
      </c>
      <c r="AE35" s="332">
        <f ca="1">MAX(AE10+AE34-AD10-AD34,0)</f>
        <v>4000000000</v>
      </c>
      <c r="AF35" s="332">
        <f ca="1">MAX(AF10+AF34-AG10-AG34,0)</f>
        <v>5210000</v>
      </c>
      <c r="AG35" s="332">
        <f ca="1">MAX(AG10+AG34-AF10-AF34,0)</f>
        <v>0</v>
      </c>
      <c r="AH35" s="332">
        <f ca="1">MAX(AH10+AH34-AI10-AI34,0)</f>
        <v>34600000</v>
      </c>
      <c r="AI35" s="332">
        <f ca="1">MAX(AI10+AI34-AH10-AH34,0)</f>
        <v>0</v>
      </c>
      <c r="AJ35" s="332">
        <f ca="1">MAX(AJ10+AJ34-AK10-AK34,0)</f>
        <v>0</v>
      </c>
      <c r="AK35" s="332">
        <f ca="1">MAX(AK10+AK34-AJ10-AJ34,0)</f>
        <v>0</v>
      </c>
      <c r="AL35" s="332">
        <f ca="1">MAX(AL10+AL34-AM10-AM34,0)</f>
        <v>0</v>
      </c>
      <c r="AM35" s="332">
        <f ca="1">MAX(AM10+AM34-AL10-AL34,0)</f>
        <v>0</v>
      </c>
      <c r="AN35" s="332">
        <f ca="1">MAX(AN10+AN34-AO10-AO34,0)</f>
        <v>0</v>
      </c>
      <c r="AO35" s="332">
        <f ca="1">MAX(AO10+AO34-AN10-AN34,0)</f>
        <v>0</v>
      </c>
      <c r="AP35" s="332">
        <f ca="1">MAX(AP10+AP34-AQ10-AQ34,0)</f>
        <v>0</v>
      </c>
      <c r="AQ35" s="332">
        <f ca="1">MAX(AQ10+AQ34-AP10-AP34,0)</f>
        <v>0</v>
      </c>
      <c r="AR35" s="332">
        <f ca="1">MAX(AR10+AR34-AS10-AS34,0)</f>
        <v>0</v>
      </c>
      <c r="AS35" s="332">
        <f ca="1">MAX(AS10+AS34-AR10-AR34,0)</f>
        <v>0</v>
      </c>
      <c r="AT35" s="332">
        <f ca="1">MAX(AT10+AT34-AU10-AU34,0)</f>
        <v>0</v>
      </c>
      <c r="AU35" s="332">
        <f ca="1">MAX(AU10+AU34-AT10-AT34,0)</f>
        <v>0</v>
      </c>
      <c r="AV35" s="332">
        <f ca="1">MAX(AV10+AV34-AW10-AW34,0)</f>
        <v>0</v>
      </c>
      <c r="AW35" s="332">
        <f ca="1">MAX(AW10+AW34-AV10-AV34,0)</f>
        <v>0</v>
      </c>
    </row>
    <row r="36" spans="1:49" s="300" customFormat="1" ht="12" customHeight="1">
      <c r="A36" s="314"/>
      <c r="B36" s="314"/>
      <c r="C36" s="315"/>
      <c r="D36" s="314"/>
      <c r="E36" s="316" t="s">
        <v>241</v>
      </c>
      <c r="F36" s="314"/>
      <c r="G36" s="317"/>
      <c r="H36" s="317"/>
      <c r="I36" s="314"/>
      <c r="J36" s="314">
        <f ca="1">J34+'04-06'!J43</f>
        <v>0</v>
      </c>
      <c r="K36" s="314">
        <f ca="1">K34+'04-06'!K43</f>
        <v>834600000</v>
      </c>
      <c r="L36" s="314">
        <f ca="1">L34+'04-06'!L43</f>
        <v>834600000</v>
      </c>
      <c r="M36" s="314">
        <f ca="1">M34+'04-06'!M43</f>
        <v>834600000</v>
      </c>
      <c r="N36" s="314">
        <f ca="1">N34+'04-06'!N43</f>
        <v>0</v>
      </c>
      <c r="O36" s="314">
        <f ca="1">O34+'04-06'!O43</f>
        <v>0</v>
      </c>
      <c r="P36" s="314">
        <f ca="1">P34+'04-06'!P43</f>
        <v>0</v>
      </c>
      <c r="Q36" s="314">
        <f ca="1">Q34+'04-06'!Q43</f>
        <v>0</v>
      </c>
      <c r="R36" s="314">
        <f ca="1">R34+'04-06'!R43</f>
        <v>0</v>
      </c>
      <c r="S36" s="314">
        <f ca="1">S34+'04-06'!S43</f>
        <v>0</v>
      </c>
      <c r="T36" s="314">
        <f ca="1">T34+'04-06'!T43</f>
        <v>832288666</v>
      </c>
      <c r="U36" s="314">
        <f ca="1">U34+'04-06'!U43</f>
        <v>32288666</v>
      </c>
      <c r="V36" s="314">
        <f ca="1">V34+'04-06'!V43</f>
        <v>0</v>
      </c>
      <c r="W36" s="314">
        <f ca="1">W34+'04-06'!W43</f>
        <v>0</v>
      </c>
      <c r="X36" s="314">
        <f ca="1">X34+'04-06'!X43</f>
        <v>1500000</v>
      </c>
      <c r="Y36" s="314">
        <f ca="1">Y34+'04-06'!Y43</f>
        <v>1500000</v>
      </c>
      <c r="Z36" s="314">
        <f ca="1">Z34+'04-06'!Z43</f>
        <v>584500000</v>
      </c>
      <c r="AA36" s="314">
        <f ca="1">AA34+'04-06'!AA43</f>
        <v>584500000</v>
      </c>
      <c r="AB36" s="314">
        <f ca="1">AB34+'04-06'!AB43</f>
        <v>0</v>
      </c>
      <c r="AC36" s="314">
        <f ca="1">AC34+'04-06'!AC43</f>
        <v>0</v>
      </c>
      <c r="AD36" s="314">
        <f ca="1">AD34+'04-06'!AD43</f>
        <v>0</v>
      </c>
      <c r="AE36" s="314">
        <f ca="1">AE34+'04-06'!AE43</f>
        <v>0</v>
      </c>
      <c r="AF36" s="314">
        <f ca="1">AF34+'04-06'!AF43</f>
        <v>1910000</v>
      </c>
      <c r="AG36" s="314">
        <f ca="1">AG34+'04-06'!AG43</f>
        <v>0</v>
      </c>
      <c r="AH36" s="314">
        <f ca="1">AH34+'04-06'!AH43</f>
        <v>34600000</v>
      </c>
      <c r="AI36" s="314">
        <f ca="1">AI34+'04-06'!AI43</f>
        <v>1910000</v>
      </c>
      <c r="AJ36" s="314">
        <f ca="1">AJ34+'04-06'!AJ43</f>
        <v>0</v>
      </c>
      <c r="AK36" s="314">
        <f ca="1">AK34+'04-06'!AK43</f>
        <v>0</v>
      </c>
      <c r="AL36" s="314">
        <f ca="1">AL34+'04-06'!AL43</f>
        <v>0</v>
      </c>
      <c r="AM36" s="314">
        <f ca="1">AM34+'04-06'!AM43</f>
        <v>0</v>
      </c>
      <c r="AN36" s="314">
        <f ca="1">AN34+'04-06'!AN43</f>
        <v>34600000</v>
      </c>
      <c r="AO36" s="314">
        <f ca="1">AO34+'04-06'!AO43</f>
        <v>34600000</v>
      </c>
      <c r="AP36" s="314">
        <f ca="1">AP34+'04-06'!AP43</f>
        <v>0</v>
      </c>
      <c r="AQ36" s="314">
        <f ca="1">AQ34+'04-06'!AQ43</f>
        <v>0</v>
      </c>
      <c r="AR36" s="314">
        <f ca="1">AR34+'04-06'!AR43</f>
        <v>0</v>
      </c>
      <c r="AS36" s="314">
        <f ca="1">AS34+'04-06'!AS43</f>
        <v>0</v>
      </c>
      <c r="AT36" s="314">
        <f ca="1">AT34+'04-06'!AT43</f>
        <v>0</v>
      </c>
      <c r="AU36" s="314">
        <f ca="1">AU34+'04-06'!AU43</f>
        <v>0</v>
      </c>
      <c r="AV36" s="314">
        <f ca="1">AV34+'04-06'!AV43</f>
        <v>34600000</v>
      </c>
      <c r="AW36" s="314">
        <f ca="1">AW34+'04-06'!AW43</f>
        <v>34600000</v>
      </c>
    </row>
    <row r="37" spans="1:49" ht="12" customHeight="1">
      <c r="B37" s="319"/>
      <c r="C37" s="320"/>
      <c r="D37" s="320"/>
      <c r="E37" s="320"/>
      <c r="F37" s="320"/>
      <c r="G37" s="321"/>
      <c r="H37" s="321"/>
      <c r="I37" s="320"/>
      <c r="J37" s="320"/>
      <c r="K37" s="320"/>
      <c r="AN37" s="319"/>
      <c r="AO37" s="319"/>
      <c r="AP37" s="320"/>
      <c r="AQ37" s="320"/>
      <c r="AR37" s="320"/>
      <c r="AS37" s="321"/>
      <c r="AT37" s="321"/>
      <c r="AU37" s="321"/>
      <c r="AV37" s="321"/>
      <c r="AW37" s="337"/>
    </row>
    <row r="38" spans="1:49">
      <c r="F38" s="278"/>
      <c r="M38" s="322"/>
      <c r="O38" s="322"/>
      <c r="P38" s="322"/>
      <c r="Q38" s="322"/>
      <c r="R38" s="322"/>
      <c r="S38" s="322"/>
      <c r="T38" s="322"/>
      <c r="AH38" s="323" t="s">
        <v>248</v>
      </c>
      <c r="AI38" s="324"/>
      <c r="AJ38" s="324"/>
      <c r="AK38" s="324"/>
      <c r="AL38" s="324"/>
      <c r="AM38" s="324"/>
      <c r="AN38" s="325"/>
      <c r="AO38" s="325"/>
      <c r="AP38" s="324"/>
    </row>
    <row r="39" spans="1:49">
      <c r="F39" s="278"/>
      <c r="M39" s="322"/>
      <c r="O39" s="322"/>
      <c r="P39" s="322"/>
      <c r="Q39" s="322"/>
      <c r="R39" s="322"/>
      <c r="S39" s="322"/>
      <c r="T39" s="322"/>
      <c r="AH39" s="326" t="s">
        <v>249</v>
      </c>
      <c r="AI39" s="324"/>
      <c r="AJ39" s="324"/>
      <c r="AK39" s="324"/>
      <c r="AL39" s="324"/>
      <c r="AM39" s="324"/>
      <c r="AN39" s="325"/>
      <c r="AO39" s="325"/>
      <c r="AP39" s="324"/>
    </row>
    <row r="40" spans="1:49">
      <c r="F40" s="278"/>
      <c r="M40" s="322"/>
      <c r="O40" s="322"/>
      <c r="P40" s="322"/>
      <c r="Q40" s="322"/>
      <c r="R40" s="322"/>
      <c r="S40" s="322"/>
      <c r="T40" s="322"/>
      <c r="AH40" s="324"/>
      <c r="AI40" s="324"/>
      <c r="AJ40" s="324"/>
      <c r="AK40" s="324"/>
      <c r="AL40" s="324"/>
      <c r="AM40" s="324"/>
      <c r="AN40" s="324"/>
      <c r="AO40" s="324"/>
      <c r="AP40" s="325"/>
    </row>
    <row r="41" spans="1:49">
      <c r="F41" s="278"/>
      <c r="M41" s="322"/>
      <c r="O41" s="322"/>
      <c r="P41" s="322"/>
      <c r="Q41" s="322"/>
      <c r="R41" s="322"/>
      <c r="S41" s="322"/>
      <c r="T41" s="322"/>
      <c r="AH41" s="324"/>
      <c r="AI41" s="324"/>
      <c r="AJ41" s="324"/>
      <c r="AK41" s="324"/>
      <c r="AL41" s="324"/>
      <c r="AM41" s="324"/>
      <c r="AN41" s="324"/>
      <c r="AO41" s="324"/>
      <c r="AP41" s="325"/>
      <c r="AV41" s="327" t="str">
        <f>"Ngày 30 tháng 09 năm 2015 "</f>
        <v xml:space="preserve">Ngày 30 tháng 09 năm 2015 </v>
      </c>
    </row>
    <row r="42" spans="1:49">
      <c r="F42" s="278"/>
      <c r="M42" s="322"/>
      <c r="O42" s="322"/>
      <c r="P42" s="322"/>
      <c r="Q42" s="322"/>
      <c r="R42" s="322"/>
      <c r="S42" s="322"/>
      <c r="T42" s="322"/>
      <c r="AH42" s="324"/>
      <c r="AI42" s="328" t="s">
        <v>13</v>
      </c>
      <c r="AJ42" s="324"/>
      <c r="AK42" s="324"/>
      <c r="AL42" s="324"/>
      <c r="AM42" s="324"/>
      <c r="AN42" s="324"/>
      <c r="AO42" s="329" t="s">
        <v>14</v>
      </c>
      <c r="AP42" s="325"/>
      <c r="AV42" s="328" t="s">
        <v>150</v>
      </c>
    </row>
    <row r="43" spans="1:49">
      <c r="F43" s="278"/>
      <c r="M43" s="322"/>
      <c r="O43" s="322"/>
      <c r="P43" s="322"/>
      <c r="Q43" s="322"/>
      <c r="R43" s="322"/>
      <c r="S43" s="322"/>
      <c r="T43" s="322"/>
      <c r="AH43" s="324"/>
      <c r="AI43" s="330" t="s">
        <v>15</v>
      </c>
      <c r="AJ43" s="324"/>
      <c r="AK43" s="324"/>
      <c r="AL43" s="324"/>
      <c r="AM43" s="324"/>
      <c r="AN43" s="324"/>
      <c r="AO43" s="331" t="s">
        <v>15</v>
      </c>
      <c r="AP43" s="325"/>
      <c r="AV43" s="330" t="s">
        <v>182</v>
      </c>
    </row>
    <row r="44" spans="1:49">
      <c r="F44" s="278"/>
      <c r="M44" s="322"/>
      <c r="O44" s="322"/>
      <c r="P44" s="322"/>
      <c r="Q44" s="322"/>
      <c r="R44" s="322"/>
      <c r="S44" s="322"/>
      <c r="T44" s="322"/>
      <c r="AH44" s="324"/>
      <c r="AI44" s="324"/>
      <c r="AJ44" s="324"/>
      <c r="AK44" s="324"/>
      <c r="AL44" s="324"/>
      <c r="AM44" s="324"/>
      <c r="AN44" s="324"/>
      <c r="AO44" s="324"/>
      <c r="AP44" s="325"/>
      <c r="AV44" s="324"/>
    </row>
    <row r="45" spans="1:49">
      <c r="F45" s="278"/>
      <c r="M45" s="322"/>
      <c r="O45" s="322"/>
      <c r="P45" s="322"/>
      <c r="Q45" s="322"/>
      <c r="R45" s="322"/>
      <c r="S45" s="322"/>
      <c r="T45" s="322"/>
      <c r="AV45" s="324"/>
    </row>
    <row r="46" spans="1:49">
      <c r="F46" s="278"/>
      <c r="M46" s="322"/>
      <c r="O46" s="322"/>
      <c r="P46" s="322"/>
      <c r="Q46" s="322"/>
      <c r="R46" s="322"/>
      <c r="S46" s="322"/>
      <c r="T46" s="322"/>
    </row>
    <row r="47" spans="1:49">
      <c r="F47" s="278"/>
      <c r="M47" s="322"/>
      <c r="O47" s="322"/>
      <c r="P47" s="322"/>
      <c r="Q47" s="322"/>
      <c r="R47" s="322"/>
      <c r="S47" s="322"/>
      <c r="T47" s="322"/>
    </row>
    <row r="48" spans="1:49">
      <c r="F48" s="278"/>
      <c r="M48" s="322"/>
      <c r="O48" s="322"/>
      <c r="P48" s="322"/>
      <c r="Q48" s="322"/>
      <c r="R48" s="322"/>
      <c r="S48" s="322"/>
      <c r="T48" s="322"/>
    </row>
    <row r="49" spans="6:20">
      <c r="F49" s="278"/>
      <c r="M49" s="322"/>
      <c r="O49" s="322"/>
      <c r="P49" s="322"/>
      <c r="Q49" s="322"/>
      <c r="R49" s="322"/>
      <c r="S49" s="322"/>
      <c r="T49" s="322"/>
    </row>
    <row r="50" spans="6:20">
      <c r="F50" s="278"/>
      <c r="M50" s="322"/>
      <c r="O50" s="322"/>
      <c r="P50" s="322"/>
      <c r="Q50" s="322"/>
      <c r="R50" s="322"/>
      <c r="S50" s="322"/>
      <c r="T50" s="322"/>
    </row>
    <row r="51" spans="6:20">
      <c r="F51" s="278"/>
      <c r="M51" s="322"/>
      <c r="O51" s="322"/>
      <c r="P51" s="322"/>
      <c r="Q51" s="322"/>
      <c r="R51" s="322"/>
      <c r="S51" s="322"/>
      <c r="T51" s="322"/>
    </row>
    <row r="60" spans="6:20">
      <c r="P60" s="322"/>
    </row>
    <row r="61" spans="6:20">
      <c r="P61" s="322"/>
    </row>
    <row r="62" spans="6:20">
      <c r="M62" s="322"/>
      <c r="N62" s="322"/>
      <c r="O62" s="322"/>
      <c r="P62" s="322"/>
    </row>
    <row r="63" spans="6:20">
      <c r="M63" s="322"/>
      <c r="N63" s="322"/>
      <c r="O63" s="322"/>
      <c r="P63" s="322"/>
    </row>
    <row r="64" spans="6:20">
      <c r="M64" s="322"/>
      <c r="N64" s="322"/>
      <c r="O64" s="322"/>
    </row>
    <row r="65" spans="13:16">
      <c r="M65" s="322"/>
      <c r="N65" s="322"/>
      <c r="O65" s="322"/>
    </row>
    <row r="67" spans="13:16">
      <c r="M67" s="322"/>
      <c r="N67" s="322"/>
      <c r="O67" s="322"/>
      <c r="P67" s="322"/>
    </row>
    <row r="68" spans="13:16">
      <c r="M68" s="322"/>
      <c r="N68" s="322"/>
      <c r="O68" s="322"/>
      <c r="P68" s="322"/>
    </row>
    <row r="75" spans="13:16">
      <c r="M75" s="322"/>
      <c r="N75" s="322"/>
      <c r="O75" s="322"/>
      <c r="P75" s="322"/>
    </row>
    <row r="76" spans="13:16">
      <c r="M76" s="322"/>
      <c r="N76" s="322"/>
      <c r="O76" s="322"/>
      <c r="P76" s="322"/>
    </row>
    <row r="77" spans="13:16">
      <c r="M77" s="322"/>
      <c r="N77" s="322"/>
      <c r="O77" s="322"/>
      <c r="P77" s="322"/>
    </row>
    <row r="81" spans="13:16">
      <c r="M81" s="322"/>
      <c r="N81" s="322"/>
      <c r="O81" s="322"/>
      <c r="P81" s="322"/>
    </row>
    <row r="82" spans="13:16">
      <c r="M82" s="322"/>
      <c r="N82" s="322"/>
      <c r="O82" s="322"/>
      <c r="P82" s="322"/>
    </row>
    <row r="83" spans="13:16">
      <c r="M83" s="322"/>
      <c r="N83" s="322"/>
      <c r="O83" s="322"/>
      <c r="P83" s="322"/>
    </row>
    <row r="84" spans="13:16">
      <c r="M84" s="322"/>
      <c r="N84" s="322"/>
      <c r="O84" s="322"/>
      <c r="P84" s="322"/>
    </row>
    <row r="85" spans="13:16">
      <c r="M85" s="322"/>
      <c r="N85" s="322"/>
      <c r="O85" s="322"/>
      <c r="P85" s="322"/>
    </row>
    <row r="86" spans="13:16">
      <c r="M86" s="322"/>
      <c r="N86" s="322"/>
      <c r="O86" s="322"/>
      <c r="P86" s="322"/>
    </row>
    <row r="87" spans="13:16">
      <c r="M87" s="322"/>
      <c r="N87" s="322"/>
      <c r="O87" s="322"/>
      <c r="P87" s="322"/>
    </row>
    <row r="88" spans="13:16">
      <c r="M88" s="322"/>
      <c r="N88" s="322"/>
      <c r="O88" s="322"/>
      <c r="P88" s="322"/>
    </row>
    <row r="89" spans="13:16">
      <c r="M89" s="322"/>
      <c r="N89" s="322"/>
      <c r="O89" s="322"/>
      <c r="P89" s="322"/>
    </row>
    <row r="90" spans="13:16">
      <c r="M90" s="322"/>
      <c r="N90" s="322"/>
      <c r="O90" s="322"/>
      <c r="P90" s="322"/>
    </row>
    <row r="91" spans="13:16">
      <c r="M91" s="322"/>
      <c r="N91" s="322"/>
      <c r="O91" s="322"/>
      <c r="P91" s="322"/>
    </row>
    <row r="92" spans="13:16">
      <c r="M92" s="322"/>
      <c r="N92" s="322"/>
      <c r="O92" s="322"/>
      <c r="P92" s="322"/>
    </row>
    <row r="93" spans="13:16">
      <c r="M93" s="322"/>
      <c r="N93" s="322"/>
      <c r="O93" s="322"/>
      <c r="P93" s="322"/>
    </row>
    <row r="94" spans="13:16">
      <c r="M94" s="322"/>
      <c r="N94" s="322"/>
      <c r="O94" s="322"/>
      <c r="P94" s="322"/>
    </row>
    <row r="95" spans="13:16">
      <c r="M95" s="322"/>
      <c r="N95" s="322"/>
      <c r="O95" s="322"/>
      <c r="P95" s="322"/>
    </row>
    <row r="96" spans="13:16">
      <c r="M96" s="322"/>
      <c r="N96" s="322"/>
      <c r="O96" s="322"/>
      <c r="P96" s="322"/>
    </row>
    <row r="97" spans="13:16">
      <c r="M97" s="322"/>
      <c r="N97" s="322"/>
      <c r="O97" s="322"/>
      <c r="P97" s="322"/>
    </row>
    <row r="98" spans="13:16">
      <c r="M98" s="322"/>
      <c r="N98" s="322"/>
      <c r="O98" s="322"/>
      <c r="P98" s="322"/>
    </row>
    <row r="99" spans="13:16">
      <c r="M99" s="322"/>
      <c r="N99" s="322"/>
      <c r="O99" s="322"/>
      <c r="P99" s="322"/>
    </row>
    <row r="100" spans="13:16">
      <c r="M100" s="322"/>
      <c r="N100" s="322"/>
      <c r="O100" s="322"/>
      <c r="P100" s="322"/>
    </row>
    <row r="101" spans="13:16">
      <c r="M101" s="322"/>
      <c r="N101" s="322"/>
      <c r="O101" s="322"/>
      <c r="P101" s="322"/>
    </row>
    <row r="102" spans="13:16">
      <c r="M102" s="322"/>
      <c r="N102" s="322"/>
      <c r="O102" s="322"/>
      <c r="P102" s="322"/>
    </row>
    <row r="103" spans="13:16">
      <c r="M103" s="322"/>
      <c r="N103" s="322"/>
      <c r="O103" s="322"/>
      <c r="P103" s="322"/>
    </row>
    <row r="104" spans="13:16">
      <c r="M104" s="322"/>
      <c r="N104" s="322"/>
      <c r="O104" s="322"/>
      <c r="P104" s="322"/>
    </row>
    <row r="105" spans="13:16">
      <c r="M105" s="322"/>
      <c r="N105" s="322"/>
      <c r="O105" s="322"/>
      <c r="P105" s="322"/>
    </row>
    <row r="106" spans="13:16">
      <c r="M106" s="322"/>
      <c r="N106" s="322"/>
      <c r="O106" s="322"/>
      <c r="P106" s="322"/>
    </row>
    <row r="107" spans="13:16">
      <c r="M107" s="322"/>
      <c r="N107" s="322"/>
      <c r="O107" s="322"/>
      <c r="P107" s="322"/>
    </row>
    <row r="108" spans="13:16">
      <c r="M108" s="322"/>
      <c r="N108" s="322"/>
      <c r="O108" s="322"/>
      <c r="P108" s="322"/>
    </row>
    <row r="109" spans="13:16">
      <c r="M109" s="322"/>
      <c r="N109" s="322"/>
      <c r="O109" s="322"/>
      <c r="P109" s="322"/>
    </row>
    <row r="110" spans="13:16">
      <c r="M110" s="322"/>
      <c r="N110" s="322"/>
      <c r="O110" s="322"/>
      <c r="P110" s="322"/>
    </row>
    <row r="111" spans="13:16">
      <c r="M111" s="322"/>
      <c r="N111" s="322"/>
      <c r="O111" s="322"/>
      <c r="P111" s="322"/>
    </row>
    <row r="112" spans="13:16">
      <c r="M112" s="322"/>
      <c r="N112" s="322"/>
      <c r="O112" s="322"/>
      <c r="P112" s="322"/>
    </row>
    <row r="113" spans="13:16">
      <c r="M113" s="322"/>
      <c r="N113" s="322"/>
      <c r="O113" s="322"/>
      <c r="P113" s="322"/>
    </row>
    <row r="114" spans="13:16">
      <c r="M114" s="322"/>
      <c r="N114" s="322"/>
      <c r="O114" s="322"/>
      <c r="P114" s="322"/>
    </row>
    <row r="115" spans="13:16">
      <c r="M115" s="322"/>
      <c r="N115" s="322"/>
      <c r="O115" s="322"/>
      <c r="P115" s="322"/>
    </row>
    <row r="116" spans="13:16">
      <c r="M116" s="322"/>
      <c r="N116" s="322"/>
      <c r="O116" s="322"/>
      <c r="P116" s="322"/>
    </row>
    <row r="117" spans="13:16">
      <c r="M117" s="322"/>
      <c r="N117" s="322"/>
      <c r="O117" s="322"/>
      <c r="P117" s="322"/>
    </row>
    <row r="118" spans="13:16">
      <c r="M118" s="322"/>
      <c r="N118" s="322"/>
      <c r="O118" s="322"/>
      <c r="P118" s="322"/>
    </row>
    <row r="119" spans="13:16">
      <c r="M119" s="322"/>
      <c r="N119" s="322"/>
      <c r="O119" s="322"/>
      <c r="P119" s="322"/>
    </row>
    <row r="120" spans="13:16">
      <c r="M120" s="322"/>
      <c r="N120" s="322"/>
      <c r="O120" s="322"/>
      <c r="P120" s="322"/>
    </row>
    <row r="121" spans="13:16">
      <c r="M121" s="322"/>
      <c r="N121" s="322"/>
      <c r="O121" s="322"/>
      <c r="P121" s="322"/>
    </row>
    <row r="122" spans="13:16">
      <c r="M122" s="322"/>
      <c r="N122" s="322"/>
      <c r="O122" s="322"/>
      <c r="P122" s="322"/>
    </row>
    <row r="123" spans="13:16">
      <c r="M123" s="322"/>
      <c r="N123" s="322"/>
      <c r="O123" s="322"/>
      <c r="P123" s="322"/>
    </row>
    <row r="124" spans="13:16">
      <c r="M124" s="322"/>
      <c r="N124" s="322"/>
      <c r="O124" s="322"/>
      <c r="P124" s="322"/>
    </row>
    <row r="125" spans="13:16">
      <c r="M125" s="322"/>
      <c r="N125" s="322"/>
      <c r="O125" s="322"/>
      <c r="P125" s="322"/>
    </row>
    <row r="126" spans="13:16">
      <c r="M126" s="322"/>
      <c r="N126" s="322"/>
      <c r="O126" s="322"/>
      <c r="P126" s="322"/>
    </row>
    <row r="127" spans="13:16">
      <c r="M127" s="322"/>
      <c r="N127" s="322"/>
      <c r="O127" s="322"/>
      <c r="P127" s="322"/>
    </row>
    <row r="128" spans="13:16">
      <c r="M128" s="322"/>
      <c r="N128" s="322"/>
      <c r="O128" s="322"/>
      <c r="P128" s="322"/>
    </row>
    <row r="129" spans="13:16">
      <c r="M129" s="322"/>
      <c r="N129" s="322"/>
      <c r="O129" s="322"/>
      <c r="P129" s="322"/>
    </row>
    <row r="130" spans="13:16">
      <c r="M130" s="322"/>
      <c r="N130" s="322"/>
      <c r="O130" s="322"/>
      <c r="P130" s="322"/>
    </row>
    <row r="131" spans="13:16">
      <c r="M131" s="322"/>
      <c r="N131" s="322"/>
      <c r="O131" s="322"/>
      <c r="P131" s="322"/>
    </row>
    <row r="132" spans="13:16">
      <c r="M132" s="322"/>
      <c r="N132" s="322"/>
      <c r="O132" s="322"/>
      <c r="P132" s="322"/>
    </row>
    <row r="133" spans="13:16">
      <c r="M133" s="322"/>
      <c r="N133" s="322"/>
      <c r="O133" s="322"/>
      <c r="P133" s="322"/>
    </row>
    <row r="134" spans="13:16">
      <c r="M134" s="322"/>
      <c r="N134" s="322"/>
      <c r="O134" s="322"/>
      <c r="P134" s="322"/>
    </row>
    <row r="135" spans="13:16">
      <c r="M135" s="322"/>
      <c r="N135" s="322"/>
      <c r="O135" s="322"/>
      <c r="P135" s="322"/>
    </row>
    <row r="136" spans="13:16">
      <c r="M136" s="322"/>
      <c r="N136" s="322"/>
      <c r="O136" s="322"/>
      <c r="P136" s="322"/>
    </row>
    <row r="137" spans="13:16">
      <c r="M137" s="322"/>
      <c r="N137" s="322"/>
      <c r="O137" s="322"/>
      <c r="P137" s="322"/>
    </row>
    <row r="138" spans="13:16">
      <c r="M138" s="322"/>
      <c r="N138" s="322"/>
      <c r="O138" s="322"/>
      <c r="P138" s="322"/>
    </row>
    <row r="139" spans="13:16">
      <c r="M139" s="322"/>
      <c r="N139" s="322"/>
      <c r="O139" s="322"/>
      <c r="P139" s="322"/>
    </row>
    <row r="140" spans="13:16">
      <c r="M140" s="322"/>
      <c r="N140" s="322"/>
      <c r="O140" s="322"/>
      <c r="P140" s="322"/>
    </row>
    <row r="141" spans="13:16">
      <c r="M141" s="322"/>
      <c r="N141" s="322"/>
      <c r="O141" s="322"/>
      <c r="P141" s="322"/>
    </row>
    <row r="142" spans="13:16">
      <c r="M142" s="322"/>
      <c r="N142" s="322"/>
      <c r="O142" s="322"/>
      <c r="P142" s="322"/>
    </row>
    <row r="143" spans="13:16">
      <c r="M143" s="322"/>
      <c r="N143" s="322"/>
      <c r="O143" s="322"/>
      <c r="P143" s="322"/>
    </row>
    <row r="144" spans="13:16">
      <c r="M144" s="322"/>
      <c r="N144" s="322"/>
      <c r="O144" s="322"/>
      <c r="P144" s="322"/>
    </row>
    <row r="145" spans="13:16">
      <c r="M145" s="322"/>
      <c r="N145" s="322"/>
      <c r="O145" s="322"/>
      <c r="P145" s="322"/>
    </row>
    <row r="146" spans="13:16">
      <c r="M146" s="322"/>
      <c r="N146" s="322"/>
      <c r="O146" s="322"/>
      <c r="P146" s="322"/>
    </row>
    <row r="147" spans="13:16">
      <c r="M147" s="322"/>
      <c r="N147" s="322"/>
      <c r="O147" s="322"/>
      <c r="P147" s="322"/>
    </row>
    <row r="148" spans="13:16">
      <c r="M148" s="322"/>
      <c r="N148" s="322"/>
      <c r="O148" s="322"/>
      <c r="P148" s="322"/>
    </row>
    <row r="149" spans="13:16">
      <c r="M149" s="322"/>
      <c r="N149" s="322"/>
      <c r="O149" s="322"/>
      <c r="P149" s="322"/>
    </row>
    <row r="150" spans="13:16">
      <c r="M150" s="322"/>
      <c r="N150" s="322"/>
      <c r="O150" s="322"/>
      <c r="P150" s="322"/>
    </row>
    <row r="151" spans="13:16">
      <c r="M151" s="322"/>
      <c r="N151" s="322"/>
      <c r="O151" s="322"/>
      <c r="P151" s="322"/>
    </row>
    <row r="152" spans="13:16">
      <c r="M152" s="322"/>
      <c r="N152" s="322"/>
      <c r="O152" s="322"/>
      <c r="P152" s="322"/>
    </row>
    <row r="153" spans="13:16">
      <c r="M153" s="322"/>
      <c r="N153" s="322"/>
      <c r="O153" s="322"/>
      <c r="P153" s="322"/>
    </row>
    <row r="154" spans="13:16">
      <c r="M154" s="322"/>
      <c r="N154" s="322"/>
      <c r="O154" s="322"/>
      <c r="P154" s="322"/>
    </row>
    <row r="155" spans="13:16">
      <c r="M155" s="322"/>
      <c r="N155" s="322"/>
      <c r="O155" s="322"/>
      <c r="P155" s="322"/>
    </row>
  </sheetData>
  <autoFilter ref="A9:AW36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9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E41" sqref="E41"/>
    </sheetView>
  </sheetViews>
  <sheetFormatPr defaultRowHeight="12.75"/>
  <cols>
    <col min="1" max="1" width="4.85546875" style="278" customWidth="1"/>
    <col min="2" max="2" width="9" style="278" customWidth="1"/>
    <col min="3" max="3" width="7.85546875" style="278" customWidth="1"/>
    <col min="4" max="4" width="9.7109375" style="278" customWidth="1"/>
    <col min="5" max="5" width="40.28515625" style="278" customWidth="1"/>
    <col min="6" max="6" width="12.7109375" style="278" customWidth="1"/>
    <col min="7" max="8" width="5.85546875" style="279" customWidth="1"/>
    <col min="9" max="9" width="4.85546875" style="278" customWidth="1"/>
    <col min="10" max="10" width="15.42578125" style="278" customWidth="1"/>
    <col min="11" max="11" width="15.140625" style="278" customWidth="1"/>
    <col min="12" max="12" width="12.7109375" style="278" customWidth="1"/>
    <col min="13" max="13" width="12.5703125" style="278" customWidth="1"/>
    <col min="14" max="15" width="14.5703125" style="278" customWidth="1"/>
    <col min="16" max="16" width="12.42578125" style="278" customWidth="1"/>
    <col min="17" max="17" width="14" style="278" customWidth="1"/>
    <col min="18" max="19" width="11" style="278" customWidth="1"/>
    <col min="20" max="20" width="10" style="278" customWidth="1"/>
    <col min="21" max="21" width="10.140625" style="278" customWidth="1"/>
    <col min="22" max="22" width="11" style="278" customWidth="1"/>
    <col min="23" max="23" width="11.140625" style="278" customWidth="1"/>
    <col min="24" max="24" width="11.42578125" style="278" customWidth="1"/>
    <col min="25" max="25" width="11.7109375" style="278" customWidth="1"/>
    <col min="26" max="29" width="10.5703125" style="278" customWidth="1"/>
    <col min="30" max="30" width="11.85546875" style="278" customWidth="1"/>
    <col min="31" max="31" width="11.42578125" style="278" customWidth="1"/>
    <col min="32" max="32" width="14.7109375" style="278" customWidth="1"/>
    <col min="33" max="33" width="15.140625" style="278" customWidth="1"/>
    <col min="34" max="35" width="12.140625" style="278" customWidth="1"/>
    <col min="36" max="36" width="11.28515625" style="278" customWidth="1"/>
    <col min="37" max="37" width="11.140625" style="278" customWidth="1"/>
    <col min="38" max="39" width="12.5703125" style="278" customWidth="1"/>
    <col min="40" max="40" width="13.42578125" style="278" customWidth="1"/>
    <col min="41" max="41" width="12.7109375" style="278" customWidth="1"/>
    <col min="42" max="42" width="11.85546875" style="278" customWidth="1"/>
    <col min="43" max="43" width="11.5703125" style="278" customWidth="1"/>
    <col min="44" max="44" width="14.7109375" style="278" customWidth="1"/>
    <col min="45" max="45" width="15.7109375" style="278" customWidth="1"/>
    <col min="46" max="46" width="13.42578125" style="278" customWidth="1"/>
    <col min="47" max="47" width="12.7109375" style="278" customWidth="1"/>
    <col min="48" max="49" width="13.140625" style="278" customWidth="1"/>
    <col min="50" max="16384" width="9.140625" style="278"/>
  </cols>
  <sheetData>
    <row r="1" spans="1:49" ht="12.75" customHeight="1">
      <c r="A1" s="274"/>
      <c r="B1" s="275" t="s">
        <v>139</v>
      </c>
      <c r="C1" s="276"/>
      <c r="D1" s="276"/>
      <c r="E1" s="277"/>
      <c r="I1" s="276"/>
      <c r="M1" s="276" t="s">
        <v>214</v>
      </c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  <c r="AL1" s="276"/>
      <c r="AM1" s="276"/>
      <c r="AN1" s="276"/>
      <c r="AO1" s="276"/>
      <c r="AP1" s="276"/>
      <c r="AQ1" s="276"/>
      <c r="AR1" s="276"/>
      <c r="AS1" s="276"/>
      <c r="AT1" s="276"/>
      <c r="AU1" s="276"/>
      <c r="AV1" s="276"/>
      <c r="AW1" s="276"/>
    </row>
    <row r="2" spans="1:49" ht="12.75" customHeight="1">
      <c r="A2" s="274"/>
      <c r="B2" s="275" t="s">
        <v>203</v>
      </c>
      <c r="C2" s="276"/>
      <c r="D2" s="276"/>
      <c r="E2" s="276"/>
      <c r="I2" s="280"/>
      <c r="M2" s="390" t="s">
        <v>215</v>
      </c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</row>
    <row r="3" spans="1:49" ht="10.5" customHeight="1">
      <c r="A3" s="276"/>
      <c r="B3" s="276"/>
      <c r="C3" s="276"/>
      <c r="D3" s="276"/>
      <c r="E3" s="276"/>
      <c r="F3" s="280"/>
      <c r="G3" s="282"/>
      <c r="H3" s="282"/>
      <c r="I3" s="280"/>
      <c r="M3" s="390"/>
      <c r="R3" s="280"/>
      <c r="S3" s="280"/>
      <c r="T3" s="280"/>
      <c r="U3" s="280"/>
      <c r="V3" s="280"/>
      <c r="W3" s="280"/>
      <c r="X3" s="280"/>
      <c r="Y3" s="280"/>
      <c r="Z3" s="280"/>
      <c r="AA3" s="280"/>
      <c r="AB3" s="280"/>
      <c r="AC3" s="280"/>
      <c r="AD3" s="280"/>
      <c r="AE3" s="280"/>
      <c r="AF3" s="280"/>
      <c r="AG3" s="280"/>
      <c r="AH3" s="280"/>
      <c r="AI3" s="280"/>
      <c r="AJ3" s="280"/>
      <c r="AK3" s="280"/>
      <c r="AL3" s="280"/>
      <c r="AM3" s="280"/>
      <c r="AN3" s="280"/>
      <c r="AO3" s="280"/>
      <c r="AP3" s="280"/>
      <c r="AQ3" s="280"/>
      <c r="AR3" s="280"/>
      <c r="AS3" s="280"/>
      <c r="AT3" s="280"/>
      <c r="AU3" s="280"/>
      <c r="AV3" s="280"/>
      <c r="AW3" s="280"/>
    </row>
    <row r="4" spans="1:49" ht="19.5" customHeight="1">
      <c r="B4" s="391" t="s">
        <v>129</v>
      </c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283"/>
      <c r="O4" s="283"/>
      <c r="P4" s="283"/>
      <c r="Q4" s="283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</row>
    <row r="5" spans="1:49" ht="15">
      <c r="B5" s="392" t="s">
        <v>250</v>
      </c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286"/>
    </row>
    <row r="7" spans="1:49" ht="13.5" customHeight="1">
      <c r="A7" s="393" t="s">
        <v>48</v>
      </c>
      <c r="B7" s="395" t="s">
        <v>28</v>
      </c>
      <c r="C7" s="396" t="s">
        <v>1</v>
      </c>
      <c r="D7" s="397"/>
      <c r="E7" s="395" t="s">
        <v>0</v>
      </c>
      <c r="F7" s="395" t="s">
        <v>130</v>
      </c>
      <c r="G7" s="398" t="s">
        <v>131</v>
      </c>
      <c r="H7" s="398"/>
      <c r="I7" s="399" t="s">
        <v>48</v>
      </c>
      <c r="J7" s="395" t="s">
        <v>217</v>
      </c>
      <c r="K7" s="395"/>
      <c r="L7" s="395" t="s">
        <v>218</v>
      </c>
      <c r="M7" s="395"/>
      <c r="N7" s="395" t="s">
        <v>219</v>
      </c>
      <c r="O7" s="395"/>
      <c r="P7" s="395" t="s">
        <v>220</v>
      </c>
      <c r="Q7" s="395"/>
      <c r="R7" s="395" t="s">
        <v>221</v>
      </c>
      <c r="S7" s="395"/>
      <c r="T7" s="395" t="s">
        <v>222</v>
      </c>
      <c r="U7" s="395"/>
      <c r="V7" s="395" t="s">
        <v>223</v>
      </c>
      <c r="W7" s="395"/>
      <c r="X7" s="395" t="s">
        <v>224</v>
      </c>
      <c r="Y7" s="395"/>
      <c r="Z7" s="395" t="s">
        <v>225</v>
      </c>
      <c r="AA7" s="395"/>
      <c r="AB7" s="395" t="s">
        <v>226</v>
      </c>
      <c r="AC7" s="395"/>
      <c r="AD7" s="395" t="s">
        <v>227</v>
      </c>
      <c r="AE7" s="395"/>
      <c r="AF7" s="395" t="s">
        <v>228</v>
      </c>
      <c r="AG7" s="395"/>
      <c r="AH7" s="395" t="s">
        <v>229</v>
      </c>
      <c r="AI7" s="395"/>
      <c r="AJ7" s="395" t="s">
        <v>230</v>
      </c>
      <c r="AK7" s="395"/>
      <c r="AL7" s="395" t="s">
        <v>231</v>
      </c>
      <c r="AM7" s="395"/>
      <c r="AN7" s="395" t="s">
        <v>232</v>
      </c>
      <c r="AO7" s="395"/>
      <c r="AP7" s="395" t="s">
        <v>233</v>
      </c>
      <c r="AQ7" s="395"/>
      <c r="AR7" s="395" t="s">
        <v>234</v>
      </c>
      <c r="AS7" s="395"/>
      <c r="AT7" s="395" t="s">
        <v>235</v>
      </c>
      <c r="AU7" s="395"/>
      <c r="AV7" s="395" t="s">
        <v>236</v>
      </c>
      <c r="AW7" s="395"/>
    </row>
    <row r="8" spans="1:49" ht="22.5" customHeight="1">
      <c r="A8" s="394"/>
      <c r="B8" s="395"/>
      <c r="C8" s="289" t="s">
        <v>19</v>
      </c>
      <c r="D8" s="288" t="s">
        <v>40</v>
      </c>
      <c r="E8" s="395"/>
      <c r="F8" s="395"/>
      <c r="G8" s="290" t="s">
        <v>30</v>
      </c>
      <c r="H8" s="290" t="s">
        <v>31</v>
      </c>
      <c r="I8" s="399"/>
      <c r="J8" s="288" t="s">
        <v>30</v>
      </c>
      <c r="K8" s="288" t="s">
        <v>31</v>
      </c>
      <c r="L8" s="288" t="s">
        <v>30</v>
      </c>
      <c r="M8" s="288" t="s">
        <v>31</v>
      </c>
      <c r="N8" s="288" t="s">
        <v>30</v>
      </c>
      <c r="O8" s="288" t="s">
        <v>31</v>
      </c>
      <c r="P8" s="288" t="s">
        <v>30</v>
      </c>
      <c r="Q8" s="288" t="s">
        <v>31</v>
      </c>
      <c r="R8" s="288" t="s">
        <v>30</v>
      </c>
      <c r="S8" s="288" t="s">
        <v>31</v>
      </c>
      <c r="T8" s="288" t="s">
        <v>30</v>
      </c>
      <c r="U8" s="288" t="s">
        <v>31</v>
      </c>
      <c r="V8" s="288" t="s">
        <v>30</v>
      </c>
      <c r="W8" s="288" t="s">
        <v>31</v>
      </c>
      <c r="X8" s="288" t="s">
        <v>30</v>
      </c>
      <c r="Y8" s="288" t="s">
        <v>31</v>
      </c>
      <c r="Z8" s="288" t="s">
        <v>30</v>
      </c>
      <c r="AA8" s="288" t="s">
        <v>31</v>
      </c>
      <c r="AB8" s="288" t="s">
        <v>30</v>
      </c>
      <c r="AC8" s="288" t="s">
        <v>31</v>
      </c>
      <c r="AD8" s="288" t="s">
        <v>30</v>
      </c>
      <c r="AE8" s="288" t="s">
        <v>31</v>
      </c>
      <c r="AF8" s="288" t="s">
        <v>30</v>
      </c>
      <c r="AG8" s="288" t="s">
        <v>31</v>
      </c>
      <c r="AH8" s="288" t="s">
        <v>30</v>
      </c>
      <c r="AI8" s="288" t="s">
        <v>31</v>
      </c>
      <c r="AJ8" s="288" t="s">
        <v>30</v>
      </c>
      <c r="AK8" s="288" t="s">
        <v>31</v>
      </c>
      <c r="AL8" s="288" t="s">
        <v>30</v>
      </c>
      <c r="AM8" s="288" t="s">
        <v>31</v>
      </c>
      <c r="AN8" s="288" t="s">
        <v>30</v>
      </c>
      <c r="AO8" s="288" t="s">
        <v>31</v>
      </c>
      <c r="AP8" s="288" t="s">
        <v>30</v>
      </c>
      <c r="AQ8" s="288" t="s">
        <v>31</v>
      </c>
      <c r="AR8" s="288" t="s">
        <v>30</v>
      </c>
      <c r="AS8" s="288" t="s">
        <v>31</v>
      </c>
      <c r="AT8" s="288" t="s">
        <v>30</v>
      </c>
      <c r="AU8" s="288" t="s">
        <v>31</v>
      </c>
      <c r="AV8" s="288" t="s">
        <v>30</v>
      </c>
      <c r="AW8" s="288" t="s">
        <v>31</v>
      </c>
    </row>
    <row r="9" spans="1:49" s="292" customFormat="1" ht="8.25" customHeight="1">
      <c r="A9" s="291">
        <v>1</v>
      </c>
      <c r="B9" s="291">
        <v>2</v>
      </c>
      <c r="C9" s="291">
        <v>3</v>
      </c>
      <c r="D9" s="291">
        <v>4</v>
      </c>
      <c r="E9" s="291">
        <v>5</v>
      </c>
      <c r="F9" s="291">
        <v>6</v>
      </c>
      <c r="G9" s="291">
        <v>7</v>
      </c>
      <c r="H9" s="291">
        <v>8</v>
      </c>
      <c r="I9" s="291">
        <v>9</v>
      </c>
      <c r="J9" s="291">
        <v>10</v>
      </c>
      <c r="K9" s="291">
        <v>11</v>
      </c>
      <c r="L9" s="291">
        <v>12</v>
      </c>
      <c r="M9" s="291">
        <v>13</v>
      </c>
      <c r="N9" s="291">
        <v>14</v>
      </c>
      <c r="O9" s="291">
        <v>15</v>
      </c>
      <c r="P9" s="291">
        <v>16</v>
      </c>
      <c r="Q9" s="291">
        <v>17</v>
      </c>
      <c r="R9" s="291">
        <v>18</v>
      </c>
      <c r="S9" s="291">
        <v>19</v>
      </c>
      <c r="T9" s="291">
        <v>20</v>
      </c>
      <c r="U9" s="291">
        <v>21</v>
      </c>
      <c r="V9" s="291">
        <v>22</v>
      </c>
      <c r="W9" s="291">
        <v>23</v>
      </c>
      <c r="X9" s="291">
        <v>24</v>
      </c>
      <c r="Y9" s="291">
        <v>25</v>
      </c>
      <c r="Z9" s="291">
        <v>26</v>
      </c>
      <c r="AA9" s="291">
        <v>27</v>
      </c>
      <c r="AB9" s="291">
        <v>28</v>
      </c>
      <c r="AC9" s="291">
        <v>29</v>
      </c>
      <c r="AD9" s="291">
        <v>30</v>
      </c>
      <c r="AE9" s="291">
        <v>31</v>
      </c>
      <c r="AF9" s="291">
        <v>32</v>
      </c>
      <c r="AG9" s="291">
        <v>33</v>
      </c>
      <c r="AH9" s="291">
        <v>34</v>
      </c>
      <c r="AI9" s="291">
        <v>35</v>
      </c>
      <c r="AJ9" s="291">
        <v>36</v>
      </c>
      <c r="AK9" s="291">
        <v>37</v>
      </c>
      <c r="AL9" s="291">
        <v>38</v>
      </c>
      <c r="AM9" s="291">
        <v>39</v>
      </c>
      <c r="AN9" s="291">
        <v>40</v>
      </c>
      <c r="AO9" s="291">
        <v>41</v>
      </c>
      <c r="AP9" s="291">
        <v>42</v>
      </c>
      <c r="AQ9" s="291">
        <v>43</v>
      </c>
      <c r="AR9" s="291">
        <v>44</v>
      </c>
      <c r="AS9" s="291">
        <v>45</v>
      </c>
      <c r="AT9" s="291">
        <v>46</v>
      </c>
      <c r="AU9" s="291">
        <v>47</v>
      </c>
      <c r="AV9" s="291">
        <v>48</v>
      </c>
      <c r="AW9" s="291">
        <v>49</v>
      </c>
    </row>
    <row r="10" spans="1:49" s="300" customFormat="1" ht="12" customHeight="1">
      <c r="A10" s="63" t="str">
        <f t="array" ref="A10">IF(C10&lt;&gt;0,SUM(($C10:C$15&lt;&gt;0)*1),"")</f>
        <v/>
      </c>
      <c r="B10" s="293"/>
      <c r="C10" s="294"/>
      <c r="D10" s="293"/>
      <c r="E10" s="295" t="s">
        <v>200</v>
      </c>
      <c r="F10" s="296"/>
      <c r="G10" s="297"/>
      <c r="H10" s="297"/>
      <c r="I10" s="298"/>
      <c r="J10" s="299">
        <f ca="1">'07-09'!J35</f>
        <v>3160190000</v>
      </c>
      <c r="K10" s="299">
        <f ca="1">'07-09'!K35</f>
        <v>0</v>
      </c>
      <c r="L10" s="299">
        <f ca="1">'07-09'!L35</f>
        <v>0</v>
      </c>
      <c r="M10" s="299">
        <f ca="1">'07-09'!M35</f>
        <v>0</v>
      </c>
      <c r="N10" s="299">
        <f ca="1">'07-09'!N35</f>
        <v>0</v>
      </c>
      <c r="O10" s="299">
        <f ca="1">'07-09'!O35</f>
        <v>0</v>
      </c>
      <c r="P10" s="299">
        <f ca="1">'07-09'!P35</f>
        <v>0</v>
      </c>
      <c r="Q10" s="299">
        <f ca="1">'07-09'!Q35</f>
        <v>0</v>
      </c>
      <c r="R10" s="299">
        <f ca="1">'07-09'!R35</f>
        <v>0</v>
      </c>
      <c r="S10" s="299">
        <f ca="1">'07-09'!S35</f>
        <v>0</v>
      </c>
      <c r="T10" s="299">
        <f ca="1">'07-09'!T35</f>
        <v>800000000</v>
      </c>
      <c r="U10" s="299">
        <f ca="1">'07-09'!U35</f>
        <v>0</v>
      </c>
      <c r="V10" s="299">
        <f ca="1">'07-09'!V35</f>
        <v>0</v>
      </c>
      <c r="W10" s="299">
        <f ca="1">'07-09'!W35</f>
        <v>0</v>
      </c>
      <c r="X10" s="299">
        <f ca="1">'07-09'!X35</f>
        <v>0</v>
      </c>
      <c r="Y10" s="299">
        <f ca="1">'07-09'!Y35</f>
        <v>0</v>
      </c>
      <c r="Z10" s="299">
        <f ca="1">'07-09'!Z35</f>
        <v>0</v>
      </c>
      <c r="AA10" s="299">
        <f ca="1">'07-09'!AA35</f>
        <v>0</v>
      </c>
      <c r="AB10" s="299">
        <f ca="1">'07-09'!AB35</f>
        <v>0</v>
      </c>
      <c r="AC10" s="299">
        <f ca="1">'07-09'!AC35</f>
        <v>0</v>
      </c>
      <c r="AD10" s="299">
        <f ca="1">'07-09'!AD35</f>
        <v>0</v>
      </c>
      <c r="AE10" s="299">
        <f ca="1">'07-09'!AE35</f>
        <v>4000000000</v>
      </c>
      <c r="AF10" s="299">
        <f ca="1">'07-09'!AF35</f>
        <v>5210000</v>
      </c>
      <c r="AG10" s="299">
        <f ca="1">'07-09'!AG35</f>
        <v>0</v>
      </c>
      <c r="AH10" s="299">
        <f ca="1">'07-09'!AH35</f>
        <v>34600000</v>
      </c>
      <c r="AI10" s="299">
        <f ca="1">'07-09'!AI35</f>
        <v>0</v>
      </c>
      <c r="AJ10" s="299">
        <f ca="1">'07-09'!AJ35</f>
        <v>0</v>
      </c>
      <c r="AK10" s="299">
        <f ca="1">'07-09'!AK35</f>
        <v>0</v>
      </c>
      <c r="AL10" s="299">
        <f ca="1">'07-09'!AL35</f>
        <v>0</v>
      </c>
      <c r="AM10" s="299">
        <f ca="1">'07-09'!AM35</f>
        <v>0</v>
      </c>
      <c r="AN10" s="299">
        <f ca="1">'07-09'!AN35</f>
        <v>0</v>
      </c>
      <c r="AO10" s="299">
        <f ca="1">'07-09'!AO35</f>
        <v>0</v>
      </c>
      <c r="AP10" s="299">
        <f ca="1">'07-09'!AP35</f>
        <v>0</v>
      </c>
      <c r="AQ10" s="299">
        <f ca="1">'07-09'!AQ35</f>
        <v>0</v>
      </c>
      <c r="AR10" s="299">
        <f ca="1">'07-09'!AR35</f>
        <v>0</v>
      </c>
      <c r="AS10" s="299">
        <f ca="1">'07-09'!AS35</f>
        <v>0</v>
      </c>
      <c r="AT10" s="299">
        <f ca="1">'07-09'!AT35</f>
        <v>0</v>
      </c>
      <c r="AU10" s="299">
        <f ca="1">'07-09'!AU35</f>
        <v>0</v>
      </c>
      <c r="AV10" s="299">
        <f ca="1">'07-09'!AV35</f>
        <v>0</v>
      </c>
      <c r="AW10" s="299">
        <f ca="1">'07-09'!AW35</f>
        <v>0</v>
      </c>
    </row>
    <row r="11" spans="1:49" s="300" customFormat="1" ht="12" customHeight="1">
      <c r="A11" s="63">
        <f t="array" aca="1" ref="A11" ca="1">IF(C11&lt;&gt;0,SUM(($C$11:C11&lt;&gt;0)*1),"")</f>
        <v>1</v>
      </c>
      <c r="B11" s="301">
        <f ca="1">IF(ROWS($1:1)&gt;COUNT(Dong9),"",OFFSET(TH!C$1,SMALL(Dong9,ROWS($1:1)),))</f>
        <v>40872</v>
      </c>
      <c r="C11" s="301" t="str">
        <f ca="1">IF(ROWS($1:1)&gt;COUNT(Dong9),"",OFFSET(TH!D$1,SMALL(Dong9,ROWS($1:1)),))</f>
        <v>C01</v>
      </c>
      <c r="D11" s="301">
        <f ca="1">IF(ROWS($1:1)&gt;COUNT(Dong9),"",OFFSET(TH!E$1,SMALL(Dong9,ROWS($1:1)),))</f>
        <v>40872</v>
      </c>
      <c r="E11" s="351" t="str">
        <f ca="1">IF(ROWS($1:1)&gt;COUNT(Dong9),"",OFFSET(TH!F$1,SMALL(Dong9,ROWS($1:1)),))</f>
        <v>Trả tiền mượn vốn - An Lạc LA</v>
      </c>
      <c r="F11" s="352">
        <f ca="1">IF(ROWS($1:1)&gt;COUNT(Dong9),"",OFFSET(TH!I$1,SMALL(Dong9,ROWS($1:1)),))</f>
        <v>30000000</v>
      </c>
      <c r="G11" s="354" t="str">
        <f ca="1">IF(ROWS($1:1)&gt;COUNT(Dong9),"",OFFSET(TH!J$1,SMALL(Dong9,ROWS($1:1)),))</f>
        <v>3388</v>
      </c>
      <c r="H11" s="354" t="str">
        <f ca="1">IF(ROWS($1:1)&gt;COUNT(Dong9),"",OFFSET(TH!K$1,SMALL(Dong9,ROWS($1:1)),))</f>
        <v>1111</v>
      </c>
      <c r="I11" s="63">
        <f t="shared" ref="I11:I23" ca="1" si="0">A11</f>
        <v>1</v>
      </c>
      <c r="J11" s="303">
        <f t="shared" ref="J11:J23" ca="1" si="1">IF($G11="1111",$F11,0)</f>
        <v>0</v>
      </c>
      <c r="K11" s="303">
        <f t="shared" ref="K11:K23" ca="1" si="2">IF($H11="1111",$F11,0)</f>
        <v>30000000</v>
      </c>
      <c r="L11" s="303">
        <f t="shared" ref="L11:L23" ca="1" si="3">IF($G11="1121",$F11,0)</f>
        <v>0</v>
      </c>
      <c r="M11" s="303">
        <f t="shared" ref="M11:M23" ca="1" si="4">IF($H11="1121",$F11,0)</f>
        <v>0</v>
      </c>
      <c r="N11" s="303">
        <f t="shared" ref="N11:N23" ca="1" si="5">IF($G11="1331",$F11,0)</f>
        <v>0</v>
      </c>
      <c r="O11" s="303">
        <f t="shared" ref="O11:O23" ca="1" si="6">IF($H11="1331",$F11,0)</f>
        <v>0</v>
      </c>
      <c r="P11" s="303">
        <f t="shared" ref="P11:P23" ca="1" si="7">IF($G11="1388",$F11,0)</f>
        <v>0</v>
      </c>
      <c r="Q11" s="303">
        <f t="shared" ref="Q11:Q23" ca="1" si="8">IF($H11="1388",$F11,0)</f>
        <v>0</v>
      </c>
      <c r="R11" s="303">
        <f ca="1">IF($G11="2412",$F11,0)</f>
        <v>0</v>
      </c>
      <c r="S11" s="303">
        <f ca="1">IF($H11="2412",$F11,0)</f>
        <v>0</v>
      </c>
      <c r="T11" s="303">
        <f t="shared" ref="T11:T23" ca="1" si="9">IF($G11="331",$F11,0)</f>
        <v>0</v>
      </c>
      <c r="U11" s="303">
        <f t="shared" ref="U11:U23" ca="1" si="10">IF($H11="331",$F11,0)</f>
        <v>0</v>
      </c>
      <c r="V11" s="303">
        <f t="shared" ref="V11:V23" ca="1" si="11">IF($G11="3334",$F11,0)</f>
        <v>0</v>
      </c>
      <c r="W11" s="303">
        <f t="shared" ref="W11:W23" ca="1" si="12">IF($H11="3334",$F11,0)</f>
        <v>0</v>
      </c>
      <c r="X11" s="303">
        <f t="shared" ref="X11:X23" ca="1" si="13">IF($G11="33382",$F11,0)</f>
        <v>0</v>
      </c>
      <c r="Y11" s="303">
        <f t="shared" ref="Y11:Y23" ca="1" si="14">IF($H11="33382",$F11,0)</f>
        <v>0</v>
      </c>
      <c r="Z11" s="303">
        <f t="shared" ref="Z11:Z23" ca="1" si="15">IF($G11="3388",$F11,0)</f>
        <v>30000000</v>
      </c>
      <c r="AA11" s="303">
        <f t="shared" ref="AA11:AA23" ca="1" si="16">IF($H11="3388",$F11,0)</f>
        <v>0</v>
      </c>
      <c r="AB11" s="303">
        <f t="shared" ref="AB11:AB23" ca="1" si="17">IF($G11="3411",$F11,0)</f>
        <v>0</v>
      </c>
      <c r="AC11" s="303">
        <f t="shared" ref="AC11:AC23" ca="1" si="18">IF($H11="3411",$F11,0)</f>
        <v>0</v>
      </c>
      <c r="AD11" s="303">
        <f t="shared" ref="AD11:AD23" ca="1" si="19">IF($G11="4111",$F11,0)</f>
        <v>0</v>
      </c>
      <c r="AE11" s="303">
        <f t="shared" ref="AE11:AE23" ca="1" si="20">IF($H11="4111",$F11,0)</f>
        <v>0</v>
      </c>
      <c r="AF11" s="303">
        <f t="shared" ref="AF11:AF23" ca="1" si="21">IF($G11="4211",$F11,0)</f>
        <v>0</v>
      </c>
      <c r="AG11" s="303">
        <f t="shared" ref="AG11:AG23" ca="1" si="22">IF($H11="4211",$F11,0)</f>
        <v>0</v>
      </c>
      <c r="AH11" s="303">
        <f t="shared" ref="AH11:AH23" ca="1" si="23">IF($G11="4212",$F11,0)</f>
        <v>0</v>
      </c>
      <c r="AI11" s="303">
        <f t="shared" ref="AI11:AI23" ca="1" si="24">IF($H11="4212",$F11,0)</f>
        <v>0</v>
      </c>
      <c r="AJ11" s="303">
        <f t="shared" ref="AJ11:AJ23" ca="1" si="25">IF($G11="515",$F11,0)</f>
        <v>0</v>
      </c>
      <c r="AK11" s="303">
        <f t="shared" ref="AK11:AK23" ca="1" si="26">IF($H11="515",$F11,0)</f>
        <v>0</v>
      </c>
      <c r="AL11" s="303">
        <f t="shared" ref="AL11:AL23" ca="1" si="27">IF($G11="635",$F11,0)</f>
        <v>0</v>
      </c>
      <c r="AM11" s="303">
        <f t="shared" ref="AM11:AM23" ca="1" si="28">IF($H11="635",$F11,0)</f>
        <v>0</v>
      </c>
      <c r="AN11" s="303">
        <f t="shared" ref="AN11:AN23" ca="1" si="29">IF($G11="642",$F11,0)</f>
        <v>0</v>
      </c>
      <c r="AO11" s="303">
        <f t="shared" ref="AO11:AO23" ca="1" si="30">IF($H11="642",$F11,0)</f>
        <v>0</v>
      </c>
      <c r="AP11" s="303">
        <f t="shared" ref="AP11:AP23" ca="1" si="31">IF($G11="711",$F11,0)</f>
        <v>0</v>
      </c>
      <c r="AQ11" s="303">
        <f t="shared" ref="AQ11:AQ23" ca="1" si="32">IF($H11="711",$F11,0)</f>
        <v>0</v>
      </c>
      <c r="AR11" s="303">
        <f t="shared" ref="AR11:AR23" ca="1" si="33">IF($G11="811",$F11,0)</f>
        <v>0</v>
      </c>
      <c r="AS11" s="303">
        <f t="shared" ref="AS11:AS23" ca="1" si="34">IF($H11="811",$F11,0)</f>
        <v>0</v>
      </c>
      <c r="AT11" s="303">
        <f t="shared" ref="AT11:AT23" ca="1" si="35">IF($G11="821",$F11,0)</f>
        <v>0</v>
      </c>
      <c r="AU11" s="303">
        <f t="shared" ref="AU11:AU23" ca="1" si="36">IF($H11="821",$F11,0)</f>
        <v>0</v>
      </c>
      <c r="AV11" s="303">
        <f t="shared" ref="AV11:AV23" ca="1" si="37">IF($G11="911",$F11,0)</f>
        <v>0</v>
      </c>
      <c r="AW11" s="303">
        <f t="shared" ref="AW11:AW23" ca="1" si="38">IF($H11="911",$F11,0)</f>
        <v>0</v>
      </c>
    </row>
    <row r="12" spans="1:49" s="300" customFormat="1" ht="12" customHeight="1">
      <c r="A12" s="63">
        <f t="array" aca="1" ref="A12" ca="1">IF(C12&lt;&gt;0,SUM(($C$11:C12&lt;&gt;0)*1),"")</f>
        <v>2</v>
      </c>
      <c r="B12" s="301">
        <f ca="1">IF(ROWS($1:2)&gt;COUNT(Dong9),"",OFFSET(TH!C$1,SMALL(Dong9,ROWS($1:2)),))</f>
        <v>40872</v>
      </c>
      <c r="C12" s="301" t="str">
        <f ca="1">IF(ROWS($1:2)&gt;COUNT(Dong9),"",OFFSET(TH!D$1,SMALL(Dong9,ROWS($1:2)),))</f>
        <v>GBC</v>
      </c>
      <c r="D12" s="301">
        <f ca="1">IF(ROWS($1:2)&gt;COUNT(Dong9),"",OFFSET(TH!E$1,SMALL(Dong9,ROWS($1:2)),))</f>
        <v>40872</v>
      </c>
      <c r="E12" s="351" t="str">
        <f ca="1">IF(ROWS($1:2)&gt;COUNT(Dong9),"",OFFSET(TH!F$1,SMALL(Dong9,ROWS($1:2)),))</f>
        <v>An Lạc LA- Mượn vốn</v>
      </c>
      <c r="F12" s="352">
        <f ca="1">IF(ROWS($1:2)&gt;COUNT(Dong9),"",OFFSET(TH!I$1,SMALL(Dong9,ROWS($1:2)),))</f>
        <v>30000000</v>
      </c>
      <c r="G12" s="354" t="str">
        <f ca="1">IF(ROWS($1:2)&gt;COUNT(Dong9),"",OFFSET(TH!J$1,SMALL(Dong9,ROWS($1:2)),))</f>
        <v>1121</v>
      </c>
      <c r="H12" s="354" t="str">
        <f ca="1">IF(ROWS($1:2)&gt;COUNT(Dong9),"",OFFSET(TH!K$1,SMALL(Dong9,ROWS($1:2)),))</f>
        <v>3388</v>
      </c>
      <c r="I12" s="63">
        <f t="shared" ca="1" si="0"/>
        <v>2</v>
      </c>
      <c r="J12" s="303">
        <f t="shared" ca="1" si="1"/>
        <v>0</v>
      </c>
      <c r="K12" s="303">
        <f t="shared" ca="1" si="2"/>
        <v>0</v>
      </c>
      <c r="L12" s="303">
        <f t="shared" ca="1" si="3"/>
        <v>30000000</v>
      </c>
      <c r="M12" s="303">
        <f t="shared" ca="1" si="4"/>
        <v>0</v>
      </c>
      <c r="N12" s="303">
        <f t="shared" ca="1" si="5"/>
        <v>0</v>
      </c>
      <c r="O12" s="303">
        <f t="shared" ca="1" si="6"/>
        <v>0</v>
      </c>
      <c r="P12" s="303">
        <f t="shared" ca="1" si="7"/>
        <v>0</v>
      </c>
      <c r="Q12" s="303">
        <f t="shared" ca="1" si="8"/>
        <v>0</v>
      </c>
      <c r="R12" s="303">
        <f t="shared" ref="R12:R23" ca="1" si="39">IF($G12="2412",$F12,0)</f>
        <v>0</v>
      </c>
      <c r="S12" s="303">
        <f t="shared" ref="S12:S23" ca="1" si="40">IF($H12="2412",$F12,0)</f>
        <v>0</v>
      </c>
      <c r="T12" s="303">
        <f t="shared" ca="1" si="9"/>
        <v>0</v>
      </c>
      <c r="U12" s="303">
        <f t="shared" ca="1" si="10"/>
        <v>0</v>
      </c>
      <c r="V12" s="303">
        <f t="shared" ca="1" si="11"/>
        <v>0</v>
      </c>
      <c r="W12" s="303">
        <f t="shared" ca="1" si="12"/>
        <v>0</v>
      </c>
      <c r="X12" s="303">
        <f t="shared" ca="1" si="13"/>
        <v>0</v>
      </c>
      <c r="Y12" s="303">
        <f t="shared" ca="1" si="14"/>
        <v>0</v>
      </c>
      <c r="Z12" s="303">
        <f t="shared" ca="1" si="15"/>
        <v>0</v>
      </c>
      <c r="AA12" s="303">
        <f t="shared" ca="1" si="16"/>
        <v>30000000</v>
      </c>
      <c r="AB12" s="303">
        <f t="shared" ca="1" si="17"/>
        <v>0</v>
      </c>
      <c r="AC12" s="303">
        <f t="shared" ca="1" si="18"/>
        <v>0</v>
      </c>
      <c r="AD12" s="303">
        <f t="shared" ca="1" si="19"/>
        <v>0</v>
      </c>
      <c r="AE12" s="303">
        <f t="shared" ca="1" si="20"/>
        <v>0</v>
      </c>
      <c r="AF12" s="303">
        <f t="shared" ca="1" si="21"/>
        <v>0</v>
      </c>
      <c r="AG12" s="303">
        <f t="shared" ca="1" si="22"/>
        <v>0</v>
      </c>
      <c r="AH12" s="303">
        <f t="shared" ca="1" si="23"/>
        <v>0</v>
      </c>
      <c r="AI12" s="303">
        <f t="shared" ca="1" si="24"/>
        <v>0</v>
      </c>
      <c r="AJ12" s="303">
        <f t="shared" ca="1" si="25"/>
        <v>0</v>
      </c>
      <c r="AK12" s="303">
        <f t="shared" ca="1" si="26"/>
        <v>0</v>
      </c>
      <c r="AL12" s="303">
        <f t="shared" ca="1" si="27"/>
        <v>0</v>
      </c>
      <c r="AM12" s="303">
        <f t="shared" ca="1" si="28"/>
        <v>0</v>
      </c>
      <c r="AN12" s="303">
        <f t="shared" ca="1" si="29"/>
        <v>0</v>
      </c>
      <c r="AO12" s="303">
        <f t="shared" ca="1" si="30"/>
        <v>0</v>
      </c>
      <c r="AP12" s="303">
        <f t="shared" ca="1" si="31"/>
        <v>0</v>
      </c>
      <c r="AQ12" s="303">
        <f t="shared" ca="1" si="32"/>
        <v>0</v>
      </c>
      <c r="AR12" s="303">
        <f t="shared" ca="1" si="33"/>
        <v>0</v>
      </c>
      <c r="AS12" s="303">
        <f t="shared" ca="1" si="34"/>
        <v>0</v>
      </c>
      <c r="AT12" s="303">
        <f t="shared" ca="1" si="35"/>
        <v>0</v>
      </c>
      <c r="AU12" s="303">
        <f t="shared" ca="1" si="36"/>
        <v>0</v>
      </c>
      <c r="AV12" s="303">
        <f t="shared" ca="1" si="37"/>
        <v>0</v>
      </c>
      <c r="AW12" s="303">
        <f t="shared" ca="1" si="38"/>
        <v>0</v>
      </c>
    </row>
    <row r="13" spans="1:49" s="300" customFormat="1" ht="12" customHeight="1">
      <c r="A13" s="63">
        <f t="array" aca="1" ref="A13" ca="1">IF(C13&lt;&gt;0,SUM(($C$11:C13&lt;&gt;0)*1),"")</f>
        <v>3</v>
      </c>
      <c r="B13" s="301">
        <f ca="1">IF(ROWS($1:3)&gt;COUNT(Dong9),"",OFFSET(TH!C$1,SMALL(Dong9,ROWS($1:3)),))</f>
        <v>40872</v>
      </c>
      <c r="C13" s="301" t="str">
        <f ca="1">IF(ROWS($1:3)&gt;COUNT(Dong9),"",OFFSET(TH!D$1,SMALL(Dong9,ROWS($1:3)),))</f>
        <v>GBN</v>
      </c>
      <c r="D13" s="301">
        <f ca="1">IF(ROWS($1:3)&gt;COUNT(Dong9),"",OFFSET(TH!E$1,SMALL(Dong9,ROWS($1:3)),))</f>
        <v>40872</v>
      </c>
      <c r="E13" s="351" t="str">
        <f ca="1">IF(ROWS($1:3)&gt;COUNT(Dong9),"",OFFSET(TH!F$1,SMALL(Dong9,ROWS($1:3)),))</f>
        <v>Thanh toán Thuê quyền SDĐ - KCN Long Đức 15/9/11-15/9/12</v>
      </c>
      <c r="F13" s="352">
        <f ca="1">IF(ROWS($1:3)&gt;COUNT(Dong9),"",OFFSET(TH!I$1,SMALL(Dong9,ROWS($1:3)),))</f>
        <v>29920000</v>
      </c>
      <c r="G13" s="354" t="str">
        <f ca="1">IF(ROWS($1:3)&gt;COUNT(Dong9),"",OFFSET(TH!J$1,SMALL(Dong9,ROWS($1:3)),))</f>
        <v>331</v>
      </c>
      <c r="H13" s="354" t="str">
        <f ca="1">IF(ROWS($1:3)&gt;COUNT(Dong9),"",OFFSET(TH!K$1,SMALL(Dong9,ROWS($1:3)),))</f>
        <v>1121</v>
      </c>
      <c r="I13" s="63">
        <f t="shared" ca="1" si="0"/>
        <v>3</v>
      </c>
      <c r="J13" s="303">
        <f t="shared" ca="1" si="1"/>
        <v>0</v>
      </c>
      <c r="K13" s="303">
        <f t="shared" ca="1" si="2"/>
        <v>0</v>
      </c>
      <c r="L13" s="303">
        <f t="shared" ca="1" si="3"/>
        <v>0</v>
      </c>
      <c r="M13" s="303">
        <f t="shared" ca="1" si="4"/>
        <v>29920000</v>
      </c>
      <c r="N13" s="303">
        <f t="shared" ca="1" si="5"/>
        <v>0</v>
      </c>
      <c r="O13" s="303">
        <f t="shared" ca="1" si="6"/>
        <v>0</v>
      </c>
      <c r="P13" s="303">
        <f t="shared" ca="1" si="7"/>
        <v>0</v>
      </c>
      <c r="Q13" s="303">
        <f t="shared" ca="1" si="8"/>
        <v>0</v>
      </c>
      <c r="R13" s="303">
        <f t="shared" ca="1" si="39"/>
        <v>0</v>
      </c>
      <c r="S13" s="303">
        <f t="shared" ca="1" si="40"/>
        <v>0</v>
      </c>
      <c r="T13" s="303">
        <f t="shared" ca="1" si="9"/>
        <v>29920000</v>
      </c>
      <c r="U13" s="303">
        <f t="shared" ca="1" si="10"/>
        <v>0</v>
      </c>
      <c r="V13" s="303">
        <f t="shared" ca="1" si="11"/>
        <v>0</v>
      </c>
      <c r="W13" s="303">
        <f t="shared" ca="1" si="12"/>
        <v>0</v>
      </c>
      <c r="X13" s="303">
        <f t="shared" ca="1" si="13"/>
        <v>0</v>
      </c>
      <c r="Y13" s="303">
        <f t="shared" ca="1" si="14"/>
        <v>0</v>
      </c>
      <c r="Z13" s="303">
        <f t="shared" ca="1" si="15"/>
        <v>0</v>
      </c>
      <c r="AA13" s="303">
        <f t="shared" ca="1" si="16"/>
        <v>0</v>
      </c>
      <c r="AB13" s="303">
        <f t="shared" ca="1" si="17"/>
        <v>0</v>
      </c>
      <c r="AC13" s="303">
        <f t="shared" ca="1" si="18"/>
        <v>0</v>
      </c>
      <c r="AD13" s="303">
        <f t="shared" ca="1" si="19"/>
        <v>0</v>
      </c>
      <c r="AE13" s="303">
        <f t="shared" ca="1" si="20"/>
        <v>0</v>
      </c>
      <c r="AF13" s="303">
        <f t="shared" ca="1" si="21"/>
        <v>0</v>
      </c>
      <c r="AG13" s="303">
        <f t="shared" ca="1" si="22"/>
        <v>0</v>
      </c>
      <c r="AH13" s="303">
        <f t="shared" ca="1" si="23"/>
        <v>0</v>
      </c>
      <c r="AI13" s="303">
        <f t="shared" ca="1" si="24"/>
        <v>0</v>
      </c>
      <c r="AJ13" s="303">
        <f t="shared" ca="1" si="25"/>
        <v>0</v>
      </c>
      <c r="AK13" s="303">
        <f t="shared" ca="1" si="26"/>
        <v>0</v>
      </c>
      <c r="AL13" s="303">
        <f t="shared" ca="1" si="27"/>
        <v>0</v>
      </c>
      <c r="AM13" s="303">
        <f t="shared" ca="1" si="28"/>
        <v>0</v>
      </c>
      <c r="AN13" s="303">
        <f t="shared" ca="1" si="29"/>
        <v>0</v>
      </c>
      <c r="AO13" s="303">
        <f t="shared" ca="1" si="30"/>
        <v>0</v>
      </c>
      <c r="AP13" s="303">
        <f t="shared" ca="1" si="31"/>
        <v>0</v>
      </c>
      <c r="AQ13" s="303">
        <f t="shared" ca="1" si="32"/>
        <v>0</v>
      </c>
      <c r="AR13" s="303">
        <f t="shared" ca="1" si="33"/>
        <v>0</v>
      </c>
      <c r="AS13" s="303">
        <f t="shared" ca="1" si="34"/>
        <v>0</v>
      </c>
      <c r="AT13" s="303">
        <f t="shared" ca="1" si="35"/>
        <v>0</v>
      </c>
      <c r="AU13" s="303">
        <f t="shared" ca="1" si="36"/>
        <v>0</v>
      </c>
      <c r="AV13" s="303">
        <f t="shared" ca="1" si="37"/>
        <v>0</v>
      </c>
      <c r="AW13" s="303">
        <f t="shared" ca="1" si="38"/>
        <v>0</v>
      </c>
    </row>
    <row r="14" spans="1:49" s="300" customFormat="1" ht="12" customHeight="1">
      <c r="A14" s="63">
        <f t="array" aca="1" ref="A14" ca="1">IF(C14&lt;&gt;0,SUM(($C$11:C14&lt;&gt;0)*1),"")</f>
        <v>4</v>
      </c>
      <c r="B14" s="301">
        <f ca="1">IF(ROWS($1:4)&gt;COUNT(Dong9),"",OFFSET(TH!C$1,SMALL(Dong9,ROWS($1:4)),))</f>
        <v>40872</v>
      </c>
      <c r="C14" s="301" t="str">
        <f ca="1">IF(ROWS($1:4)&gt;COUNT(Dong9),"",OFFSET(TH!D$1,SMALL(Dong9,ROWS($1:4)),))</f>
        <v>GBN</v>
      </c>
      <c r="D14" s="301">
        <f ca="1">IF(ROWS($1:4)&gt;COUNT(Dong9),"",OFFSET(TH!E$1,SMALL(Dong9,ROWS($1:4)),))</f>
        <v>40872</v>
      </c>
      <c r="E14" s="351" t="str">
        <f ca="1">IF(ROWS($1:4)&gt;COUNT(Dong9),"",OFFSET(TH!F$1,SMALL(Dong9,ROWS($1:4)),))</f>
        <v xml:space="preserve">Phí chuyển tiền </v>
      </c>
      <c r="F14" s="352">
        <f ca="1">IF(ROWS($1:4)&gt;COUNT(Dong9),"",OFFSET(TH!I$1,SMALL(Dong9,ROWS($1:4)),))</f>
        <v>20000</v>
      </c>
      <c r="G14" s="354" t="str">
        <f ca="1">IF(ROWS($1:4)&gt;COUNT(Dong9),"",OFFSET(TH!J$1,SMALL(Dong9,ROWS($1:4)),))</f>
        <v>642</v>
      </c>
      <c r="H14" s="354" t="str">
        <f ca="1">IF(ROWS($1:4)&gt;COUNT(Dong9),"",OFFSET(TH!K$1,SMALL(Dong9,ROWS($1:4)),))</f>
        <v>1121</v>
      </c>
      <c r="I14" s="63">
        <f t="shared" ca="1" si="0"/>
        <v>4</v>
      </c>
      <c r="J14" s="303">
        <f t="shared" ca="1" si="1"/>
        <v>0</v>
      </c>
      <c r="K14" s="303">
        <f t="shared" ca="1" si="2"/>
        <v>0</v>
      </c>
      <c r="L14" s="303">
        <f t="shared" ca="1" si="3"/>
        <v>0</v>
      </c>
      <c r="M14" s="303">
        <f t="shared" ca="1" si="4"/>
        <v>20000</v>
      </c>
      <c r="N14" s="303">
        <f t="shared" ca="1" si="5"/>
        <v>0</v>
      </c>
      <c r="O14" s="303">
        <f t="shared" ca="1" si="6"/>
        <v>0</v>
      </c>
      <c r="P14" s="303">
        <f t="shared" ca="1" si="7"/>
        <v>0</v>
      </c>
      <c r="Q14" s="303">
        <f t="shared" ca="1" si="8"/>
        <v>0</v>
      </c>
      <c r="R14" s="303">
        <f t="shared" ca="1" si="39"/>
        <v>0</v>
      </c>
      <c r="S14" s="303">
        <f t="shared" ca="1" si="40"/>
        <v>0</v>
      </c>
      <c r="T14" s="303">
        <f t="shared" ca="1" si="9"/>
        <v>0</v>
      </c>
      <c r="U14" s="303">
        <f t="shared" ca="1" si="10"/>
        <v>0</v>
      </c>
      <c r="V14" s="303">
        <f t="shared" ca="1" si="11"/>
        <v>0</v>
      </c>
      <c r="W14" s="303">
        <f t="shared" ca="1" si="12"/>
        <v>0</v>
      </c>
      <c r="X14" s="303">
        <f t="shared" ca="1" si="13"/>
        <v>0</v>
      </c>
      <c r="Y14" s="303">
        <f t="shared" ca="1" si="14"/>
        <v>0</v>
      </c>
      <c r="Z14" s="303">
        <f t="shared" ca="1" si="15"/>
        <v>0</v>
      </c>
      <c r="AA14" s="303">
        <f t="shared" ca="1" si="16"/>
        <v>0</v>
      </c>
      <c r="AB14" s="303">
        <f t="shared" ca="1" si="17"/>
        <v>0</v>
      </c>
      <c r="AC14" s="303">
        <f t="shared" ca="1" si="18"/>
        <v>0</v>
      </c>
      <c r="AD14" s="303">
        <f t="shared" ca="1" si="19"/>
        <v>0</v>
      </c>
      <c r="AE14" s="303">
        <f t="shared" ca="1" si="20"/>
        <v>0</v>
      </c>
      <c r="AF14" s="303">
        <f t="shared" ca="1" si="21"/>
        <v>0</v>
      </c>
      <c r="AG14" s="303">
        <f t="shared" ca="1" si="22"/>
        <v>0</v>
      </c>
      <c r="AH14" s="303">
        <f t="shared" ca="1" si="23"/>
        <v>0</v>
      </c>
      <c r="AI14" s="303">
        <f t="shared" ca="1" si="24"/>
        <v>0</v>
      </c>
      <c r="AJ14" s="303">
        <f t="shared" ca="1" si="25"/>
        <v>0</v>
      </c>
      <c r="AK14" s="303">
        <f t="shared" ca="1" si="26"/>
        <v>0</v>
      </c>
      <c r="AL14" s="303">
        <f t="shared" ca="1" si="27"/>
        <v>0</v>
      </c>
      <c r="AM14" s="303">
        <f t="shared" ca="1" si="28"/>
        <v>0</v>
      </c>
      <c r="AN14" s="303">
        <f t="shared" ca="1" si="29"/>
        <v>20000</v>
      </c>
      <c r="AO14" s="303">
        <f t="shared" ca="1" si="30"/>
        <v>0</v>
      </c>
      <c r="AP14" s="303">
        <f t="shared" ca="1" si="31"/>
        <v>0</v>
      </c>
      <c r="AQ14" s="303">
        <f t="shared" ca="1" si="32"/>
        <v>0</v>
      </c>
      <c r="AR14" s="303">
        <f t="shared" ca="1" si="33"/>
        <v>0</v>
      </c>
      <c r="AS14" s="303">
        <f t="shared" ca="1" si="34"/>
        <v>0</v>
      </c>
      <c r="AT14" s="303">
        <f t="shared" ca="1" si="35"/>
        <v>0</v>
      </c>
      <c r="AU14" s="303">
        <f t="shared" ca="1" si="36"/>
        <v>0</v>
      </c>
      <c r="AV14" s="303">
        <f t="shared" ca="1" si="37"/>
        <v>0</v>
      </c>
      <c r="AW14" s="303">
        <f t="shared" ca="1" si="38"/>
        <v>0</v>
      </c>
    </row>
    <row r="15" spans="1:49" s="300" customFormat="1" ht="12" customHeight="1">
      <c r="A15" s="63">
        <f t="array" aca="1" ref="A15" ca="1">IF(C15&lt;&gt;0,SUM(($C$11:C15&lt;&gt;0)*1),"")</f>
        <v>5</v>
      </c>
      <c r="B15" s="301">
        <f ca="1">IF(ROWS($1:5)&gt;COUNT(Dong9),"",OFFSET(TH!C$1,SMALL(Dong9,ROWS($1:5)),))</f>
        <v>40872</v>
      </c>
      <c r="C15" s="301" t="str">
        <f ca="1">IF(ROWS($1:5)&gt;COUNT(Dong9),"",OFFSET(TH!D$1,SMALL(Dong9,ROWS($1:5)),))</f>
        <v>GBN</v>
      </c>
      <c r="D15" s="301">
        <f ca="1">IF(ROWS($1:5)&gt;COUNT(Dong9),"",OFFSET(TH!E$1,SMALL(Dong9,ROWS($1:5)),))</f>
        <v>40872</v>
      </c>
      <c r="E15" s="351" t="str">
        <f ca="1">IF(ROWS($1:5)&gt;COUNT(Dong9),"",OFFSET(TH!F$1,SMALL(Dong9,ROWS($1:5)),))</f>
        <v xml:space="preserve">GTGT Phí chuyển tiền </v>
      </c>
      <c r="F15" s="352">
        <f ca="1">IF(ROWS($1:5)&gt;COUNT(Dong9),"",OFFSET(TH!I$1,SMALL(Dong9,ROWS($1:5)),))</f>
        <v>2000</v>
      </c>
      <c r="G15" s="354" t="str">
        <f ca="1">IF(ROWS($1:5)&gt;COUNT(Dong9),"",OFFSET(TH!J$1,SMALL(Dong9,ROWS($1:5)),))</f>
        <v>642</v>
      </c>
      <c r="H15" s="354" t="str">
        <f ca="1">IF(ROWS($1:5)&gt;COUNT(Dong9),"",OFFSET(TH!K$1,SMALL(Dong9,ROWS($1:5)),))</f>
        <v>1121</v>
      </c>
      <c r="I15" s="63">
        <f t="shared" ca="1" si="0"/>
        <v>5</v>
      </c>
      <c r="J15" s="303">
        <f t="shared" ca="1" si="1"/>
        <v>0</v>
      </c>
      <c r="K15" s="303">
        <f t="shared" ca="1" si="2"/>
        <v>0</v>
      </c>
      <c r="L15" s="303">
        <f t="shared" ca="1" si="3"/>
        <v>0</v>
      </c>
      <c r="M15" s="303">
        <f t="shared" ca="1" si="4"/>
        <v>2000</v>
      </c>
      <c r="N15" s="303">
        <f t="shared" ca="1" si="5"/>
        <v>0</v>
      </c>
      <c r="O15" s="303">
        <f t="shared" ca="1" si="6"/>
        <v>0</v>
      </c>
      <c r="P15" s="303">
        <f t="shared" ca="1" si="7"/>
        <v>0</v>
      </c>
      <c r="Q15" s="303">
        <f t="shared" ca="1" si="8"/>
        <v>0</v>
      </c>
      <c r="R15" s="303">
        <f t="shared" ca="1" si="39"/>
        <v>0</v>
      </c>
      <c r="S15" s="303">
        <f t="shared" ca="1" si="40"/>
        <v>0</v>
      </c>
      <c r="T15" s="303">
        <f t="shared" ca="1" si="9"/>
        <v>0</v>
      </c>
      <c r="U15" s="303">
        <f t="shared" ca="1" si="10"/>
        <v>0</v>
      </c>
      <c r="V15" s="303">
        <f t="shared" ca="1" si="11"/>
        <v>0</v>
      </c>
      <c r="W15" s="303">
        <f t="shared" ca="1" si="12"/>
        <v>0</v>
      </c>
      <c r="X15" s="303">
        <f t="shared" ca="1" si="13"/>
        <v>0</v>
      </c>
      <c r="Y15" s="303">
        <f t="shared" ca="1" si="14"/>
        <v>0</v>
      </c>
      <c r="Z15" s="303">
        <f t="shared" ca="1" si="15"/>
        <v>0</v>
      </c>
      <c r="AA15" s="303">
        <f t="shared" ca="1" si="16"/>
        <v>0</v>
      </c>
      <c r="AB15" s="303">
        <f t="shared" ca="1" si="17"/>
        <v>0</v>
      </c>
      <c r="AC15" s="303">
        <f t="shared" ca="1" si="18"/>
        <v>0</v>
      </c>
      <c r="AD15" s="303">
        <f t="shared" ca="1" si="19"/>
        <v>0</v>
      </c>
      <c r="AE15" s="303">
        <f t="shared" ca="1" si="20"/>
        <v>0</v>
      </c>
      <c r="AF15" s="303">
        <f t="shared" ca="1" si="21"/>
        <v>0</v>
      </c>
      <c r="AG15" s="303">
        <f t="shared" ca="1" si="22"/>
        <v>0</v>
      </c>
      <c r="AH15" s="303">
        <f t="shared" ca="1" si="23"/>
        <v>0</v>
      </c>
      <c r="AI15" s="303">
        <f t="shared" ca="1" si="24"/>
        <v>0</v>
      </c>
      <c r="AJ15" s="303">
        <f t="shared" ca="1" si="25"/>
        <v>0</v>
      </c>
      <c r="AK15" s="303">
        <f t="shared" ca="1" si="26"/>
        <v>0</v>
      </c>
      <c r="AL15" s="303">
        <f t="shared" ca="1" si="27"/>
        <v>0</v>
      </c>
      <c r="AM15" s="303">
        <f t="shared" ca="1" si="28"/>
        <v>0</v>
      </c>
      <c r="AN15" s="303">
        <f t="shared" ca="1" si="29"/>
        <v>2000</v>
      </c>
      <c r="AO15" s="303">
        <f t="shared" ca="1" si="30"/>
        <v>0</v>
      </c>
      <c r="AP15" s="303">
        <f t="shared" ca="1" si="31"/>
        <v>0</v>
      </c>
      <c r="AQ15" s="303">
        <f t="shared" ca="1" si="32"/>
        <v>0</v>
      </c>
      <c r="AR15" s="303">
        <f t="shared" ca="1" si="33"/>
        <v>0</v>
      </c>
      <c r="AS15" s="303">
        <f t="shared" ca="1" si="34"/>
        <v>0</v>
      </c>
      <c r="AT15" s="303">
        <f t="shared" ca="1" si="35"/>
        <v>0</v>
      </c>
      <c r="AU15" s="303">
        <f t="shared" ca="1" si="36"/>
        <v>0</v>
      </c>
      <c r="AV15" s="303">
        <f t="shared" ca="1" si="37"/>
        <v>0</v>
      </c>
      <c r="AW15" s="303">
        <f t="shared" ca="1" si="38"/>
        <v>0</v>
      </c>
    </row>
    <row r="16" spans="1:49" s="300" customFormat="1" ht="12" customHeight="1">
      <c r="A16" s="63">
        <f t="array" aca="1" ref="A16" ca="1">IF(C16&lt;&gt;0,SUM(($C$11:C16&lt;&gt;0)*1),"")</f>
        <v>6</v>
      </c>
      <c r="B16" s="301">
        <f ca="1">IF(ROWS($1:6)&gt;COUNT(Dong9),"",OFFSET(TH!C$1,SMALL(Dong9,ROWS($1:6)),))</f>
        <v>40875</v>
      </c>
      <c r="C16" s="301" t="str">
        <f ca="1">IF(ROWS($1:6)&gt;COUNT(Dong9),"",OFFSET(TH!D$1,SMALL(Dong9,ROWS($1:6)),))</f>
        <v>CTGS</v>
      </c>
      <c r="D16" s="301">
        <f ca="1">IF(ROWS($1:6)&gt;COUNT(Dong9),"",OFFSET(TH!E$1,SMALL(Dong9,ROWS($1:6)),))</f>
        <v>40875</v>
      </c>
      <c r="E16" s="351" t="str">
        <f ca="1">IF(ROWS($1:6)&gt;COUNT(Dong9),"",OFFSET(TH!F$1,SMALL(Dong9,ROWS($1:6)),))</f>
        <v>Thuê quyền SDĐ - KCN Long Đức 15/9/11-15/9/12</v>
      </c>
      <c r="F16" s="352">
        <f ca="1">IF(ROWS($1:6)&gt;COUNT(Dong9),"",OFFSET(TH!I$1,SMALL(Dong9,ROWS($1:6)),))</f>
        <v>29920000</v>
      </c>
      <c r="G16" s="354" t="str">
        <f ca="1">IF(ROWS($1:6)&gt;COUNT(Dong9),"",OFFSET(TH!J$1,SMALL(Dong9,ROWS($1:6)),))</f>
        <v>642</v>
      </c>
      <c r="H16" s="354" t="str">
        <f ca="1">IF(ROWS($1:6)&gt;COUNT(Dong9),"",OFFSET(TH!K$1,SMALL(Dong9,ROWS($1:6)),))</f>
        <v>331</v>
      </c>
      <c r="I16" s="63">
        <f t="shared" ca="1" si="0"/>
        <v>6</v>
      </c>
      <c r="J16" s="303">
        <f t="shared" ca="1" si="1"/>
        <v>0</v>
      </c>
      <c r="K16" s="303">
        <f t="shared" ca="1" si="2"/>
        <v>0</v>
      </c>
      <c r="L16" s="303">
        <f t="shared" ca="1" si="3"/>
        <v>0</v>
      </c>
      <c r="M16" s="303">
        <f t="shared" ca="1" si="4"/>
        <v>0</v>
      </c>
      <c r="N16" s="303">
        <f t="shared" ca="1" si="5"/>
        <v>0</v>
      </c>
      <c r="O16" s="303">
        <f t="shared" ca="1" si="6"/>
        <v>0</v>
      </c>
      <c r="P16" s="303">
        <f t="shared" ca="1" si="7"/>
        <v>0</v>
      </c>
      <c r="Q16" s="303">
        <f t="shared" ca="1" si="8"/>
        <v>0</v>
      </c>
      <c r="R16" s="303">
        <f t="shared" ca="1" si="39"/>
        <v>0</v>
      </c>
      <c r="S16" s="303">
        <f t="shared" ca="1" si="40"/>
        <v>0</v>
      </c>
      <c r="T16" s="303">
        <f t="shared" ca="1" si="9"/>
        <v>0</v>
      </c>
      <c r="U16" s="303">
        <f t="shared" ca="1" si="10"/>
        <v>29920000</v>
      </c>
      <c r="V16" s="303">
        <f t="shared" ca="1" si="11"/>
        <v>0</v>
      </c>
      <c r="W16" s="303">
        <f t="shared" ca="1" si="12"/>
        <v>0</v>
      </c>
      <c r="X16" s="303">
        <f t="shared" ca="1" si="13"/>
        <v>0</v>
      </c>
      <c r="Y16" s="303">
        <f t="shared" ca="1" si="14"/>
        <v>0</v>
      </c>
      <c r="Z16" s="303">
        <f t="shared" ca="1" si="15"/>
        <v>0</v>
      </c>
      <c r="AA16" s="303">
        <f t="shared" ca="1" si="16"/>
        <v>0</v>
      </c>
      <c r="AB16" s="303">
        <f t="shared" ca="1" si="17"/>
        <v>0</v>
      </c>
      <c r="AC16" s="303">
        <f t="shared" ca="1" si="18"/>
        <v>0</v>
      </c>
      <c r="AD16" s="303">
        <f t="shared" ca="1" si="19"/>
        <v>0</v>
      </c>
      <c r="AE16" s="303">
        <f t="shared" ca="1" si="20"/>
        <v>0</v>
      </c>
      <c r="AF16" s="303">
        <f t="shared" ca="1" si="21"/>
        <v>0</v>
      </c>
      <c r="AG16" s="303">
        <f t="shared" ca="1" si="22"/>
        <v>0</v>
      </c>
      <c r="AH16" s="303">
        <f t="shared" ca="1" si="23"/>
        <v>0</v>
      </c>
      <c r="AI16" s="303">
        <f t="shared" ca="1" si="24"/>
        <v>0</v>
      </c>
      <c r="AJ16" s="303">
        <f t="shared" ca="1" si="25"/>
        <v>0</v>
      </c>
      <c r="AK16" s="303">
        <f t="shared" ca="1" si="26"/>
        <v>0</v>
      </c>
      <c r="AL16" s="303">
        <f t="shared" ca="1" si="27"/>
        <v>0</v>
      </c>
      <c r="AM16" s="303">
        <f t="shared" ca="1" si="28"/>
        <v>0</v>
      </c>
      <c r="AN16" s="303">
        <f t="shared" ca="1" si="29"/>
        <v>29920000</v>
      </c>
      <c r="AO16" s="303">
        <f t="shared" ca="1" si="30"/>
        <v>0</v>
      </c>
      <c r="AP16" s="303">
        <f t="shared" ca="1" si="31"/>
        <v>0</v>
      </c>
      <c r="AQ16" s="303">
        <f t="shared" ca="1" si="32"/>
        <v>0</v>
      </c>
      <c r="AR16" s="303">
        <f t="shared" ca="1" si="33"/>
        <v>0</v>
      </c>
      <c r="AS16" s="303">
        <f t="shared" ca="1" si="34"/>
        <v>0</v>
      </c>
      <c r="AT16" s="303">
        <f t="shared" ca="1" si="35"/>
        <v>0</v>
      </c>
      <c r="AU16" s="303">
        <f t="shared" ca="1" si="36"/>
        <v>0</v>
      </c>
      <c r="AV16" s="303">
        <f t="shared" ca="1" si="37"/>
        <v>0</v>
      </c>
      <c r="AW16" s="303">
        <f t="shared" ca="1" si="38"/>
        <v>0</v>
      </c>
    </row>
    <row r="17" spans="1:49" s="300" customFormat="1" ht="12" customHeight="1">
      <c r="A17" s="63">
        <f t="array" aca="1" ref="A17" ca="1">IF(C17&lt;&gt;0,SUM(($C$11:C17&lt;&gt;0)*1),"")</f>
        <v>7</v>
      </c>
      <c r="B17" s="301">
        <f ca="1">IF(ROWS($1:7)&gt;COUNT(Dong9),"",OFFSET(TH!C$1,SMALL(Dong9,ROWS($1:7)),))</f>
        <v>40893</v>
      </c>
      <c r="C17" s="301" t="str">
        <f ca="1">IF(ROWS($1:7)&gt;COUNT(Dong9),"",OFFSET(TH!D$1,SMALL(Dong9,ROWS($1:7)),))</f>
        <v>GBN</v>
      </c>
      <c r="D17" s="301">
        <f ca="1">IF(ROWS($1:7)&gt;COUNT(Dong9),"",OFFSET(TH!E$1,SMALL(Dong9,ROWS($1:7)),))</f>
        <v>40893</v>
      </c>
      <c r="E17" s="351" t="str">
        <f ca="1">IF(ROWS($1:7)&gt;COUNT(Dong9),"",OFFSET(TH!F$1,SMALL(Dong9,ROWS($1:7)),))</f>
        <v>Phí duy trì DV SMS</v>
      </c>
      <c r="F17" s="352">
        <f ca="1">IF(ROWS($1:7)&gt;COUNT(Dong9),"",OFFSET(TH!I$1,SMALL(Dong9,ROWS($1:7)),))</f>
        <v>24000</v>
      </c>
      <c r="G17" s="354" t="str">
        <f ca="1">IF(ROWS($1:7)&gt;COUNT(Dong9),"",OFFSET(TH!J$1,SMALL(Dong9,ROWS($1:7)),))</f>
        <v>642</v>
      </c>
      <c r="H17" s="354" t="str">
        <f ca="1">IF(ROWS($1:7)&gt;COUNT(Dong9),"",OFFSET(TH!K$1,SMALL(Dong9,ROWS($1:7)),))</f>
        <v>1121</v>
      </c>
      <c r="I17" s="63">
        <f t="shared" ca="1" si="0"/>
        <v>7</v>
      </c>
      <c r="J17" s="303">
        <f t="shared" ca="1" si="1"/>
        <v>0</v>
      </c>
      <c r="K17" s="303">
        <f t="shared" ca="1" si="2"/>
        <v>0</v>
      </c>
      <c r="L17" s="303">
        <f t="shared" ca="1" si="3"/>
        <v>0</v>
      </c>
      <c r="M17" s="303">
        <f t="shared" ca="1" si="4"/>
        <v>24000</v>
      </c>
      <c r="N17" s="303">
        <f t="shared" ca="1" si="5"/>
        <v>0</v>
      </c>
      <c r="O17" s="303">
        <f t="shared" ca="1" si="6"/>
        <v>0</v>
      </c>
      <c r="P17" s="303">
        <f t="shared" ca="1" si="7"/>
        <v>0</v>
      </c>
      <c r="Q17" s="303">
        <f t="shared" ca="1" si="8"/>
        <v>0</v>
      </c>
      <c r="R17" s="303">
        <f t="shared" ca="1" si="39"/>
        <v>0</v>
      </c>
      <c r="S17" s="303">
        <f t="shared" ca="1" si="40"/>
        <v>0</v>
      </c>
      <c r="T17" s="303">
        <f t="shared" ca="1" si="9"/>
        <v>0</v>
      </c>
      <c r="U17" s="303">
        <f t="shared" ca="1" si="10"/>
        <v>0</v>
      </c>
      <c r="V17" s="303">
        <f t="shared" ca="1" si="11"/>
        <v>0</v>
      </c>
      <c r="W17" s="303">
        <f t="shared" ca="1" si="12"/>
        <v>0</v>
      </c>
      <c r="X17" s="303">
        <f t="shared" ca="1" si="13"/>
        <v>0</v>
      </c>
      <c r="Y17" s="303">
        <f t="shared" ca="1" si="14"/>
        <v>0</v>
      </c>
      <c r="Z17" s="303">
        <f t="shared" ca="1" si="15"/>
        <v>0</v>
      </c>
      <c r="AA17" s="303">
        <f t="shared" ca="1" si="16"/>
        <v>0</v>
      </c>
      <c r="AB17" s="303">
        <f t="shared" ca="1" si="17"/>
        <v>0</v>
      </c>
      <c r="AC17" s="303">
        <f t="shared" ca="1" si="18"/>
        <v>0</v>
      </c>
      <c r="AD17" s="303">
        <f t="shared" ca="1" si="19"/>
        <v>0</v>
      </c>
      <c r="AE17" s="303">
        <f t="shared" ca="1" si="20"/>
        <v>0</v>
      </c>
      <c r="AF17" s="303">
        <f t="shared" ca="1" si="21"/>
        <v>0</v>
      </c>
      <c r="AG17" s="303">
        <f t="shared" ca="1" si="22"/>
        <v>0</v>
      </c>
      <c r="AH17" s="303">
        <f t="shared" ca="1" si="23"/>
        <v>0</v>
      </c>
      <c r="AI17" s="303">
        <f t="shared" ca="1" si="24"/>
        <v>0</v>
      </c>
      <c r="AJ17" s="303">
        <f t="shared" ca="1" si="25"/>
        <v>0</v>
      </c>
      <c r="AK17" s="303">
        <f t="shared" ca="1" si="26"/>
        <v>0</v>
      </c>
      <c r="AL17" s="303">
        <f t="shared" ca="1" si="27"/>
        <v>0</v>
      </c>
      <c r="AM17" s="303">
        <f t="shared" ca="1" si="28"/>
        <v>0</v>
      </c>
      <c r="AN17" s="303">
        <f t="shared" ca="1" si="29"/>
        <v>24000</v>
      </c>
      <c r="AO17" s="303">
        <f t="shared" ca="1" si="30"/>
        <v>0</v>
      </c>
      <c r="AP17" s="303">
        <f t="shared" ca="1" si="31"/>
        <v>0</v>
      </c>
      <c r="AQ17" s="303">
        <f t="shared" ca="1" si="32"/>
        <v>0</v>
      </c>
      <c r="AR17" s="303">
        <f t="shared" ca="1" si="33"/>
        <v>0</v>
      </c>
      <c r="AS17" s="303">
        <f t="shared" ca="1" si="34"/>
        <v>0</v>
      </c>
      <c r="AT17" s="303">
        <f t="shared" ca="1" si="35"/>
        <v>0</v>
      </c>
      <c r="AU17" s="303">
        <f t="shared" ca="1" si="36"/>
        <v>0</v>
      </c>
      <c r="AV17" s="303">
        <f t="shared" ca="1" si="37"/>
        <v>0</v>
      </c>
      <c r="AW17" s="303">
        <f t="shared" ca="1" si="38"/>
        <v>0</v>
      </c>
    </row>
    <row r="18" spans="1:49" s="300" customFormat="1" ht="12" customHeight="1">
      <c r="A18" s="63">
        <f t="array" aca="1" ref="A18" ca="1">IF(C18&lt;&gt;0,SUM(($C$11:C18&lt;&gt;0)*1),"")</f>
        <v>8</v>
      </c>
      <c r="B18" s="301">
        <f ca="1">IF(ROWS($1:8)&gt;COUNT(Dong9),"",OFFSET(TH!C$1,SMALL(Dong9,ROWS($1:8)),))</f>
        <v>40893</v>
      </c>
      <c r="C18" s="301" t="str">
        <f ca="1">IF(ROWS($1:8)&gt;COUNT(Dong9),"",OFFSET(TH!D$1,SMALL(Dong9,ROWS($1:8)),))</f>
        <v>GBN</v>
      </c>
      <c r="D18" s="301">
        <f ca="1">IF(ROWS($1:8)&gt;COUNT(Dong9),"",OFFSET(TH!E$1,SMALL(Dong9,ROWS($1:8)),))</f>
        <v>40893</v>
      </c>
      <c r="E18" s="351" t="str">
        <f ca="1">IF(ROWS($1:8)&gt;COUNT(Dong9),"",OFFSET(TH!F$1,SMALL(Dong9,ROWS($1:8)),))</f>
        <v>GTGT Phí duy trì DV SMS</v>
      </c>
      <c r="F18" s="352">
        <f ca="1">IF(ROWS($1:8)&gt;COUNT(Dong9),"",OFFSET(TH!I$1,SMALL(Dong9,ROWS($1:8)),))</f>
        <v>2400</v>
      </c>
      <c r="G18" s="354" t="str">
        <f ca="1">IF(ROWS($1:8)&gt;COUNT(Dong9),"",OFFSET(TH!J$1,SMALL(Dong9,ROWS($1:8)),))</f>
        <v>642</v>
      </c>
      <c r="H18" s="354" t="str">
        <f ca="1">IF(ROWS($1:8)&gt;COUNT(Dong9),"",OFFSET(TH!K$1,SMALL(Dong9,ROWS($1:8)),))</f>
        <v>1121</v>
      </c>
      <c r="I18" s="63">
        <f t="shared" ca="1" si="0"/>
        <v>8</v>
      </c>
      <c r="J18" s="303">
        <f t="shared" ca="1" si="1"/>
        <v>0</v>
      </c>
      <c r="K18" s="303">
        <f t="shared" ca="1" si="2"/>
        <v>0</v>
      </c>
      <c r="L18" s="303">
        <f t="shared" ca="1" si="3"/>
        <v>0</v>
      </c>
      <c r="M18" s="303">
        <f t="shared" ca="1" si="4"/>
        <v>2400</v>
      </c>
      <c r="N18" s="303">
        <f t="shared" ca="1" si="5"/>
        <v>0</v>
      </c>
      <c r="O18" s="303">
        <f t="shared" ca="1" si="6"/>
        <v>0</v>
      </c>
      <c r="P18" s="303">
        <f t="shared" ca="1" si="7"/>
        <v>0</v>
      </c>
      <c r="Q18" s="303">
        <f t="shared" ca="1" si="8"/>
        <v>0</v>
      </c>
      <c r="R18" s="303">
        <f t="shared" ca="1" si="39"/>
        <v>0</v>
      </c>
      <c r="S18" s="303">
        <f t="shared" ca="1" si="40"/>
        <v>0</v>
      </c>
      <c r="T18" s="303">
        <f t="shared" ca="1" si="9"/>
        <v>0</v>
      </c>
      <c r="U18" s="303">
        <f t="shared" ca="1" si="10"/>
        <v>0</v>
      </c>
      <c r="V18" s="303">
        <f t="shared" ca="1" si="11"/>
        <v>0</v>
      </c>
      <c r="W18" s="303">
        <f t="shared" ca="1" si="12"/>
        <v>0</v>
      </c>
      <c r="X18" s="303">
        <f t="shared" ca="1" si="13"/>
        <v>0</v>
      </c>
      <c r="Y18" s="303">
        <f t="shared" ca="1" si="14"/>
        <v>0</v>
      </c>
      <c r="Z18" s="303">
        <f t="shared" ca="1" si="15"/>
        <v>0</v>
      </c>
      <c r="AA18" s="303">
        <f t="shared" ca="1" si="16"/>
        <v>0</v>
      </c>
      <c r="AB18" s="303">
        <f t="shared" ca="1" si="17"/>
        <v>0</v>
      </c>
      <c r="AC18" s="303">
        <f t="shared" ca="1" si="18"/>
        <v>0</v>
      </c>
      <c r="AD18" s="303">
        <f t="shared" ca="1" si="19"/>
        <v>0</v>
      </c>
      <c r="AE18" s="303">
        <f t="shared" ca="1" si="20"/>
        <v>0</v>
      </c>
      <c r="AF18" s="303">
        <f t="shared" ca="1" si="21"/>
        <v>0</v>
      </c>
      <c r="AG18" s="303">
        <f t="shared" ca="1" si="22"/>
        <v>0</v>
      </c>
      <c r="AH18" s="303">
        <f t="shared" ca="1" si="23"/>
        <v>0</v>
      </c>
      <c r="AI18" s="303">
        <f t="shared" ca="1" si="24"/>
        <v>0</v>
      </c>
      <c r="AJ18" s="303">
        <f t="shared" ca="1" si="25"/>
        <v>0</v>
      </c>
      <c r="AK18" s="303">
        <f t="shared" ca="1" si="26"/>
        <v>0</v>
      </c>
      <c r="AL18" s="303">
        <f t="shared" ca="1" si="27"/>
        <v>0</v>
      </c>
      <c r="AM18" s="303">
        <f t="shared" ca="1" si="28"/>
        <v>0</v>
      </c>
      <c r="AN18" s="303">
        <f t="shared" ca="1" si="29"/>
        <v>2400</v>
      </c>
      <c r="AO18" s="303">
        <f t="shared" ca="1" si="30"/>
        <v>0</v>
      </c>
      <c r="AP18" s="303">
        <f t="shared" ca="1" si="31"/>
        <v>0</v>
      </c>
      <c r="AQ18" s="303">
        <f t="shared" ca="1" si="32"/>
        <v>0</v>
      </c>
      <c r="AR18" s="303">
        <f t="shared" ca="1" si="33"/>
        <v>0</v>
      </c>
      <c r="AS18" s="303">
        <f t="shared" ca="1" si="34"/>
        <v>0</v>
      </c>
      <c r="AT18" s="303">
        <f t="shared" ca="1" si="35"/>
        <v>0</v>
      </c>
      <c r="AU18" s="303">
        <f t="shared" ca="1" si="36"/>
        <v>0</v>
      </c>
      <c r="AV18" s="303">
        <f t="shared" ca="1" si="37"/>
        <v>0</v>
      </c>
      <c r="AW18" s="303">
        <f t="shared" ca="1" si="38"/>
        <v>0</v>
      </c>
    </row>
    <row r="19" spans="1:49" s="300" customFormat="1" ht="12" customHeight="1">
      <c r="A19" s="63">
        <f t="array" aca="1" ref="A19" ca="1">IF(C19&lt;&gt;0,SUM(($C$11:C19&lt;&gt;0)*1),"")</f>
        <v>9</v>
      </c>
      <c r="B19" s="301">
        <f ca="1">IF(ROWS($1:9)&gt;COUNT(Dong9),"",OFFSET(TH!C$1,SMALL(Dong9,ROWS($1:9)),))</f>
        <v>40893</v>
      </c>
      <c r="C19" s="301" t="str">
        <f ca="1">IF(ROWS($1:9)&gt;COUNT(Dong9),"",OFFSET(TH!D$1,SMALL(Dong9,ROWS($1:9)),))</f>
        <v>GBN</v>
      </c>
      <c r="D19" s="301">
        <f ca="1">IF(ROWS($1:9)&gt;COUNT(Dong9),"",OFFSET(TH!E$1,SMALL(Dong9,ROWS($1:9)),))</f>
        <v>40893</v>
      </c>
      <c r="E19" s="351" t="str">
        <f ca="1">IF(ROWS($1:9)&gt;COUNT(Dong9),"",OFFSET(TH!F$1,SMALL(Dong9,ROWS($1:9)),))</f>
        <v>Phí duy trì DV SMS</v>
      </c>
      <c r="F19" s="352">
        <f ca="1">IF(ROWS($1:9)&gt;COUNT(Dong9),"",OFFSET(TH!I$1,SMALL(Dong9,ROWS($1:9)),))</f>
        <v>24000</v>
      </c>
      <c r="G19" s="354" t="str">
        <f ca="1">IF(ROWS($1:9)&gt;COUNT(Dong9),"",OFFSET(TH!J$1,SMALL(Dong9,ROWS($1:9)),))</f>
        <v>642</v>
      </c>
      <c r="H19" s="354" t="str">
        <f ca="1">IF(ROWS($1:9)&gt;COUNT(Dong9),"",OFFSET(TH!K$1,SMALL(Dong9,ROWS($1:9)),))</f>
        <v>1121</v>
      </c>
      <c r="I19" s="63">
        <f t="shared" ca="1" si="0"/>
        <v>9</v>
      </c>
      <c r="J19" s="303">
        <f t="shared" ca="1" si="1"/>
        <v>0</v>
      </c>
      <c r="K19" s="303">
        <f t="shared" ca="1" si="2"/>
        <v>0</v>
      </c>
      <c r="L19" s="303">
        <f t="shared" ca="1" si="3"/>
        <v>0</v>
      </c>
      <c r="M19" s="303">
        <f t="shared" ca="1" si="4"/>
        <v>24000</v>
      </c>
      <c r="N19" s="303">
        <f t="shared" ca="1" si="5"/>
        <v>0</v>
      </c>
      <c r="O19" s="303">
        <f t="shared" ca="1" si="6"/>
        <v>0</v>
      </c>
      <c r="P19" s="303">
        <f t="shared" ca="1" si="7"/>
        <v>0</v>
      </c>
      <c r="Q19" s="303">
        <f t="shared" ca="1" si="8"/>
        <v>0</v>
      </c>
      <c r="R19" s="303">
        <f t="shared" ca="1" si="39"/>
        <v>0</v>
      </c>
      <c r="S19" s="303">
        <f t="shared" ca="1" si="40"/>
        <v>0</v>
      </c>
      <c r="T19" s="303">
        <f t="shared" ca="1" si="9"/>
        <v>0</v>
      </c>
      <c r="U19" s="303">
        <f t="shared" ca="1" si="10"/>
        <v>0</v>
      </c>
      <c r="V19" s="303">
        <f t="shared" ca="1" si="11"/>
        <v>0</v>
      </c>
      <c r="W19" s="303">
        <f t="shared" ca="1" si="12"/>
        <v>0</v>
      </c>
      <c r="X19" s="303">
        <f t="shared" ca="1" si="13"/>
        <v>0</v>
      </c>
      <c r="Y19" s="303">
        <f t="shared" ca="1" si="14"/>
        <v>0</v>
      </c>
      <c r="Z19" s="303">
        <f t="shared" ca="1" si="15"/>
        <v>0</v>
      </c>
      <c r="AA19" s="303">
        <f t="shared" ca="1" si="16"/>
        <v>0</v>
      </c>
      <c r="AB19" s="303">
        <f t="shared" ca="1" si="17"/>
        <v>0</v>
      </c>
      <c r="AC19" s="303">
        <f t="shared" ca="1" si="18"/>
        <v>0</v>
      </c>
      <c r="AD19" s="303">
        <f t="shared" ca="1" si="19"/>
        <v>0</v>
      </c>
      <c r="AE19" s="303">
        <f t="shared" ca="1" si="20"/>
        <v>0</v>
      </c>
      <c r="AF19" s="303">
        <f t="shared" ca="1" si="21"/>
        <v>0</v>
      </c>
      <c r="AG19" s="303">
        <f t="shared" ca="1" si="22"/>
        <v>0</v>
      </c>
      <c r="AH19" s="303">
        <f t="shared" ca="1" si="23"/>
        <v>0</v>
      </c>
      <c r="AI19" s="303">
        <f t="shared" ca="1" si="24"/>
        <v>0</v>
      </c>
      <c r="AJ19" s="303">
        <f t="shared" ca="1" si="25"/>
        <v>0</v>
      </c>
      <c r="AK19" s="303">
        <f t="shared" ca="1" si="26"/>
        <v>0</v>
      </c>
      <c r="AL19" s="303">
        <f t="shared" ca="1" si="27"/>
        <v>0</v>
      </c>
      <c r="AM19" s="303">
        <f t="shared" ca="1" si="28"/>
        <v>0</v>
      </c>
      <c r="AN19" s="303">
        <f t="shared" ca="1" si="29"/>
        <v>24000</v>
      </c>
      <c r="AO19" s="303">
        <f t="shared" ca="1" si="30"/>
        <v>0</v>
      </c>
      <c r="AP19" s="303">
        <f t="shared" ca="1" si="31"/>
        <v>0</v>
      </c>
      <c r="AQ19" s="303">
        <f t="shared" ca="1" si="32"/>
        <v>0</v>
      </c>
      <c r="AR19" s="303">
        <f t="shared" ca="1" si="33"/>
        <v>0</v>
      </c>
      <c r="AS19" s="303">
        <f t="shared" ca="1" si="34"/>
        <v>0</v>
      </c>
      <c r="AT19" s="303">
        <f t="shared" ca="1" si="35"/>
        <v>0</v>
      </c>
      <c r="AU19" s="303">
        <f t="shared" ca="1" si="36"/>
        <v>0</v>
      </c>
      <c r="AV19" s="303">
        <f t="shared" ca="1" si="37"/>
        <v>0</v>
      </c>
      <c r="AW19" s="303">
        <f t="shared" ca="1" si="38"/>
        <v>0</v>
      </c>
    </row>
    <row r="20" spans="1:49" s="300" customFormat="1" ht="12" customHeight="1">
      <c r="A20" s="63">
        <f t="array" aca="1" ref="A20" ca="1">IF(C20&lt;&gt;0,SUM(($C$11:C20&lt;&gt;0)*1),"")</f>
        <v>10</v>
      </c>
      <c r="B20" s="301">
        <f ca="1">IF(ROWS($1:10)&gt;COUNT(Dong9),"",OFFSET(TH!C$1,SMALL(Dong9,ROWS($1:10)),))</f>
        <v>40893</v>
      </c>
      <c r="C20" s="301" t="str">
        <f ca="1">IF(ROWS($1:10)&gt;COUNT(Dong9),"",OFFSET(TH!D$1,SMALL(Dong9,ROWS($1:10)),))</f>
        <v>GBN</v>
      </c>
      <c r="D20" s="301">
        <f ca="1">IF(ROWS($1:10)&gt;COUNT(Dong9),"",OFFSET(TH!E$1,SMALL(Dong9,ROWS($1:10)),))</f>
        <v>40893</v>
      </c>
      <c r="E20" s="351" t="str">
        <f ca="1">IF(ROWS($1:10)&gt;COUNT(Dong9),"",OFFSET(TH!F$1,SMALL(Dong9,ROWS($1:10)),))</f>
        <v>GTGT Phí duy trì DV SMS</v>
      </c>
      <c r="F20" s="352">
        <f ca="1">IF(ROWS($1:10)&gt;COUNT(Dong9),"",OFFSET(TH!I$1,SMALL(Dong9,ROWS($1:10)),))</f>
        <v>2400</v>
      </c>
      <c r="G20" s="354" t="str">
        <f ca="1">IF(ROWS($1:10)&gt;COUNT(Dong9),"",OFFSET(TH!J$1,SMALL(Dong9,ROWS($1:10)),))</f>
        <v>642</v>
      </c>
      <c r="H20" s="354" t="str">
        <f ca="1">IF(ROWS($1:10)&gt;COUNT(Dong9),"",OFFSET(TH!K$1,SMALL(Dong9,ROWS($1:10)),))</f>
        <v>1121</v>
      </c>
      <c r="I20" s="63">
        <f t="shared" ca="1" si="0"/>
        <v>10</v>
      </c>
      <c r="J20" s="303">
        <f t="shared" ca="1" si="1"/>
        <v>0</v>
      </c>
      <c r="K20" s="303">
        <f t="shared" ca="1" si="2"/>
        <v>0</v>
      </c>
      <c r="L20" s="303">
        <f t="shared" ca="1" si="3"/>
        <v>0</v>
      </c>
      <c r="M20" s="303">
        <f t="shared" ca="1" si="4"/>
        <v>2400</v>
      </c>
      <c r="N20" s="303">
        <f t="shared" ca="1" si="5"/>
        <v>0</v>
      </c>
      <c r="O20" s="303">
        <f t="shared" ca="1" si="6"/>
        <v>0</v>
      </c>
      <c r="P20" s="303">
        <f t="shared" ca="1" si="7"/>
        <v>0</v>
      </c>
      <c r="Q20" s="303">
        <f t="shared" ca="1" si="8"/>
        <v>0</v>
      </c>
      <c r="R20" s="303">
        <f t="shared" ca="1" si="39"/>
        <v>0</v>
      </c>
      <c r="S20" s="303">
        <f t="shared" ca="1" si="40"/>
        <v>0</v>
      </c>
      <c r="T20" s="303">
        <f t="shared" ca="1" si="9"/>
        <v>0</v>
      </c>
      <c r="U20" s="303">
        <f t="shared" ca="1" si="10"/>
        <v>0</v>
      </c>
      <c r="V20" s="303">
        <f t="shared" ca="1" si="11"/>
        <v>0</v>
      </c>
      <c r="W20" s="303">
        <f t="shared" ca="1" si="12"/>
        <v>0</v>
      </c>
      <c r="X20" s="303">
        <f t="shared" ca="1" si="13"/>
        <v>0</v>
      </c>
      <c r="Y20" s="303">
        <f t="shared" ca="1" si="14"/>
        <v>0</v>
      </c>
      <c r="Z20" s="303">
        <f t="shared" ca="1" si="15"/>
        <v>0</v>
      </c>
      <c r="AA20" s="303">
        <f t="shared" ca="1" si="16"/>
        <v>0</v>
      </c>
      <c r="AB20" s="303">
        <f t="shared" ca="1" si="17"/>
        <v>0</v>
      </c>
      <c r="AC20" s="303">
        <f t="shared" ca="1" si="18"/>
        <v>0</v>
      </c>
      <c r="AD20" s="303">
        <f t="shared" ca="1" si="19"/>
        <v>0</v>
      </c>
      <c r="AE20" s="303">
        <f t="shared" ca="1" si="20"/>
        <v>0</v>
      </c>
      <c r="AF20" s="303">
        <f t="shared" ca="1" si="21"/>
        <v>0</v>
      </c>
      <c r="AG20" s="303">
        <f t="shared" ca="1" si="22"/>
        <v>0</v>
      </c>
      <c r="AH20" s="303">
        <f t="shared" ca="1" si="23"/>
        <v>0</v>
      </c>
      <c r="AI20" s="303">
        <f t="shared" ca="1" si="24"/>
        <v>0</v>
      </c>
      <c r="AJ20" s="303">
        <f t="shared" ca="1" si="25"/>
        <v>0</v>
      </c>
      <c r="AK20" s="303">
        <f t="shared" ca="1" si="26"/>
        <v>0</v>
      </c>
      <c r="AL20" s="303">
        <f t="shared" ca="1" si="27"/>
        <v>0</v>
      </c>
      <c r="AM20" s="303">
        <f t="shared" ca="1" si="28"/>
        <v>0</v>
      </c>
      <c r="AN20" s="303">
        <f t="shared" ca="1" si="29"/>
        <v>2400</v>
      </c>
      <c r="AO20" s="303">
        <f t="shared" ca="1" si="30"/>
        <v>0</v>
      </c>
      <c r="AP20" s="303">
        <f t="shared" ca="1" si="31"/>
        <v>0</v>
      </c>
      <c r="AQ20" s="303">
        <f t="shared" ca="1" si="32"/>
        <v>0</v>
      </c>
      <c r="AR20" s="303">
        <f t="shared" ca="1" si="33"/>
        <v>0</v>
      </c>
      <c r="AS20" s="303">
        <f t="shared" ca="1" si="34"/>
        <v>0</v>
      </c>
      <c r="AT20" s="303">
        <f t="shared" ca="1" si="35"/>
        <v>0</v>
      </c>
      <c r="AU20" s="303">
        <f t="shared" ca="1" si="36"/>
        <v>0</v>
      </c>
      <c r="AV20" s="303">
        <f t="shared" ca="1" si="37"/>
        <v>0</v>
      </c>
      <c r="AW20" s="303">
        <f t="shared" ca="1" si="38"/>
        <v>0</v>
      </c>
    </row>
    <row r="21" spans="1:49" s="300" customFormat="1" ht="12" customHeight="1">
      <c r="A21" s="63">
        <f t="array" aca="1" ref="A21" ca="1">IF(C21&lt;&gt;0,SUM(($C$11:C21&lt;&gt;0)*1),"")</f>
        <v>11</v>
      </c>
      <c r="B21" s="301">
        <f ca="1">IF(ROWS($1:11)&gt;COUNT(Dong9),"",OFFSET(TH!C$1,SMALL(Dong9,ROWS($1:11)),))</f>
        <v>40893</v>
      </c>
      <c r="C21" s="301" t="str">
        <f ca="1">IF(ROWS($1:11)&gt;COUNT(Dong9),"",OFFSET(TH!D$1,SMALL(Dong9,ROWS($1:11)),))</f>
        <v>GBN</v>
      </c>
      <c r="D21" s="301">
        <f ca="1">IF(ROWS($1:11)&gt;COUNT(Dong9),"",OFFSET(TH!E$1,SMALL(Dong9,ROWS($1:11)),))</f>
        <v>40893</v>
      </c>
      <c r="E21" s="351" t="str">
        <f ca="1">IF(ROWS($1:11)&gt;COUNT(Dong9),"",OFFSET(TH!F$1,SMALL(Dong9,ROWS($1:11)),))</f>
        <v>Phí kiểm đếm</v>
      </c>
      <c r="F21" s="352">
        <f ca="1">IF(ROWS($1:11)&gt;COUNT(Dong9),"",OFFSET(TH!I$1,SMALL(Dong9,ROWS($1:11)),))</f>
        <v>4727</v>
      </c>
      <c r="G21" s="354" t="str">
        <f ca="1">IF(ROWS($1:11)&gt;COUNT(Dong9),"",OFFSET(TH!J$1,SMALL(Dong9,ROWS($1:11)),))</f>
        <v>642</v>
      </c>
      <c r="H21" s="354" t="str">
        <f ca="1">IF(ROWS($1:11)&gt;COUNT(Dong9),"",OFFSET(TH!K$1,SMALL(Dong9,ROWS($1:11)),))</f>
        <v>1121</v>
      </c>
      <c r="I21" s="63">
        <f t="shared" ca="1" si="0"/>
        <v>11</v>
      </c>
      <c r="J21" s="303">
        <f t="shared" ca="1" si="1"/>
        <v>0</v>
      </c>
      <c r="K21" s="303">
        <f t="shared" ca="1" si="2"/>
        <v>0</v>
      </c>
      <c r="L21" s="303">
        <f t="shared" ca="1" si="3"/>
        <v>0</v>
      </c>
      <c r="M21" s="303">
        <f t="shared" ca="1" si="4"/>
        <v>4727</v>
      </c>
      <c r="N21" s="303">
        <f t="shared" ca="1" si="5"/>
        <v>0</v>
      </c>
      <c r="O21" s="303">
        <f t="shared" ca="1" si="6"/>
        <v>0</v>
      </c>
      <c r="P21" s="303">
        <f t="shared" ca="1" si="7"/>
        <v>0</v>
      </c>
      <c r="Q21" s="303">
        <f t="shared" ca="1" si="8"/>
        <v>0</v>
      </c>
      <c r="R21" s="303">
        <f t="shared" ca="1" si="39"/>
        <v>0</v>
      </c>
      <c r="S21" s="303">
        <f t="shared" ca="1" si="40"/>
        <v>0</v>
      </c>
      <c r="T21" s="303">
        <f t="shared" ca="1" si="9"/>
        <v>0</v>
      </c>
      <c r="U21" s="303">
        <f t="shared" ca="1" si="10"/>
        <v>0</v>
      </c>
      <c r="V21" s="303">
        <f t="shared" ca="1" si="11"/>
        <v>0</v>
      </c>
      <c r="W21" s="303">
        <f t="shared" ca="1" si="12"/>
        <v>0</v>
      </c>
      <c r="X21" s="303">
        <f t="shared" ca="1" si="13"/>
        <v>0</v>
      </c>
      <c r="Y21" s="303">
        <f t="shared" ca="1" si="14"/>
        <v>0</v>
      </c>
      <c r="Z21" s="303">
        <f t="shared" ca="1" si="15"/>
        <v>0</v>
      </c>
      <c r="AA21" s="303">
        <f t="shared" ca="1" si="16"/>
        <v>0</v>
      </c>
      <c r="AB21" s="303">
        <f t="shared" ca="1" si="17"/>
        <v>0</v>
      </c>
      <c r="AC21" s="303">
        <f t="shared" ca="1" si="18"/>
        <v>0</v>
      </c>
      <c r="AD21" s="303">
        <f t="shared" ca="1" si="19"/>
        <v>0</v>
      </c>
      <c r="AE21" s="303">
        <f t="shared" ca="1" si="20"/>
        <v>0</v>
      </c>
      <c r="AF21" s="303">
        <f t="shared" ca="1" si="21"/>
        <v>0</v>
      </c>
      <c r="AG21" s="303">
        <f t="shared" ca="1" si="22"/>
        <v>0</v>
      </c>
      <c r="AH21" s="303">
        <f t="shared" ca="1" si="23"/>
        <v>0</v>
      </c>
      <c r="AI21" s="303">
        <f t="shared" ca="1" si="24"/>
        <v>0</v>
      </c>
      <c r="AJ21" s="303">
        <f t="shared" ca="1" si="25"/>
        <v>0</v>
      </c>
      <c r="AK21" s="303">
        <f t="shared" ca="1" si="26"/>
        <v>0</v>
      </c>
      <c r="AL21" s="303">
        <f t="shared" ca="1" si="27"/>
        <v>0</v>
      </c>
      <c r="AM21" s="303">
        <f t="shared" ca="1" si="28"/>
        <v>0</v>
      </c>
      <c r="AN21" s="303">
        <f t="shared" ca="1" si="29"/>
        <v>4727</v>
      </c>
      <c r="AO21" s="303">
        <f t="shared" ca="1" si="30"/>
        <v>0</v>
      </c>
      <c r="AP21" s="303">
        <f t="shared" ca="1" si="31"/>
        <v>0</v>
      </c>
      <c r="AQ21" s="303">
        <f t="shared" ca="1" si="32"/>
        <v>0</v>
      </c>
      <c r="AR21" s="303">
        <f t="shared" ca="1" si="33"/>
        <v>0</v>
      </c>
      <c r="AS21" s="303">
        <f t="shared" ca="1" si="34"/>
        <v>0</v>
      </c>
      <c r="AT21" s="303">
        <f t="shared" ca="1" si="35"/>
        <v>0</v>
      </c>
      <c r="AU21" s="303">
        <f t="shared" ca="1" si="36"/>
        <v>0</v>
      </c>
      <c r="AV21" s="303">
        <f t="shared" ca="1" si="37"/>
        <v>0</v>
      </c>
      <c r="AW21" s="303">
        <f t="shared" ca="1" si="38"/>
        <v>0</v>
      </c>
    </row>
    <row r="22" spans="1:49" s="300" customFormat="1" ht="12" customHeight="1">
      <c r="A22" s="63">
        <f t="array" aca="1" ref="A22" ca="1">IF(C22&lt;&gt;0,SUM(($C$11:C22&lt;&gt;0)*1),"")</f>
        <v>12</v>
      </c>
      <c r="B22" s="301">
        <f ca="1">IF(ROWS($1:12)&gt;COUNT(Dong9),"",OFFSET(TH!C$1,SMALL(Dong9,ROWS($1:12)),))</f>
        <v>40893</v>
      </c>
      <c r="C22" s="301" t="str">
        <f ca="1">IF(ROWS($1:12)&gt;COUNT(Dong9),"",OFFSET(TH!D$1,SMALL(Dong9,ROWS($1:12)),))</f>
        <v>GBN</v>
      </c>
      <c r="D22" s="301">
        <f ca="1">IF(ROWS($1:12)&gt;COUNT(Dong9),"",OFFSET(TH!E$1,SMALL(Dong9,ROWS($1:12)),))</f>
        <v>40893</v>
      </c>
      <c r="E22" s="351" t="str">
        <f ca="1">IF(ROWS($1:12)&gt;COUNT(Dong9),"",OFFSET(TH!F$1,SMALL(Dong9,ROWS($1:12)),))</f>
        <v>GTGT Phí kiểm đếm</v>
      </c>
      <c r="F22" s="352">
        <f ca="1">IF(ROWS($1:12)&gt;COUNT(Dong9),"",OFFSET(TH!I$1,SMALL(Dong9,ROWS($1:12)),))</f>
        <v>473</v>
      </c>
      <c r="G22" s="354" t="str">
        <f ca="1">IF(ROWS($1:12)&gt;COUNT(Dong9),"",OFFSET(TH!J$1,SMALL(Dong9,ROWS($1:12)),))</f>
        <v>642</v>
      </c>
      <c r="H22" s="354" t="str">
        <f ca="1">IF(ROWS($1:12)&gt;COUNT(Dong9),"",OFFSET(TH!K$1,SMALL(Dong9,ROWS($1:12)),))</f>
        <v>1121</v>
      </c>
      <c r="I22" s="63">
        <f t="shared" ca="1" si="0"/>
        <v>12</v>
      </c>
      <c r="J22" s="303">
        <f t="shared" ca="1" si="1"/>
        <v>0</v>
      </c>
      <c r="K22" s="303">
        <f t="shared" ca="1" si="2"/>
        <v>0</v>
      </c>
      <c r="L22" s="303">
        <f t="shared" ca="1" si="3"/>
        <v>0</v>
      </c>
      <c r="M22" s="303">
        <f t="shared" ca="1" si="4"/>
        <v>473</v>
      </c>
      <c r="N22" s="303">
        <f t="shared" ca="1" si="5"/>
        <v>0</v>
      </c>
      <c r="O22" s="303">
        <f t="shared" ca="1" si="6"/>
        <v>0</v>
      </c>
      <c r="P22" s="303">
        <f t="shared" ca="1" si="7"/>
        <v>0</v>
      </c>
      <c r="Q22" s="303">
        <f t="shared" ca="1" si="8"/>
        <v>0</v>
      </c>
      <c r="R22" s="303">
        <f t="shared" ca="1" si="39"/>
        <v>0</v>
      </c>
      <c r="S22" s="303">
        <f t="shared" ca="1" si="40"/>
        <v>0</v>
      </c>
      <c r="T22" s="303">
        <f t="shared" ca="1" si="9"/>
        <v>0</v>
      </c>
      <c r="U22" s="303">
        <f t="shared" ca="1" si="10"/>
        <v>0</v>
      </c>
      <c r="V22" s="303">
        <f t="shared" ca="1" si="11"/>
        <v>0</v>
      </c>
      <c r="W22" s="303">
        <f t="shared" ca="1" si="12"/>
        <v>0</v>
      </c>
      <c r="X22" s="303">
        <f t="shared" ca="1" si="13"/>
        <v>0</v>
      </c>
      <c r="Y22" s="303">
        <f t="shared" ca="1" si="14"/>
        <v>0</v>
      </c>
      <c r="Z22" s="303">
        <f t="shared" ca="1" si="15"/>
        <v>0</v>
      </c>
      <c r="AA22" s="303">
        <f t="shared" ca="1" si="16"/>
        <v>0</v>
      </c>
      <c r="AB22" s="303">
        <f t="shared" ca="1" si="17"/>
        <v>0</v>
      </c>
      <c r="AC22" s="303">
        <f t="shared" ca="1" si="18"/>
        <v>0</v>
      </c>
      <c r="AD22" s="303">
        <f t="shared" ca="1" si="19"/>
        <v>0</v>
      </c>
      <c r="AE22" s="303">
        <f t="shared" ca="1" si="20"/>
        <v>0</v>
      </c>
      <c r="AF22" s="303">
        <f t="shared" ca="1" si="21"/>
        <v>0</v>
      </c>
      <c r="AG22" s="303">
        <f t="shared" ca="1" si="22"/>
        <v>0</v>
      </c>
      <c r="AH22" s="303">
        <f t="shared" ca="1" si="23"/>
        <v>0</v>
      </c>
      <c r="AI22" s="303">
        <f t="shared" ca="1" si="24"/>
        <v>0</v>
      </c>
      <c r="AJ22" s="303">
        <f t="shared" ca="1" si="25"/>
        <v>0</v>
      </c>
      <c r="AK22" s="303">
        <f t="shared" ca="1" si="26"/>
        <v>0</v>
      </c>
      <c r="AL22" s="303">
        <f t="shared" ca="1" si="27"/>
        <v>0</v>
      </c>
      <c r="AM22" s="303">
        <f t="shared" ca="1" si="28"/>
        <v>0</v>
      </c>
      <c r="AN22" s="303">
        <f t="shared" ca="1" si="29"/>
        <v>473</v>
      </c>
      <c r="AO22" s="303">
        <f t="shared" ca="1" si="30"/>
        <v>0</v>
      </c>
      <c r="AP22" s="303">
        <f t="shared" ca="1" si="31"/>
        <v>0</v>
      </c>
      <c r="AQ22" s="303">
        <f t="shared" ca="1" si="32"/>
        <v>0</v>
      </c>
      <c r="AR22" s="303">
        <f t="shared" ca="1" si="33"/>
        <v>0</v>
      </c>
      <c r="AS22" s="303">
        <f t="shared" ca="1" si="34"/>
        <v>0</v>
      </c>
      <c r="AT22" s="303">
        <f t="shared" ca="1" si="35"/>
        <v>0</v>
      </c>
      <c r="AU22" s="303">
        <f t="shared" ca="1" si="36"/>
        <v>0</v>
      </c>
      <c r="AV22" s="303">
        <f t="shared" ca="1" si="37"/>
        <v>0</v>
      </c>
      <c r="AW22" s="303">
        <f t="shared" ca="1" si="38"/>
        <v>0</v>
      </c>
    </row>
    <row r="23" spans="1:49" s="300" customFormat="1" ht="12" customHeight="1">
      <c r="A23" s="63">
        <f t="array" aca="1" ref="A23" ca="1">IF(C23&lt;&gt;0,SUM(($C$11:C23&lt;&gt;0)*1),"")</f>
        <v>13</v>
      </c>
      <c r="B23" s="301">
        <f ca="1">IF(ROWS($1:13)&gt;COUNT(Dong9),"",OFFSET(TH!C$1,SMALL(Dong9,ROWS($1:13)),))</f>
        <v>40896</v>
      </c>
      <c r="C23" s="301" t="str">
        <f ca="1">IF(ROWS($1:13)&gt;COUNT(Dong9),"",OFFSET(TH!D$1,SMALL(Dong9,ROWS($1:13)),))</f>
        <v>C02</v>
      </c>
      <c r="D23" s="301">
        <f ca="1">IF(ROWS($1:13)&gt;COUNT(Dong9),"",OFFSET(TH!E$1,SMALL(Dong9,ROWS($1:13)),))</f>
        <v>40896</v>
      </c>
      <c r="E23" s="351" t="str">
        <f ca="1">IF(ROWS($1:13)&gt;COUNT(Dong9),"",OFFSET(TH!F$1,SMALL(Dong9,ROWS($1:13)),))</f>
        <v>Lệ phí cấp giấy cục thuế Trà Vinh</v>
      </c>
      <c r="F23" s="352">
        <f ca="1">IF(ROWS($1:13)&gt;COUNT(Dong9),"",OFFSET(TH!I$1,SMALL(Dong9,ROWS($1:13)),))</f>
        <v>150000</v>
      </c>
      <c r="G23" s="354" t="str">
        <f ca="1">IF(ROWS($1:13)&gt;COUNT(Dong9),"",OFFSET(TH!J$1,SMALL(Dong9,ROWS($1:13)),))</f>
        <v>642</v>
      </c>
      <c r="H23" s="354" t="str">
        <f ca="1">IF(ROWS($1:13)&gt;COUNT(Dong9),"",OFFSET(TH!K$1,SMALL(Dong9,ROWS($1:13)),))</f>
        <v>1111</v>
      </c>
      <c r="I23" s="63">
        <f t="shared" ca="1" si="0"/>
        <v>13</v>
      </c>
      <c r="J23" s="303">
        <f t="shared" ca="1" si="1"/>
        <v>0</v>
      </c>
      <c r="K23" s="303">
        <f t="shared" ca="1" si="2"/>
        <v>150000</v>
      </c>
      <c r="L23" s="303">
        <f t="shared" ca="1" si="3"/>
        <v>0</v>
      </c>
      <c r="M23" s="303">
        <f t="shared" ca="1" si="4"/>
        <v>0</v>
      </c>
      <c r="N23" s="303">
        <f t="shared" ca="1" si="5"/>
        <v>0</v>
      </c>
      <c r="O23" s="303">
        <f t="shared" ca="1" si="6"/>
        <v>0</v>
      </c>
      <c r="P23" s="303">
        <f t="shared" ca="1" si="7"/>
        <v>0</v>
      </c>
      <c r="Q23" s="303">
        <f t="shared" ca="1" si="8"/>
        <v>0</v>
      </c>
      <c r="R23" s="303">
        <f t="shared" ca="1" si="39"/>
        <v>0</v>
      </c>
      <c r="S23" s="303">
        <f t="shared" ca="1" si="40"/>
        <v>0</v>
      </c>
      <c r="T23" s="303">
        <f t="shared" ca="1" si="9"/>
        <v>0</v>
      </c>
      <c r="U23" s="303">
        <f t="shared" ca="1" si="10"/>
        <v>0</v>
      </c>
      <c r="V23" s="303">
        <f t="shared" ca="1" si="11"/>
        <v>0</v>
      </c>
      <c r="W23" s="303">
        <f t="shared" ca="1" si="12"/>
        <v>0</v>
      </c>
      <c r="X23" s="303">
        <f t="shared" ca="1" si="13"/>
        <v>0</v>
      </c>
      <c r="Y23" s="303">
        <f t="shared" ca="1" si="14"/>
        <v>0</v>
      </c>
      <c r="Z23" s="303">
        <f t="shared" ca="1" si="15"/>
        <v>0</v>
      </c>
      <c r="AA23" s="303">
        <f t="shared" ca="1" si="16"/>
        <v>0</v>
      </c>
      <c r="AB23" s="303">
        <f t="shared" ca="1" si="17"/>
        <v>0</v>
      </c>
      <c r="AC23" s="303">
        <f t="shared" ca="1" si="18"/>
        <v>0</v>
      </c>
      <c r="AD23" s="303">
        <f t="shared" ca="1" si="19"/>
        <v>0</v>
      </c>
      <c r="AE23" s="303">
        <f t="shared" ca="1" si="20"/>
        <v>0</v>
      </c>
      <c r="AF23" s="303">
        <f t="shared" ca="1" si="21"/>
        <v>0</v>
      </c>
      <c r="AG23" s="303">
        <f t="shared" ca="1" si="22"/>
        <v>0</v>
      </c>
      <c r="AH23" s="303">
        <f t="shared" ca="1" si="23"/>
        <v>0</v>
      </c>
      <c r="AI23" s="303">
        <f t="shared" ca="1" si="24"/>
        <v>0</v>
      </c>
      <c r="AJ23" s="303">
        <f t="shared" ca="1" si="25"/>
        <v>0</v>
      </c>
      <c r="AK23" s="303">
        <f t="shared" ca="1" si="26"/>
        <v>0</v>
      </c>
      <c r="AL23" s="303">
        <f t="shared" ca="1" si="27"/>
        <v>0</v>
      </c>
      <c r="AM23" s="303">
        <f t="shared" ca="1" si="28"/>
        <v>0</v>
      </c>
      <c r="AN23" s="303">
        <f t="shared" ca="1" si="29"/>
        <v>150000</v>
      </c>
      <c r="AO23" s="303">
        <f t="shared" ca="1" si="30"/>
        <v>0</v>
      </c>
      <c r="AP23" s="303">
        <f t="shared" ca="1" si="31"/>
        <v>0</v>
      </c>
      <c r="AQ23" s="303">
        <f t="shared" ca="1" si="32"/>
        <v>0</v>
      </c>
      <c r="AR23" s="303">
        <f t="shared" ca="1" si="33"/>
        <v>0</v>
      </c>
      <c r="AS23" s="303">
        <f t="shared" ca="1" si="34"/>
        <v>0</v>
      </c>
      <c r="AT23" s="303">
        <f t="shared" ca="1" si="35"/>
        <v>0</v>
      </c>
      <c r="AU23" s="303">
        <f t="shared" ca="1" si="36"/>
        <v>0</v>
      </c>
      <c r="AV23" s="303">
        <f t="shared" ca="1" si="37"/>
        <v>0</v>
      </c>
      <c r="AW23" s="303">
        <f t="shared" ca="1" si="38"/>
        <v>0</v>
      </c>
    </row>
    <row r="24" spans="1:49" s="338" customFormat="1" ht="12" customHeight="1">
      <c r="A24" s="63">
        <f t="array" aca="1" ref="A24" ca="1">IF(C24&lt;&gt;0,SUM(($C$11:C24&lt;&gt;0)*1),"")</f>
        <v>14</v>
      </c>
      <c r="B24" s="304">
        <v>40908</v>
      </c>
      <c r="C24" s="304" t="s">
        <v>132</v>
      </c>
      <c r="D24" s="304">
        <f t="shared" ref="D24:D29" si="41">B24</f>
        <v>40908</v>
      </c>
      <c r="E24" s="305" t="s">
        <v>133</v>
      </c>
      <c r="F24" s="90">
        <f ca="1">AL31</f>
        <v>0</v>
      </c>
      <c r="G24" s="306" t="s">
        <v>184</v>
      </c>
      <c r="H24" s="306" t="s">
        <v>116</v>
      </c>
      <c r="I24" s="63">
        <f t="shared" ref="I24:I29" ca="1" si="42">A24</f>
        <v>14</v>
      </c>
      <c r="J24" s="303">
        <f t="shared" ref="J24:J30" si="43">IF($G24="1111",$F24,0)</f>
        <v>0</v>
      </c>
      <c r="K24" s="303">
        <f t="shared" ref="K24:K30" si="44">IF($H24="1111",$F24,0)</f>
        <v>0</v>
      </c>
      <c r="L24" s="303">
        <f t="shared" ref="L24:L30" si="45">IF($G24="1121",$F24,0)</f>
        <v>0</v>
      </c>
      <c r="M24" s="303">
        <f t="shared" ref="M24:M30" si="46">IF($H24="1121",$F24,0)</f>
        <v>0</v>
      </c>
      <c r="N24" s="303">
        <f t="shared" ref="N24:N30" si="47">IF($G24="1331",$F24,0)</f>
        <v>0</v>
      </c>
      <c r="O24" s="303">
        <f t="shared" ref="O24:O30" si="48">IF($H24="1331",$F24,0)</f>
        <v>0</v>
      </c>
      <c r="P24" s="303">
        <f t="shared" ref="P24:P30" si="49">IF($G24="1388",$F24,0)</f>
        <v>0</v>
      </c>
      <c r="Q24" s="303">
        <f t="shared" ref="Q24:Q30" si="50">IF($H24="1388",$F24,0)</f>
        <v>0</v>
      </c>
      <c r="R24" s="303">
        <f t="shared" ref="R24:R30" ca="1" si="51">IF($G24="2412",$F24,0)</f>
        <v>0</v>
      </c>
      <c r="S24" s="303">
        <f t="shared" ref="S24:S30" si="52">IF($H24="2412",$F24,0)</f>
        <v>0</v>
      </c>
      <c r="T24" s="303">
        <f t="shared" ref="T24:T30" si="53">IF($G24="331",$F24,0)</f>
        <v>0</v>
      </c>
      <c r="U24" s="303">
        <f t="shared" ref="U24:U30" si="54">IF($H24="331",$F24,0)</f>
        <v>0</v>
      </c>
      <c r="V24" s="303">
        <f t="shared" ref="V24:V30" si="55">IF($G24="3334",$F24,0)</f>
        <v>0</v>
      </c>
      <c r="W24" s="303">
        <f t="shared" ref="W24:W30" si="56">IF($H24="3334",$F24,0)</f>
        <v>0</v>
      </c>
      <c r="X24" s="303">
        <f t="shared" ref="X24:X30" si="57">IF($G24="33382",$F24,0)</f>
        <v>0</v>
      </c>
      <c r="Y24" s="303">
        <f t="shared" ref="Y24:Y30" si="58">IF($H24="33382",$F24,0)</f>
        <v>0</v>
      </c>
      <c r="Z24" s="303">
        <f t="shared" ref="Z24:Z30" si="59">IF($G24="3388",$F24,0)</f>
        <v>0</v>
      </c>
      <c r="AA24" s="303">
        <f t="shared" ref="AA24:AA30" si="60">IF($H24="3388",$F24,0)</f>
        <v>0</v>
      </c>
      <c r="AB24" s="303">
        <f t="shared" ref="AB24:AB30" si="61">IF($G24="3411",$F24,0)</f>
        <v>0</v>
      </c>
      <c r="AC24" s="303">
        <f t="shared" ref="AC24:AC30" si="62">IF($H24="3411",$F24,0)</f>
        <v>0</v>
      </c>
      <c r="AD24" s="303">
        <f t="shared" ref="AD24:AD30" si="63">IF($G24="4111",$F24,0)</f>
        <v>0</v>
      </c>
      <c r="AE24" s="303">
        <f t="shared" ref="AE24:AE30" si="64">IF($H24="4111",$F24,0)</f>
        <v>0</v>
      </c>
      <c r="AF24" s="303">
        <f t="shared" ref="AF24:AF30" si="65">IF($G24="4211",$F24,0)</f>
        <v>0</v>
      </c>
      <c r="AG24" s="303">
        <f t="shared" ref="AG24:AG30" si="66">IF($H24="4211",$F24,0)</f>
        <v>0</v>
      </c>
      <c r="AH24" s="303">
        <f t="shared" ref="AH24:AH30" si="67">IF($G24="4212",$F24,0)</f>
        <v>0</v>
      </c>
      <c r="AI24" s="303">
        <f t="shared" ref="AI24:AI30" si="68">IF($H24="4212",$F24,0)</f>
        <v>0</v>
      </c>
      <c r="AJ24" s="303">
        <f t="shared" ref="AJ24:AJ30" si="69">IF($G24="515",$F24,0)</f>
        <v>0</v>
      </c>
      <c r="AK24" s="303">
        <f t="shared" ref="AK24:AK30" si="70">IF($H24="515",$F24,0)</f>
        <v>0</v>
      </c>
      <c r="AL24" s="303">
        <f t="shared" ref="AL24:AL30" si="71">IF($G24="635",$F24,0)</f>
        <v>0</v>
      </c>
      <c r="AM24" s="303">
        <f t="shared" ref="AM24:AM30" ca="1" si="72">IF($H24="635",$F24,0)</f>
        <v>0</v>
      </c>
      <c r="AN24" s="303">
        <f t="shared" ref="AN24:AN30" si="73">IF($G24="642",$F24,0)</f>
        <v>0</v>
      </c>
      <c r="AO24" s="303">
        <f t="shared" ref="AO24:AO30" si="74">IF($H24="642",$F24,0)</f>
        <v>0</v>
      </c>
      <c r="AP24" s="303">
        <f t="shared" ref="AP24:AP30" si="75">IF($G24="711",$F24,0)</f>
        <v>0</v>
      </c>
      <c r="AQ24" s="303">
        <f t="shared" ref="AQ24:AQ30" si="76">IF($H24="711",$F24,0)</f>
        <v>0</v>
      </c>
      <c r="AR24" s="303">
        <f t="shared" ref="AR24:AR30" si="77">IF($G24="811",$F24,0)</f>
        <v>0</v>
      </c>
      <c r="AS24" s="303">
        <f t="shared" ref="AS24:AS30" si="78">IF($H24="811",$F24,0)</f>
        <v>0</v>
      </c>
      <c r="AT24" s="303">
        <f t="shared" ref="AT24:AT30" si="79">IF($G24="821",$F24,0)</f>
        <v>0</v>
      </c>
      <c r="AU24" s="303">
        <f t="shared" ref="AU24:AU30" si="80">IF($H24="821",$F24,0)</f>
        <v>0</v>
      </c>
      <c r="AV24" s="303">
        <f t="shared" ref="AV24:AV30" si="81">IF($G24="911",$F24,0)</f>
        <v>0</v>
      </c>
      <c r="AW24" s="303">
        <f t="shared" ref="AW24:AW30" si="82">IF($H24="911",$F24,0)</f>
        <v>0</v>
      </c>
    </row>
    <row r="25" spans="1:49" s="338" customFormat="1" ht="12" customHeight="1">
      <c r="A25" s="63">
        <f t="array" aca="1" ref="A25" ca="1">IF(C25&lt;&gt;0,SUM(($C$11:C25&lt;&gt;0)*1),"")</f>
        <v>15</v>
      </c>
      <c r="B25" s="304">
        <v>40908</v>
      </c>
      <c r="C25" s="304" t="s">
        <v>132</v>
      </c>
      <c r="D25" s="304">
        <f t="shared" si="41"/>
        <v>40908</v>
      </c>
      <c r="E25" s="305" t="s">
        <v>134</v>
      </c>
      <c r="F25" s="90">
        <f ca="1">AN31</f>
        <v>30150000</v>
      </c>
      <c r="G25" s="306" t="s">
        <v>126</v>
      </c>
      <c r="H25" s="306" t="s">
        <v>118</v>
      </c>
      <c r="I25" s="63">
        <f t="shared" ca="1" si="42"/>
        <v>15</v>
      </c>
      <c r="J25" s="303">
        <f t="shared" si="43"/>
        <v>0</v>
      </c>
      <c r="K25" s="303">
        <f t="shared" si="44"/>
        <v>0</v>
      </c>
      <c r="L25" s="303">
        <f t="shared" si="45"/>
        <v>0</v>
      </c>
      <c r="M25" s="303">
        <f t="shared" si="46"/>
        <v>0</v>
      </c>
      <c r="N25" s="303">
        <f t="shared" si="47"/>
        <v>0</v>
      </c>
      <c r="O25" s="303">
        <f t="shared" si="48"/>
        <v>0</v>
      </c>
      <c r="P25" s="303">
        <f t="shared" si="49"/>
        <v>0</v>
      </c>
      <c r="Q25" s="303">
        <f t="shared" si="50"/>
        <v>0</v>
      </c>
      <c r="R25" s="303">
        <f t="shared" si="51"/>
        <v>0</v>
      </c>
      <c r="S25" s="303">
        <f t="shared" si="52"/>
        <v>0</v>
      </c>
      <c r="T25" s="303">
        <f t="shared" si="53"/>
        <v>0</v>
      </c>
      <c r="U25" s="303">
        <f t="shared" si="54"/>
        <v>0</v>
      </c>
      <c r="V25" s="303">
        <f t="shared" si="55"/>
        <v>0</v>
      </c>
      <c r="W25" s="303">
        <f t="shared" si="56"/>
        <v>0</v>
      </c>
      <c r="X25" s="303">
        <f t="shared" si="57"/>
        <v>0</v>
      </c>
      <c r="Y25" s="303">
        <f t="shared" si="58"/>
        <v>0</v>
      </c>
      <c r="Z25" s="303">
        <f t="shared" si="59"/>
        <v>0</v>
      </c>
      <c r="AA25" s="303">
        <f t="shared" si="60"/>
        <v>0</v>
      </c>
      <c r="AB25" s="303">
        <f t="shared" si="61"/>
        <v>0</v>
      </c>
      <c r="AC25" s="303">
        <f t="shared" si="62"/>
        <v>0</v>
      </c>
      <c r="AD25" s="303">
        <f t="shared" si="63"/>
        <v>0</v>
      </c>
      <c r="AE25" s="303">
        <f t="shared" si="64"/>
        <v>0</v>
      </c>
      <c r="AF25" s="303">
        <f t="shared" si="65"/>
        <v>0</v>
      </c>
      <c r="AG25" s="303">
        <f t="shared" si="66"/>
        <v>0</v>
      </c>
      <c r="AH25" s="303">
        <f t="shared" si="67"/>
        <v>0</v>
      </c>
      <c r="AI25" s="303">
        <f t="shared" si="68"/>
        <v>0</v>
      </c>
      <c r="AJ25" s="303">
        <f t="shared" si="69"/>
        <v>0</v>
      </c>
      <c r="AK25" s="303">
        <f t="shared" si="70"/>
        <v>0</v>
      </c>
      <c r="AL25" s="303">
        <f t="shared" si="71"/>
        <v>0</v>
      </c>
      <c r="AM25" s="303">
        <f t="shared" si="72"/>
        <v>0</v>
      </c>
      <c r="AN25" s="303">
        <f t="shared" si="73"/>
        <v>0</v>
      </c>
      <c r="AO25" s="303">
        <f t="shared" ca="1" si="74"/>
        <v>30150000</v>
      </c>
      <c r="AP25" s="303">
        <f t="shared" si="75"/>
        <v>0</v>
      </c>
      <c r="AQ25" s="303">
        <f t="shared" si="76"/>
        <v>0</v>
      </c>
      <c r="AR25" s="303">
        <f t="shared" si="77"/>
        <v>0</v>
      </c>
      <c r="AS25" s="303">
        <f t="shared" si="78"/>
        <v>0</v>
      </c>
      <c r="AT25" s="303">
        <f t="shared" si="79"/>
        <v>0</v>
      </c>
      <c r="AU25" s="303">
        <f t="shared" si="80"/>
        <v>0</v>
      </c>
      <c r="AV25" s="303">
        <f t="shared" ca="1" si="81"/>
        <v>30150000</v>
      </c>
      <c r="AW25" s="303">
        <f t="shared" si="82"/>
        <v>0</v>
      </c>
    </row>
    <row r="26" spans="1:49" s="338" customFormat="1" ht="12" customHeight="1">
      <c r="A26" s="63">
        <f t="array" aca="1" ref="A26" ca="1">IF(C26&lt;&gt;0,SUM(($C$11:C26&lt;&gt;0)*1),"")</f>
        <v>16</v>
      </c>
      <c r="B26" s="304">
        <v>40908</v>
      </c>
      <c r="C26" s="304" t="s">
        <v>132</v>
      </c>
      <c r="D26" s="304">
        <f t="shared" si="41"/>
        <v>40908</v>
      </c>
      <c r="E26" s="305" t="s">
        <v>239</v>
      </c>
      <c r="F26" s="90">
        <f ca="1">AV31</f>
        <v>30150000</v>
      </c>
      <c r="G26" s="306" t="s">
        <v>111</v>
      </c>
      <c r="H26" s="306" t="s">
        <v>126</v>
      </c>
      <c r="I26" s="63">
        <f t="shared" ca="1" si="42"/>
        <v>16</v>
      </c>
      <c r="J26" s="303">
        <f t="shared" si="43"/>
        <v>0</v>
      </c>
      <c r="K26" s="303">
        <f t="shared" si="44"/>
        <v>0</v>
      </c>
      <c r="L26" s="303">
        <f t="shared" si="45"/>
        <v>0</v>
      </c>
      <c r="M26" s="303">
        <f t="shared" si="46"/>
        <v>0</v>
      </c>
      <c r="N26" s="303">
        <f t="shared" si="47"/>
        <v>0</v>
      </c>
      <c r="O26" s="303">
        <f t="shared" si="48"/>
        <v>0</v>
      </c>
      <c r="P26" s="303">
        <f t="shared" si="49"/>
        <v>0</v>
      </c>
      <c r="Q26" s="303">
        <f t="shared" si="50"/>
        <v>0</v>
      </c>
      <c r="R26" s="303">
        <f t="shared" si="51"/>
        <v>0</v>
      </c>
      <c r="S26" s="303">
        <f t="shared" si="52"/>
        <v>0</v>
      </c>
      <c r="T26" s="303">
        <f t="shared" si="53"/>
        <v>0</v>
      </c>
      <c r="U26" s="303">
        <f t="shared" si="54"/>
        <v>0</v>
      </c>
      <c r="V26" s="303">
        <f t="shared" si="55"/>
        <v>0</v>
      </c>
      <c r="W26" s="303">
        <f t="shared" si="56"/>
        <v>0</v>
      </c>
      <c r="X26" s="303">
        <f t="shared" si="57"/>
        <v>0</v>
      </c>
      <c r="Y26" s="303">
        <f t="shared" si="58"/>
        <v>0</v>
      </c>
      <c r="Z26" s="303">
        <f t="shared" si="59"/>
        <v>0</v>
      </c>
      <c r="AA26" s="303">
        <f t="shared" si="60"/>
        <v>0</v>
      </c>
      <c r="AB26" s="303">
        <f t="shared" si="61"/>
        <v>0</v>
      </c>
      <c r="AC26" s="303">
        <f t="shared" si="62"/>
        <v>0</v>
      </c>
      <c r="AD26" s="303">
        <f t="shared" si="63"/>
        <v>0</v>
      </c>
      <c r="AE26" s="303">
        <f t="shared" si="64"/>
        <v>0</v>
      </c>
      <c r="AF26" s="303">
        <f t="shared" si="65"/>
        <v>0</v>
      </c>
      <c r="AG26" s="303">
        <f t="shared" si="66"/>
        <v>0</v>
      </c>
      <c r="AH26" s="303">
        <f t="shared" ca="1" si="67"/>
        <v>30150000</v>
      </c>
      <c r="AI26" s="303">
        <f t="shared" si="68"/>
        <v>0</v>
      </c>
      <c r="AJ26" s="303">
        <f t="shared" si="69"/>
        <v>0</v>
      </c>
      <c r="AK26" s="303">
        <f t="shared" si="70"/>
        <v>0</v>
      </c>
      <c r="AL26" s="303">
        <f t="shared" si="71"/>
        <v>0</v>
      </c>
      <c r="AM26" s="303">
        <f t="shared" si="72"/>
        <v>0</v>
      </c>
      <c r="AN26" s="303">
        <f t="shared" si="73"/>
        <v>0</v>
      </c>
      <c r="AO26" s="303">
        <f t="shared" si="74"/>
        <v>0</v>
      </c>
      <c r="AP26" s="303">
        <f t="shared" si="75"/>
        <v>0</v>
      </c>
      <c r="AQ26" s="303">
        <f t="shared" si="76"/>
        <v>0</v>
      </c>
      <c r="AR26" s="303">
        <f t="shared" si="77"/>
        <v>0</v>
      </c>
      <c r="AS26" s="303">
        <f t="shared" si="78"/>
        <v>0</v>
      </c>
      <c r="AT26" s="303">
        <f t="shared" si="79"/>
        <v>0</v>
      </c>
      <c r="AU26" s="303">
        <f t="shared" si="80"/>
        <v>0</v>
      </c>
      <c r="AV26" s="303">
        <f t="shared" si="81"/>
        <v>0</v>
      </c>
      <c r="AW26" s="303">
        <f t="shared" ca="1" si="82"/>
        <v>30150000</v>
      </c>
    </row>
    <row r="27" spans="1:49" s="338" customFormat="1" ht="12" customHeight="1">
      <c r="A27" s="63">
        <f t="array" aca="1" ref="A27" ca="1">IF(C27&lt;&gt;0,SUM(($C$11:C27&lt;&gt;0)*1),"")</f>
        <v>17</v>
      </c>
      <c r="B27" s="304">
        <v>40908</v>
      </c>
      <c r="C27" s="304" t="s">
        <v>132</v>
      </c>
      <c r="D27" s="304">
        <f t="shared" si="41"/>
        <v>40908</v>
      </c>
      <c r="E27" s="305" t="s">
        <v>136</v>
      </c>
      <c r="F27" s="90">
        <f ca="1">AK31</f>
        <v>0</v>
      </c>
      <c r="G27" s="306" t="s">
        <v>58</v>
      </c>
      <c r="H27" s="306" t="s">
        <v>126</v>
      </c>
      <c r="I27" s="63">
        <f t="shared" ca="1" si="42"/>
        <v>17</v>
      </c>
      <c r="J27" s="303">
        <f t="shared" si="43"/>
        <v>0</v>
      </c>
      <c r="K27" s="303">
        <f t="shared" si="44"/>
        <v>0</v>
      </c>
      <c r="L27" s="303">
        <f t="shared" si="45"/>
        <v>0</v>
      </c>
      <c r="M27" s="303">
        <f t="shared" si="46"/>
        <v>0</v>
      </c>
      <c r="N27" s="303">
        <f t="shared" si="47"/>
        <v>0</v>
      </c>
      <c r="O27" s="303">
        <f t="shared" si="48"/>
        <v>0</v>
      </c>
      <c r="P27" s="303">
        <f t="shared" si="49"/>
        <v>0</v>
      </c>
      <c r="Q27" s="303">
        <f t="shared" si="50"/>
        <v>0</v>
      </c>
      <c r="R27" s="303">
        <f t="shared" si="51"/>
        <v>0</v>
      </c>
      <c r="S27" s="303">
        <f t="shared" si="52"/>
        <v>0</v>
      </c>
      <c r="T27" s="303">
        <f t="shared" si="53"/>
        <v>0</v>
      </c>
      <c r="U27" s="303">
        <f t="shared" si="54"/>
        <v>0</v>
      </c>
      <c r="V27" s="303">
        <f t="shared" si="55"/>
        <v>0</v>
      </c>
      <c r="W27" s="303">
        <f t="shared" si="56"/>
        <v>0</v>
      </c>
      <c r="X27" s="303">
        <f t="shared" si="57"/>
        <v>0</v>
      </c>
      <c r="Y27" s="303">
        <f t="shared" si="58"/>
        <v>0</v>
      </c>
      <c r="Z27" s="303">
        <f t="shared" si="59"/>
        <v>0</v>
      </c>
      <c r="AA27" s="303">
        <f t="shared" si="60"/>
        <v>0</v>
      </c>
      <c r="AB27" s="303">
        <f t="shared" si="61"/>
        <v>0</v>
      </c>
      <c r="AC27" s="303">
        <f t="shared" si="62"/>
        <v>0</v>
      </c>
      <c r="AD27" s="303">
        <f t="shared" si="63"/>
        <v>0</v>
      </c>
      <c r="AE27" s="303">
        <f t="shared" si="64"/>
        <v>0</v>
      </c>
      <c r="AF27" s="303">
        <f t="shared" si="65"/>
        <v>0</v>
      </c>
      <c r="AG27" s="303">
        <f t="shared" si="66"/>
        <v>0</v>
      </c>
      <c r="AH27" s="303">
        <f t="shared" si="67"/>
        <v>0</v>
      </c>
      <c r="AI27" s="303">
        <f t="shared" si="68"/>
        <v>0</v>
      </c>
      <c r="AJ27" s="303">
        <f t="shared" ca="1" si="69"/>
        <v>0</v>
      </c>
      <c r="AK27" s="303">
        <f t="shared" si="70"/>
        <v>0</v>
      </c>
      <c r="AL27" s="303">
        <f t="shared" si="71"/>
        <v>0</v>
      </c>
      <c r="AM27" s="303">
        <f t="shared" si="72"/>
        <v>0</v>
      </c>
      <c r="AN27" s="303">
        <f t="shared" si="73"/>
        <v>0</v>
      </c>
      <c r="AO27" s="303">
        <f t="shared" si="74"/>
        <v>0</v>
      </c>
      <c r="AP27" s="303">
        <f t="shared" si="75"/>
        <v>0</v>
      </c>
      <c r="AQ27" s="303">
        <f t="shared" si="76"/>
        <v>0</v>
      </c>
      <c r="AR27" s="303">
        <f t="shared" si="77"/>
        <v>0</v>
      </c>
      <c r="AS27" s="303">
        <f t="shared" si="78"/>
        <v>0</v>
      </c>
      <c r="AT27" s="303">
        <f t="shared" si="79"/>
        <v>0</v>
      </c>
      <c r="AU27" s="303">
        <f t="shared" si="80"/>
        <v>0</v>
      </c>
      <c r="AV27" s="303">
        <f t="shared" si="81"/>
        <v>0</v>
      </c>
      <c r="AW27" s="303">
        <f t="shared" ca="1" si="82"/>
        <v>0</v>
      </c>
    </row>
    <row r="28" spans="1:49" s="338" customFormat="1" ht="12" customHeight="1">
      <c r="A28" s="63">
        <f t="array" aca="1" ref="A28" ca="1">IF(C28&lt;&gt;0,SUM(($C$11:C28&lt;&gt;0)*1),"")</f>
        <v>18</v>
      </c>
      <c r="B28" s="304">
        <v>40908</v>
      </c>
      <c r="C28" s="304" t="s">
        <v>132</v>
      </c>
      <c r="D28" s="304">
        <f t="shared" si="41"/>
        <v>40908</v>
      </c>
      <c r="E28" s="305" t="s">
        <v>137</v>
      </c>
      <c r="F28" s="90">
        <f ca="1">AQ31</f>
        <v>0</v>
      </c>
      <c r="G28" s="306" t="s">
        <v>120</v>
      </c>
      <c r="H28" s="306" t="s">
        <v>126</v>
      </c>
      <c r="I28" s="63">
        <f t="shared" ca="1" si="42"/>
        <v>18</v>
      </c>
      <c r="J28" s="303">
        <f t="shared" si="43"/>
        <v>0</v>
      </c>
      <c r="K28" s="303">
        <f t="shared" si="44"/>
        <v>0</v>
      </c>
      <c r="L28" s="303">
        <f t="shared" si="45"/>
        <v>0</v>
      </c>
      <c r="M28" s="303">
        <f t="shared" si="46"/>
        <v>0</v>
      </c>
      <c r="N28" s="303">
        <f t="shared" si="47"/>
        <v>0</v>
      </c>
      <c r="O28" s="303">
        <f t="shared" si="48"/>
        <v>0</v>
      </c>
      <c r="P28" s="303">
        <f t="shared" si="49"/>
        <v>0</v>
      </c>
      <c r="Q28" s="303">
        <f t="shared" si="50"/>
        <v>0</v>
      </c>
      <c r="R28" s="303">
        <f t="shared" si="51"/>
        <v>0</v>
      </c>
      <c r="S28" s="303">
        <f t="shared" si="52"/>
        <v>0</v>
      </c>
      <c r="T28" s="303">
        <f t="shared" si="53"/>
        <v>0</v>
      </c>
      <c r="U28" s="303">
        <f t="shared" si="54"/>
        <v>0</v>
      </c>
      <c r="V28" s="303">
        <f t="shared" si="55"/>
        <v>0</v>
      </c>
      <c r="W28" s="303">
        <f t="shared" si="56"/>
        <v>0</v>
      </c>
      <c r="X28" s="303">
        <f t="shared" si="57"/>
        <v>0</v>
      </c>
      <c r="Y28" s="303">
        <f t="shared" si="58"/>
        <v>0</v>
      </c>
      <c r="Z28" s="303">
        <f t="shared" si="59"/>
        <v>0</v>
      </c>
      <c r="AA28" s="303">
        <f t="shared" si="60"/>
        <v>0</v>
      </c>
      <c r="AB28" s="303">
        <f t="shared" si="61"/>
        <v>0</v>
      </c>
      <c r="AC28" s="303">
        <f t="shared" si="62"/>
        <v>0</v>
      </c>
      <c r="AD28" s="303">
        <f t="shared" si="63"/>
        <v>0</v>
      </c>
      <c r="AE28" s="303">
        <f t="shared" si="64"/>
        <v>0</v>
      </c>
      <c r="AF28" s="303">
        <f t="shared" si="65"/>
        <v>0</v>
      </c>
      <c r="AG28" s="303">
        <f t="shared" si="66"/>
        <v>0</v>
      </c>
      <c r="AH28" s="303">
        <f t="shared" si="67"/>
        <v>0</v>
      </c>
      <c r="AI28" s="303">
        <f t="shared" si="68"/>
        <v>0</v>
      </c>
      <c r="AJ28" s="303">
        <f t="shared" si="69"/>
        <v>0</v>
      </c>
      <c r="AK28" s="303">
        <f t="shared" si="70"/>
        <v>0</v>
      </c>
      <c r="AL28" s="303">
        <f t="shared" si="71"/>
        <v>0</v>
      </c>
      <c r="AM28" s="303">
        <f t="shared" si="72"/>
        <v>0</v>
      </c>
      <c r="AN28" s="303">
        <f t="shared" si="73"/>
        <v>0</v>
      </c>
      <c r="AO28" s="303">
        <f t="shared" si="74"/>
        <v>0</v>
      </c>
      <c r="AP28" s="303">
        <f t="shared" ca="1" si="75"/>
        <v>0</v>
      </c>
      <c r="AQ28" s="303">
        <f t="shared" si="76"/>
        <v>0</v>
      </c>
      <c r="AR28" s="303">
        <f t="shared" si="77"/>
        <v>0</v>
      </c>
      <c r="AS28" s="303">
        <f t="shared" si="78"/>
        <v>0</v>
      </c>
      <c r="AT28" s="303">
        <f t="shared" si="79"/>
        <v>0</v>
      </c>
      <c r="AU28" s="303">
        <f t="shared" si="80"/>
        <v>0</v>
      </c>
      <c r="AV28" s="303">
        <f t="shared" si="81"/>
        <v>0</v>
      </c>
      <c r="AW28" s="303">
        <f t="shared" ca="1" si="82"/>
        <v>0</v>
      </c>
    </row>
    <row r="29" spans="1:49" s="338" customFormat="1" ht="12" customHeight="1">
      <c r="A29" s="63">
        <f t="array" aca="1" ref="A29" ca="1">IF(C29&lt;&gt;0,SUM(($C$11:C29&lt;&gt;0)*1),"")</f>
        <v>19</v>
      </c>
      <c r="B29" s="304">
        <v>40908</v>
      </c>
      <c r="C29" s="304" t="s">
        <v>132</v>
      </c>
      <c r="D29" s="304">
        <f t="shared" si="41"/>
        <v>40908</v>
      </c>
      <c r="E29" s="305" t="s">
        <v>138</v>
      </c>
      <c r="F29" s="90">
        <f ca="1">AR31</f>
        <v>0</v>
      </c>
      <c r="G29" s="306" t="s">
        <v>126</v>
      </c>
      <c r="H29" s="306" t="s">
        <v>122</v>
      </c>
      <c r="I29" s="63">
        <f t="shared" ca="1" si="42"/>
        <v>19</v>
      </c>
      <c r="J29" s="303">
        <f t="shared" si="43"/>
        <v>0</v>
      </c>
      <c r="K29" s="303">
        <f t="shared" si="44"/>
        <v>0</v>
      </c>
      <c r="L29" s="303">
        <f t="shared" si="45"/>
        <v>0</v>
      </c>
      <c r="M29" s="303">
        <f t="shared" si="46"/>
        <v>0</v>
      </c>
      <c r="N29" s="303">
        <f t="shared" si="47"/>
        <v>0</v>
      </c>
      <c r="O29" s="303">
        <f t="shared" si="48"/>
        <v>0</v>
      </c>
      <c r="P29" s="303">
        <f t="shared" si="49"/>
        <v>0</v>
      </c>
      <c r="Q29" s="303">
        <f t="shared" si="50"/>
        <v>0</v>
      </c>
      <c r="R29" s="303">
        <f t="shared" si="51"/>
        <v>0</v>
      </c>
      <c r="S29" s="303">
        <f t="shared" si="52"/>
        <v>0</v>
      </c>
      <c r="T29" s="303">
        <f t="shared" si="53"/>
        <v>0</v>
      </c>
      <c r="U29" s="303">
        <f t="shared" si="54"/>
        <v>0</v>
      </c>
      <c r="V29" s="303">
        <f t="shared" si="55"/>
        <v>0</v>
      </c>
      <c r="W29" s="303">
        <f t="shared" si="56"/>
        <v>0</v>
      </c>
      <c r="X29" s="303">
        <f t="shared" si="57"/>
        <v>0</v>
      </c>
      <c r="Y29" s="303">
        <f t="shared" si="58"/>
        <v>0</v>
      </c>
      <c r="Z29" s="303">
        <f t="shared" si="59"/>
        <v>0</v>
      </c>
      <c r="AA29" s="303">
        <f t="shared" si="60"/>
        <v>0</v>
      </c>
      <c r="AB29" s="303">
        <f t="shared" si="61"/>
        <v>0</v>
      </c>
      <c r="AC29" s="303">
        <f t="shared" si="62"/>
        <v>0</v>
      </c>
      <c r="AD29" s="303">
        <f t="shared" si="63"/>
        <v>0</v>
      </c>
      <c r="AE29" s="303">
        <f t="shared" si="64"/>
        <v>0</v>
      </c>
      <c r="AF29" s="303">
        <f t="shared" si="65"/>
        <v>0</v>
      </c>
      <c r="AG29" s="303">
        <f t="shared" si="66"/>
        <v>0</v>
      </c>
      <c r="AH29" s="303">
        <f t="shared" si="67"/>
        <v>0</v>
      </c>
      <c r="AI29" s="303">
        <f t="shared" si="68"/>
        <v>0</v>
      </c>
      <c r="AJ29" s="303">
        <f t="shared" si="69"/>
        <v>0</v>
      </c>
      <c r="AK29" s="303">
        <f t="shared" si="70"/>
        <v>0</v>
      </c>
      <c r="AL29" s="303">
        <f t="shared" si="71"/>
        <v>0</v>
      </c>
      <c r="AM29" s="303">
        <f t="shared" si="72"/>
        <v>0</v>
      </c>
      <c r="AN29" s="303">
        <f t="shared" si="73"/>
        <v>0</v>
      </c>
      <c r="AO29" s="303">
        <f t="shared" si="74"/>
        <v>0</v>
      </c>
      <c r="AP29" s="303">
        <f t="shared" si="75"/>
        <v>0</v>
      </c>
      <c r="AQ29" s="303">
        <f t="shared" si="76"/>
        <v>0</v>
      </c>
      <c r="AR29" s="303">
        <f t="shared" si="77"/>
        <v>0</v>
      </c>
      <c r="AS29" s="303">
        <f t="shared" ca="1" si="78"/>
        <v>0</v>
      </c>
      <c r="AT29" s="303">
        <f t="shared" si="79"/>
        <v>0</v>
      </c>
      <c r="AU29" s="303">
        <f t="shared" si="80"/>
        <v>0</v>
      </c>
      <c r="AV29" s="303">
        <f t="shared" ca="1" si="81"/>
        <v>0</v>
      </c>
      <c r="AW29" s="303">
        <f t="shared" si="82"/>
        <v>0</v>
      </c>
    </row>
    <row r="30" spans="1:49" s="300" customFormat="1" ht="12" customHeight="1">
      <c r="A30" s="63" t="str">
        <f t="array" ref="A30">IF(C30&lt;&gt;0,SUM(($C$11:C30&lt;&gt;0)*1),"")</f>
        <v/>
      </c>
      <c r="B30" s="251"/>
      <c r="C30" s="251"/>
      <c r="D30" s="251"/>
      <c r="E30" s="302"/>
      <c r="F30" s="65"/>
      <c r="G30" s="308"/>
      <c r="H30" s="308"/>
      <c r="I30" s="63" t="str">
        <f>A30</f>
        <v/>
      </c>
      <c r="J30" s="303">
        <f t="shared" si="43"/>
        <v>0</v>
      </c>
      <c r="K30" s="303">
        <f t="shared" si="44"/>
        <v>0</v>
      </c>
      <c r="L30" s="303">
        <f t="shared" si="45"/>
        <v>0</v>
      </c>
      <c r="M30" s="303">
        <f t="shared" si="46"/>
        <v>0</v>
      </c>
      <c r="N30" s="303">
        <f t="shared" si="47"/>
        <v>0</v>
      </c>
      <c r="O30" s="303">
        <f t="shared" si="48"/>
        <v>0</v>
      </c>
      <c r="P30" s="303">
        <f t="shared" si="49"/>
        <v>0</v>
      </c>
      <c r="Q30" s="303">
        <f t="shared" si="50"/>
        <v>0</v>
      </c>
      <c r="R30" s="303">
        <f t="shared" si="51"/>
        <v>0</v>
      </c>
      <c r="S30" s="303">
        <f t="shared" si="52"/>
        <v>0</v>
      </c>
      <c r="T30" s="303">
        <f t="shared" si="53"/>
        <v>0</v>
      </c>
      <c r="U30" s="303">
        <f t="shared" si="54"/>
        <v>0</v>
      </c>
      <c r="V30" s="303">
        <f t="shared" si="55"/>
        <v>0</v>
      </c>
      <c r="W30" s="303">
        <f t="shared" si="56"/>
        <v>0</v>
      </c>
      <c r="X30" s="303">
        <f t="shared" si="57"/>
        <v>0</v>
      </c>
      <c r="Y30" s="303">
        <f t="shared" si="58"/>
        <v>0</v>
      </c>
      <c r="Z30" s="303">
        <f t="shared" si="59"/>
        <v>0</v>
      </c>
      <c r="AA30" s="303">
        <f t="shared" si="60"/>
        <v>0</v>
      </c>
      <c r="AB30" s="303">
        <f t="shared" si="61"/>
        <v>0</v>
      </c>
      <c r="AC30" s="303">
        <f t="shared" si="62"/>
        <v>0</v>
      </c>
      <c r="AD30" s="303">
        <f t="shared" si="63"/>
        <v>0</v>
      </c>
      <c r="AE30" s="303">
        <f t="shared" si="64"/>
        <v>0</v>
      </c>
      <c r="AF30" s="303">
        <f t="shared" si="65"/>
        <v>0</v>
      </c>
      <c r="AG30" s="303">
        <f t="shared" si="66"/>
        <v>0</v>
      </c>
      <c r="AH30" s="303">
        <f t="shared" si="67"/>
        <v>0</v>
      </c>
      <c r="AI30" s="303">
        <f t="shared" si="68"/>
        <v>0</v>
      </c>
      <c r="AJ30" s="303">
        <f t="shared" si="69"/>
        <v>0</v>
      </c>
      <c r="AK30" s="303">
        <f t="shared" si="70"/>
        <v>0</v>
      </c>
      <c r="AL30" s="303">
        <f t="shared" si="71"/>
        <v>0</v>
      </c>
      <c r="AM30" s="303">
        <f t="shared" si="72"/>
        <v>0</v>
      </c>
      <c r="AN30" s="303">
        <f t="shared" si="73"/>
        <v>0</v>
      </c>
      <c r="AO30" s="303">
        <f t="shared" si="74"/>
        <v>0</v>
      </c>
      <c r="AP30" s="303">
        <f t="shared" si="75"/>
        <v>0</v>
      </c>
      <c r="AQ30" s="303">
        <f t="shared" si="76"/>
        <v>0</v>
      </c>
      <c r="AR30" s="303">
        <f t="shared" si="77"/>
        <v>0</v>
      </c>
      <c r="AS30" s="303">
        <f t="shared" si="78"/>
        <v>0</v>
      </c>
      <c r="AT30" s="303">
        <f t="shared" si="79"/>
        <v>0</v>
      </c>
      <c r="AU30" s="303">
        <f t="shared" si="80"/>
        <v>0</v>
      </c>
      <c r="AV30" s="303">
        <f t="shared" si="81"/>
        <v>0</v>
      </c>
      <c r="AW30" s="303">
        <f t="shared" si="82"/>
        <v>0</v>
      </c>
    </row>
    <row r="31" spans="1:49" s="300" customFormat="1" ht="12" customHeight="1">
      <c r="A31" s="309"/>
      <c r="B31" s="251"/>
      <c r="C31" s="339"/>
      <c r="D31" s="251"/>
      <c r="E31" s="302" t="s">
        <v>201</v>
      </c>
      <c r="F31" s="309"/>
      <c r="G31" s="308"/>
      <c r="H31" s="308"/>
      <c r="I31" s="309"/>
      <c r="J31" s="309">
        <f t="shared" ref="J31:AW31" ca="1" si="83">SUM(J11:J30)</f>
        <v>0</v>
      </c>
      <c r="K31" s="309">
        <f t="shared" ca="1" si="83"/>
        <v>30150000</v>
      </c>
      <c r="L31" s="309">
        <f t="shared" ca="1" si="83"/>
        <v>30000000</v>
      </c>
      <c r="M31" s="309">
        <f t="shared" ca="1" si="83"/>
        <v>30000000</v>
      </c>
      <c r="N31" s="309">
        <f t="shared" ca="1" si="83"/>
        <v>0</v>
      </c>
      <c r="O31" s="309">
        <f t="shared" ca="1" si="83"/>
        <v>0</v>
      </c>
      <c r="P31" s="309">
        <f t="shared" ca="1" si="83"/>
        <v>0</v>
      </c>
      <c r="Q31" s="309">
        <f t="shared" ca="1" si="83"/>
        <v>0</v>
      </c>
      <c r="R31" s="309">
        <f t="shared" ca="1" si="83"/>
        <v>0</v>
      </c>
      <c r="S31" s="309">
        <f t="shared" ca="1" si="83"/>
        <v>0</v>
      </c>
      <c r="T31" s="309">
        <f t="shared" ca="1" si="83"/>
        <v>29920000</v>
      </c>
      <c r="U31" s="309">
        <f t="shared" ca="1" si="83"/>
        <v>29920000</v>
      </c>
      <c r="V31" s="309">
        <f t="shared" ca="1" si="83"/>
        <v>0</v>
      </c>
      <c r="W31" s="309">
        <f t="shared" ca="1" si="83"/>
        <v>0</v>
      </c>
      <c r="X31" s="309">
        <f t="shared" ca="1" si="83"/>
        <v>0</v>
      </c>
      <c r="Y31" s="309">
        <f t="shared" ca="1" si="83"/>
        <v>0</v>
      </c>
      <c r="Z31" s="309">
        <f t="shared" ca="1" si="83"/>
        <v>30000000</v>
      </c>
      <c r="AA31" s="309">
        <f t="shared" ca="1" si="83"/>
        <v>30000000</v>
      </c>
      <c r="AB31" s="309">
        <f t="shared" ca="1" si="83"/>
        <v>0</v>
      </c>
      <c r="AC31" s="309">
        <f t="shared" ca="1" si="83"/>
        <v>0</v>
      </c>
      <c r="AD31" s="309">
        <f t="shared" ca="1" si="83"/>
        <v>0</v>
      </c>
      <c r="AE31" s="309">
        <f t="shared" ca="1" si="83"/>
        <v>0</v>
      </c>
      <c r="AF31" s="309">
        <f t="shared" ca="1" si="83"/>
        <v>0</v>
      </c>
      <c r="AG31" s="309">
        <f t="shared" ca="1" si="83"/>
        <v>0</v>
      </c>
      <c r="AH31" s="309">
        <f t="shared" ca="1" si="83"/>
        <v>30150000</v>
      </c>
      <c r="AI31" s="309">
        <f t="shared" ca="1" si="83"/>
        <v>0</v>
      </c>
      <c r="AJ31" s="309">
        <f t="shared" ca="1" si="83"/>
        <v>0</v>
      </c>
      <c r="AK31" s="309">
        <f t="shared" ca="1" si="83"/>
        <v>0</v>
      </c>
      <c r="AL31" s="309">
        <f t="shared" ca="1" si="83"/>
        <v>0</v>
      </c>
      <c r="AM31" s="309">
        <f t="shared" ca="1" si="83"/>
        <v>0</v>
      </c>
      <c r="AN31" s="309">
        <f t="shared" ca="1" si="83"/>
        <v>30150000</v>
      </c>
      <c r="AO31" s="309">
        <f t="shared" ca="1" si="83"/>
        <v>30150000</v>
      </c>
      <c r="AP31" s="309">
        <f t="shared" ca="1" si="83"/>
        <v>0</v>
      </c>
      <c r="AQ31" s="309">
        <f t="shared" ca="1" si="83"/>
        <v>0</v>
      </c>
      <c r="AR31" s="309">
        <f t="shared" ca="1" si="83"/>
        <v>0</v>
      </c>
      <c r="AS31" s="309">
        <f t="shared" ca="1" si="83"/>
        <v>0</v>
      </c>
      <c r="AT31" s="309">
        <f t="shared" ca="1" si="83"/>
        <v>0</v>
      </c>
      <c r="AU31" s="309">
        <f t="shared" ca="1" si="83"/>
        <v>0</v>
      </c>
      <c r="AV31" s="309">
        <f t="shared" ca="1" si="83"/>
        <v>30150000</v>
      </c>
      <c r="AW31" s="309">
        <f t="shared" ca="1" si="83"/>
        <v>30150000</v>
      </c>
    </row>
    <row r="32" spans="1:49" s="300" customFormat="1" ht="12" customHeight="1">
      <c r="A32" s="310"/>
      <c r="B32" s="310"/>
      <c r="C32" s="310"/>
      <c r="D32" s="310"/>
      <c r="E32" s="311" t="s">
        <v>240</v>
      </c>
      <c r="F32" s="310"/>
      <c r="G32" s="312"/>
      <c r="H32" s="312"/>
      <c r="I32" s="310"/>
      <c r="J32" s="332">
        <f ca="1">MAX(J10+J31-K10-K31,0)</f>
        <v>3130040000</v>
      </c>
      <c r="K32" s="332">
        <f ca="1">MAX(K10+K31-J10-J31,0)</f>
        <v>0</v>
      </c>
      <c r="L32" s="332">
        <f ca="1">MAX(L10+L31-M10-M31,0)</f>
        <v>0</v>
      </c>
      <c r="M32" s="332">
        <f ca="1">MAX(M10+M31-L10-L31,0)</f>
        <v>0</v>
      </c>
      <c r="N32" s="332">
        <f ca="1">MAX(N10+N31-O10-O31,0)</f>
        <v>0</v>
      </c>
      <c r="O32" s="332">
        <f ca="1">MAX(O10+O31-N10-N31,0)</f>
        <v>0</v>
      </c>
      <c r="P32" s="332">
        <f ca="1">MAX(P10+P31-Q10-Q31,0)</f>
        <v>0</v>
      </c>
      <c r="Q32" s="332">
        <f ca="1">MAX(Q10+Q31-P10-P31,0)</f>
        <v>0</v>
      </c>
      <c r="R32" s="332">
        <f ca="1">MAX(R10+R31-S10-S31,0)</f>
        <v>0</v>
      </c>
      <c r="S32" s="332">
        <f ca="1">MAX(S10+S31-R10-R31,0)</f>
        <v>0</v>
      </c>
      <c r="T32" s="332">
        <f ca="1">MAX(T10+T31-U10-U31,0)</f>
        <v>800000000</v>
      </c>
      <c r="U32" s="332">
        <f ca="1">MAX(U10+U31-T10-T31,0)</f>
        <v>0</v>
      </c>
      <c r="V32" s="332">
        <f ca="1">MAX(V10+V31-W10-W31,0)</f>
        <v>0</v>
      </c>
      <c r="W32" s="332">
        <f ca="1">MAX(W10+W31-V10-V31,0)</f>
        <v>0</v>
      </c>
      <c r="X32" s="332">
        <f ca="1">MAX(X10+X31-Y10-Y31,0)</f>
        <v>0</v>
      </c>
      <c r="Y32" s="332">
        <f ca="1">MAX(Y10+Y31-X10-X31,0)</f>
        <v>0</v>
      </c>
      <c r="Z32" s="332">
        <f ca="1">MAX(Z10+Z31-AA10-AA31,0)</f>
        <v>0</v>
      </c>
      <c r="AA32" s="332">
        <f ca="1">MAX(AA10+AA31-Z10-Z31,0)</f>
        <v>0</v>
      </c>
      <c r="AB32" s="332">
        <f ca="1">MAX(AB10+AB31-AC10-AC31,0)</f>
        <v>0</v>
      </c>
      <c r="AC32" s="332">
        <f ca="1">MAX(AC10+AC31-AB10-AB31,0)</f>
        <v>0</v>
      </c>
      <c r="AD32" s="332">
        <f ca="1">MAX(AD10+AD31-AE10-AE31,0)</f>
        <v>0</v>
      </c>
      <c r="AE32" s="332">
        <f ca="1">MAX(AE10+AE31-AD10-AD31,0)</f>
        <v>4000000000</v>
      </c>
      <c r="AF32" s="332">
        <f ca="1">MAX(AF10+AF31-AG10-AG31,0)</f>
        <v>5210000</v>
      </c>
      <c r="AG32" s="332">
        <f ca="1">MAX(AG10+AG31-AF10-AF31,0)</f>
        <v>0</v>
      </c>
      <c r="AH32" s="332">
        <f ca="1">MAX(AH10+AH31-AI10-AI31,0)</f>
        <v>64750000</v>
      </c>
      <c r="AI32" s="332">
        <f ca="1">MAX(AI10+AI31-AH10-AH31,0)</f>
        <v>0</v>
      </c>
      <c r="AJ32" s="332">
        <f ca="1">MAX(AJ10+AJ31-AK10-AK31,0)</f>
        <v>0</v>
      </c>
      <c r="AK32" s="332">
        <f ca="1">MAX(AK10+AK31-AJ10-AJ31,0)</f>
        <v>0</v>
      </c>
      <c r="AL32" s="332">
        <f ca="1">MAX(AL10+AL31-AM10-AM31,0)</f>
        <v>0</v>
      </c>
      <c r="AM32" s="332">
        <f ca="1">MAX(AM10+AM31-AL10-AL31,0)</f>
        <v>0</v>
      </c>
      <c r="AN32" s="332">
        <f ca="1">MAX(AN10+AN31-AO10-AO31,0)</f>
        <v>0</v>
      </c>
      <c r="AO32" s="332">
        <f ca="1">MAX(AO10+AO31-AN10-AN31,0)</f>
        <v>0</v>
      </c>
      <c r="AP32" s="332">
        <f ca="1">MAX(AP10+AP31-AQ10-AQ31,0)</f>
        <v>0</v>
      </c>
      <c r="AQ32" s="332">
        <f ca="1">MAX(AQ10+AQ31-AP10-AP31,0)</f>
        <v>0</v>
      </c>
      <c r="AR32" s="332">
        <f ca="1">MAX(AR10+AR31-AS10-AS31,0)</f>
        <v>0</v>
      </c>
      <c r="AS32" s="332">
        <f ca="1">MAX(AS10+AS31-AR10-AR31,0)</f>
        <v>0</v>
      </c>
      <c r="AT32" s="332">
        <f ca="1">MAX(AT10+AT31-AU10-AU31,0)</f>
        <v>0</v>
      </c>
      <c r="AU32" s="332">
        <f ca="1">MAX(AU10+AU31-AT10-AT31,0)</f>
        <v>0</v>
      </c>
      <c r="AV32" s="332">
        <f ca="1">MAX(AV10+AV31-AW10-AW31,0)</f>
        <v>0</v>
      </c>
      <c r="AW32" s="332">
        <f ca="1">MAX(AW10+AW31-AV10-AV31,0)</f>
        <v>0</v>
      </c>
    </row>
    <row r="33" spans="1:49" s="300" customFormat="1" ht="12" customHeight="1">
      <c r="A33" s="314"/>
      <c r="B33" s="314"/>
      <c r="C33" s="315"/>
      <c r="D33" s="314"/>
      <c r="E33" s="316" t="s">
        <v>241</v>
      </c>
      <c r="F33" s="314"/>
      <c r="G33" s="317"/>
      <c r="H33" s="317"/>
      <c r="I33" s="314"/>
      <c r="J33" s="314">
        <f ca="1">J31+'07-09'!J36</f>
        <v>0</v>
      </c>
      <c r="K33" s="314">
        <f ca="1">K31+'07-09'!K36</f>
        <v>864750000</v>
      </c>
      <c r="L33" s="314">
        <f ca="1">L31+'07-09'!L36</f>
        <v>864600000</v>
      </c>
      <c r="M33" s="314">
        <f ca="1">M31+'07-09'!M36</f>
        <v>864600000</v>
      </c>
      <c r="N33" s="314">
        <f ca="1">N31+'07-09'!N36</f>
        <v>0</v>
      </c>
      <c r="O33" s="314">
        <f ca="1">O31+'07-09'!O36</f>
        <v>0</v>
      </c>
      <c r="P33" s="314">
        <f ca="1">P31+'07-09'!P36</f>
        <v>0</v>
      </c>
      <c r="Q33" s="314">
        <f ca="1">Q31+'07-09'!Q36</f>
        <v>0</v>
      </c>
      <c r="R33" s="314">
        <f ca="1">R31+'07-09'!R36</f>
        <v>0</v>
      </c>
      <c r="S33" s="314">
        <f ca="1">S31+'07-09'!S36</f>
        <v>0</v>
      </c>
      <c r="T33" s="314">
        <f ca="1">T31+'07-09'!T36</f>
        <v>862208666</v>
      </c>
      <c r="U33" s="314">
        <f ca="1">U31+'07-09'!U36</f>
        <v>62208666</v>
      </c>
      <c r="V33" s="314">
        <f ca="1">V31+'07-09'!V36</f>
        <v>0</v>
      </c>
      <c r="W33" s="314">
        <f ca="1">W31+'07-09'!W36</f>
        <v>0</v>
      </c>
      <c r="X33" s="314">
        <f ca="1">X31+'07-09'!X36</f>
        <v>1500000</v>
      </c>
      <c r="Y33" s="314">
        <f ca="1">Y31+'07-09'!Y36</f>
        <v>1500000</v>
      </c>
      <c r="Z33" s="314">
        <f ca="1">Z31+'07-09'!Z36</f>
        <v>614500000</v>
      </c>
      <c r="AA33" s="314">
        <f ca="1">AA31+'07-09'!AA36</f>
        <v>614500000</v>
      </c>
      <c r="AB33" s="314">
        <f ca="1">AB31+'07-09'!AB36</f>
        <v>0</v>
      </c>
      <c r="AC33" s="314">
        <f ca="1">AC31+'07-09'!AC36</f>
        <v>0</v>
      </c>
      <c r="AD33" s="314">
        <f ca="1">AD31+'07-09'!AD36</f>
        <v>0</v>
      </c>
      <c r="AE33" s="314">
        <f ca="1">AE31+'07-09'!AE36</f>
        <v>0</v>
      </c>
      <c r="AF33" s="314">
        <f ca="1">AF31+'07-09'!AF36</f>
        <v>1910000</v>
      </c>
      <c r="AG33" s="314">
        <f ca="1">AG31+'07-09'!AG36</f>
        <v>0</v>
      </c>
      <c r="AH33" s="314">
        <f ca="1">AH31+'07-09'!AH36</f>
        <v>64750000</v>
      </c>
      <c r="AI33" s="314">
        <f ca="1">AI31+'07-09'!AI36</f>
        <v>1910000</v>
      </c>
      <c r="AJ33" s="314">
        <f ca="1">AJ31+'07-09'!AJ36</f>
        <v>0</v>
      </c>
      <c r="AK33" s="314">
        <f ca="1">AK31+'07-09'!AK36</f>
        <v>0</v>
      </c>
      <c r="AL33" s="314">
        <f ca="1">AL31+'07-09'!AL36</f>
        <v>0</v>
      </c>
      <c r="AM33" s="314">
        <f ca="1">AM31+'07-09'!AM36</f>
        <v>0</v>
      </c>
      <c r="AN33" s="314">
        <f ca="1">AN31+'07-09'!AN36</f>
        <v>64750000</v>
      </c>
      <c r="AO33" s="314">
        <f ca="1">AO31+'07-09'!AO36</f>
        <v>64750000</v>
      </c>
      <c r="AP33" s="314">
        <f ca="1">AP31+'07-09'!AP36</f>
        <v>0</v>
      </c>
      <c r="AQ33" s="314">
        <f ca="1">AQ31+'07-09'!AQ36</f>
        <v>0</v>
      </c>
      <c r="AR33" s="314">
        <f ca="1">AR31+'07-09'!AR36</f>
        <v>0</v>
      </c>
      <c r="AS33" s="314">
        <f ca="1">AS31+'07-09'!AS36</f>
        <v>0</v>
      </c>
      <c r="AT33" s="314">
        <f ca="1">AT31+'07-09'!AT36</f>
        <v>0</v>
      </c>
      <c r="AU33" s="314">
        <f ca="1">AU31+'07-09'!AU36</f>
        <v>0</v>
      </c>
      <c r="AV33" s="314">
        <f ca="1">AV31+'07-09'!AV36</f>
        <v>64750000</v>
      </c>
      <c r="AW33" s="314">
        <f ca="1">AW31+'07-09'!AW36</f>
        <v>64750000</v>
      </c>
    </row>
    <row r="34" spans="1:49" ht="12" customHeight="1">
      <c r="B34" s="319"/>
      <c r="C34" s="320"/>
      <c r="D34" s="320"/>
      <c r="E34" s="320"/>
      <c r="F34" s="320"/>
      <c r="G34" s="321"/>
      <c r="H34" s="321"/>
      <c r="I34" s="320"/>
      <c r="J34" s="320"/>
      <c r="K34" s="320"/>
      <c r="Z34" s="320"/>
      <c r="AA34" s="320"/>
      <c r="AB34" s="320"/>
      <c r="AC34" s="321"/>
      <c r="AD34" s="321"/>
      <c r="AE34" s="321"/>
      <c r="AF34" s="321"/>
      <c r="AG34" s="337"/>
      <c r="AH34" s="320"/>
      <c r="AI34" s="320"/>
      <c r="AJ34" s="320"/>
      <c r="AK34" s="320"/>
      <c r="AN34" s="320"/>
      <c r="AO34" s="320"/>
      <c r="AP34" s="320"/>
      <c r="AQ34" s="320"/>
      <c r="AR34" s="320"/>
      <c r="AS34" s="320"/>
      <c r="AV34" s="320"/>
      <c r="AW34" s="320"/>
    </row>
    <row r="35" spans="1:49" ht="12" customHeight="1">
      <c r="B35" s="319"/>
      <c r="C35" s="320"/>
      <c r="D35" s="320"/>
      <c r="E35" s="320"/>
      <c r="F35" s="320"/>
      <c r="G35" s="321"/>
      <c r="H35" s="321"/>
      <c r="I35" s="320"/>
      <c r="J35" s="320"/>
      <c r="K35" s="320"/>
      <c r="Z35" s="320"/>
      <c r="AA35" s="320"/>
      <c r="AB35" s="320"/>
      <c r="AC35" s="321"/>
      <c r="AD35" s="321"/>
      <c r="AE35" s="321"/>
      <c r="AF35" s="321"/>
      <c r="AG35" s="337"/>
      <c r="AH35" s="320"/>
      <c r="AI35" s="320"/>
      <c r="AJ35" s="320"/>
      <c r="AK35" s="320"/>
      <c r="AN35" s="320"/>
      <c r="AO35" s="320"/>
      <c r="AP35" s="320"/>
      <c r="AQ35" s="320"/>
      <c r="AR35" s="320"/>
      <c r="AS35" s="320"/>
      <c r="AV35" s="320"/>
      <c r="AW35" s="320"/>
    </row>
    <row r="36" spans="1:49" ht="12" customHeight="1">
      <c r="J36" s="322"/>
      <c r="K36" s="322"/>
      <c r="L36" s="322">
        <v>2367123</v>
      </c>
      <c r="M36" s="340"/>
      <c r="N36" s="340"/>
      <c r="O36" s="340"/>
      <c r="P36" s="322"/>
      <c r="AC36" s="279"/>
      <c r="AD36" s="279"/>
      <c r="AE36" s="279"/>
      <c r="AF36" s="279"/>
      <c r="AG36" s="341"/>
    </row>
    <row r="37" spans="1:49" s="285" customFormat="1" ht="12" customHeight="1">
      <c r="F37" s="342"/>
      <c r="G37" s="343"/>
      <c r="H37" s="343"/>
      <c r="P37" s="344"/>
      <c r="X37" s="278"/>
      <c r="Y37" s="278"/>
      <c r="AC37" s="343"/>
      <c r="AD37" s="343"/>
      <c r="AE37" s="343"/>
      <c r="AF37" s="343"/>
      <c r="AG37" s="345"/>
      <c r="AL37" s="278"/>
      <c r="AM37" s="278"/>
      <c r="AT37" s="278"/>
      <c r="AU37" s="278"/>
    </row>
    <row r="38" spans="1:49" ht="12" customHeight="1">
      <c r="L38" s="300">
        <f ca="1">L32-L36</f>
        <v>-2367123</v>
      </c>
      <c r="AC38" s="279"/>
      <c r="AD38" s="279"/>
      <c r="AE38" s="279"/>
      <c r="AF38" s="279"/>
      <c r="AG38" s="341"/>
    </row>
    <row r="39" spans="1:49">
      <c r="J39" s="300"/>
      <c r="K39" s="300"/>
    </row>
    <row r="40" spans="1:49">
      <c r="R40" s="300"/>
    </row>
    <row r="41" spans="1:49">
      <c r="F41" s="300"/>
      <c r="R41" s="300"/>
    </row>
    <row r="42" spans="1:49">
      <c r="F42" s="300"/>
      <c r="R42" s="300"/>
    </row>
    <row r="43" spans="1:49">
      <c r="F43" s="300"/>
      <c r="G43" s="300"/>
      <c r="R43" s="300"/>
    </row>
    <row r="44" spans="1:49">
      <c r="F44" s="300"/>
      <c r="R44" s="300"/>
    </row>
    <row r="45" spans="1:49">
      <c r="F45" s="300"/>
      <c r="R45" s="300"/>
    </row>
    <row r="46" spans="1:49">
      <c r="F46" s="300"/>
      <c r="M46" s="322"/>
      <c r="N46" s="322"/>
      <c r="O46" s="322"/>
      <c r="P46" s="322"/>
      <c r="R46" s="300"/>
    </row>
    <row r="47" spans="1:49">
      <c r="E47" s="333"/>
      <c r="F47" s="300"/>
      <c r="M47" s="322"/>
      <c r="N47" s="322"/>
      <c r="O47" s="322"/>
      <c r="P47" s="322"/>
    </row>
    <row r="48" spans="1:49">
      <c r="F48" s="322"/>
      <c r="M48" s="322"/>
      <c r="N48" s="322"/>
      <c r="O48" s="322"/>
      <c r="P48" s="322"/>
    </row>
    <row r="49" spans="5:16">
      <c r="F49" s="322"/>
      <c r="M49" s="322"/>
      <c r="N49" s="322"/>
      <c r="O49" s="322"/>
      <c r="P49" s="322"/>
    </row>
    <row r="50" spans="5:16">
      <c r="E50" s="322"/>
      <c r="F50" s="322"/>
      <c r="M50" s="322"/>
      <c r="N50" s="322"/>
      <c r="O50" s="322"/>
      <c r="P50" s="322"/>
    </row>
    <row r="51" spans="5:16">
      <c r="E51" s="322"/>
      <c r="F51" s="322"/>
      <c r="M51" s="322"/>
      <c r="N51" s="322"/>
      <c r="O51" s="322"/>
      <c r="P51" s="322"/>
    </row>
    <row r="52" spans="5:16">
      <c r="E52" s="322"/>
      <c r="F52" s="322"/>
      <c r="M52" s="322"/>
      <c r="N52" s="322"/>
      <c r="O52" s="322"/>
      <c r="P52" s="322"/>
    </row>
    <row r="53" spans="5:16">
      <c r="E53" s="322"/>
      <c r="F53" s="322"/>
      <c r="M53" s="322"/>
      <c r="N53" s="322"/>
      <c r="O53" s="322"/>
      <c r="P53" s="322"/>
    </row>
    <row r="54" spans="5:16">
      <c r="E54" s="322"/>
      <c r="F54" s="322"/>
      <c r="M54" s="322"/>
      <c r="N54" s="322"/>
      <c r="O54" s="322"/>
      <c r="P54" s="322"/>
    </row>
    <row r="55" spans="5:16">
      <c r="E55" s="322"/>
      <c r="F55" s="322"/>
      <c r="M55" s="322"/>
      <c r="N55" s="322"/>
      <c r="O55" s="322"/>
      <c r="P55" s="322"/>
    </row>
    <row r="56" spans="5:16">
      <c r="F56" s="322"/>
      <c r="M56" s="322"/>
      <c r="N56" s="322"/>
      <c r="O56" s="322"/>
      <c r="P56" s="322"/>
    </row>
    <row r="57" spans="5:16">
      <c r="F57" s="322"/>
      <c r="M57" s="322"/>
      <c r="N57" s="322"/>
      <c r="O57" s="322"/>
      <c r="P57" s="322"/>
    </row>
    <row r="58" spans="5:16">
      <c r="F58" s="322"/>
      <c r="M58" s="322"/>
      <c r="N58" s="322"/>
      <c r="O58" s="322"/>
      <c r="P58" s="322"/>
    </row>
    <row r="59" spans="5:16">
      <c r="F59" s="322"/>
      <c r="M59" s="322"/>
      <c r="N59" s="322"/>
      <c r="O59" s="322"/>
      <c r="P59" s="322"/>
    </row>
    <row r="60" spans="5:16">
      <c r="F60" s="322"/>
      <c r="M60" s="322"/>
      <c r="N60" s="322"/>
      <c r="O60" s="322"/>
      <c r="P60" s="322"/>
    </row>
    <row r="61" spans="5:16">
      <c r="F61" s="322"/>
      <c r="M61" s="322"/>
      <c r="N61" s="322"/>
      <c r="O61" s="322"/>
      <c r="P61" s="322"/>
    </row>
    <row r="62" spans="5:16">
      <c r="M62" s="322"/>
      <c r="N62" s="322"/>
      <c r="O62" s="322"/>
      <c r="P62" s="322"/>
    </row>
    <row r="64" spans="5:16">
      <c r="M64" s="322"/>
      <c r="N64" s="322"/>
      <c r="O64" s="322"/>
      <c r="P64" s="322"/>
    </row>
    <row r="65" spans="13:16">
      <c r="M65" s="322"/>
      <c r="N65" s="322"/>
      <c r="O65" s="322"/>
      <c r="P65" s="322"/>
    </row>
    <row r="66" spans="13:16">
      <c r="M66" s="322"/>
      <c r="N66" s="322"/>
      <c r="O66" s="322"/>
      <c r="P66" s="322"/>
    </row>
    <row r="67" spans="13:16">
      <c r="M67" s="322"/>
      <c r="N67" s="322"/>
      <c r="O67" s="322"/>
      <c r="P67" s="322"/>
    </row>
    <row r="68" spans="13:16">
      <c r="M68" s="322"/>
      <c r="N68" s="322"/>
      <c r="O68" s="322"/>
      <c r="P68" s="322"/>
    </row>
    <row r="69" spans="13:16">
      <c r="M69" s="322"/>
      <c r="N69" s="322"/>
      <c r="O69" s="322"/>
      <c r="P69" s="322"/>
    </row>
    <row r="82" spans="13:15">
      <c r="M82" s="322"/>
      <c r="N82" s="322"/>
      <c r="O82" s="322"/>
    </row>
    <row r="99" spans="13:16">
      <c r="P99" s="322"/>
    </row>
    <row r="100" spans="13:16">
      <c r="P100" s="322"/>
    </row>
    <row r="101" spans="13:16">
      <c r="M101" s="322"/>
      <c r="N101" s="322"/>
      <c r="O101" s="322"/>
      <c r="P101" s="322"/>
    </row>
    <row r="102" spans="13:16">
      <c r="M102" s="322"/>
      <c r="N102" s="322"/>
      <c r="O102" s="322"/>
      <c r="P102" s="322"/>
    </row>
    <row r="103" spans="13:16">
      <c r="M103" s="322"/>
      <c r="N103" s="322"/>
      <c r="O103" s="322"/>
    </row>
    <row r="104" spans="13:16">
      <c r="M104" s="322"/>
      <c r="N104" s="322"/>
      <c r="O104" s="322"/>
    </row>
    <row r="106" spans="13:16">
      <c r="M106" s="322"/>
      <c r="N106" s="322"/>
      <c r="O106" s="322"/>
      <c r="P106" s="322"/>
    </row>
    <row r="107" spans="13:16">
      <c r="M107" s="322"/>
      <c r="N107" s="322"/>
      <c r="O107" s="322"/>
      <c r="P107" s="322"/>
    </row>
    <row r="114" spans="13:16">
      <c r="M114" s="322"/>
      <c r="N114" s="322"/>
      <c r="O114" s="322"/>
      <c r="P114" s="322"/>
    </row>
    <row r="115" spans="13:16">
      <c r="M115" s="322"/>
      <c r="N115" s="322"/>
      <c r="O115" s="322"/>
      <c r="P115" s="322"/>
    </row>
    <row r="116" spans="13:16">
      <c r="M116" s="322"/>
      <c r="N116" s="322"/>
      <c r="O116" s="322"/>
      <c r="P116" s="322"/>
    </row>
    <row r="120" spans="13:16">
      <c r="M120" s="322"/>
      <c r="N120" s="322"/>
      <c r="O120" s="322"/>
      <c r="P120" s="322"/>
    </row>
    <row r="121" spans="13:16">
      <c r="M121" s="322"/>
      <c r="N121" s="322"/>
      <c r="O121" s="322"/>
      <c r="P121" s="322"/>
    </row>
    <row r="122" spans="13:16">
      <c r="M122" s="322"/>
      <c r="N122" s="322"/>
      <c r="O122" s="322"/>
      <c r="P122" s="322"/>
    </row>
    <row r="123" spans="13:16">
      <c r="M123" s="322"/>
      <c r="N123" s="322"/>
      <c r="O123" s="322"/>
      <c r="P123" s="322"/>
    </row>
    <row r="124" spans="13:16">
      <c r="M124" s="322"/>
      <c r="N124" s="322"/>
      <c r="O124" s="322"/>
      <c r="P124" s="322"/>
    </row>
    <row r="125" spans="13:16">
      <c r="M125" s="322"/>
      <c r="N125" s="322"/>
      <c r="O125" s="322"/>
      <c r="P125" s="322"/>
    </row>
    <row r="126" spans="13:16">
      <c r="M126" s="322"/>
      <c r="N126" s="322"/>
      <c r="O126" s="322"/>
      <c r="P126" s="322"/>
    </row>
    <row r="127" spans="13:16">
      <c r="M127" s="322"/>
      <c r="N127" s="322"/>
      <c r="O127" s="322"/>
      <c r="P127" s="322"/>
    </row>
    <row r="128" spans="13:16">
      <c r="M128" s="322"/>
      <c r="N128" s="322"/>
      <c r="O128" s="322"/>
      <c r="P128" s="322"/>
    </row>
    <row r="129" spans="13:16">
      <c r="M129" s="322"/>
      <c r="N129" s="322"/>
      <c r="O129" s="322"/>
      <c r="P129" s="322"/>
    </row>
    <row r="130" spans="13:16">
      <c r="M130" s="322"/>
      <c r="N130" s="322"/>
      <c r="O130" s="322"/>
      <c r="P130" s="322"/>
    </row>
    <row r="131" spans="13:16">
      <c r="M131" s="322"/>
      <c r="N131" s="322"/>
      <c r="O131" s="322"/>
      <c r="P131" s="322"/>
    </row>
    <row r="132" spans="13:16">
      <c r="M132" s="322"/>
      <c r="N132" s="322"/>
      <c r="O132" s="322"/>
      <c r="P132" s="322"/>
    </row>
    <row r="133" spans="13:16">
      <c r="M133" s="322"/>
      <c r="N133" s="322"/>
      <c r="O133" s="322"/>
      <c r="P133" s="322"/>
    </row>
    <row r="134" spans="13:16">
      <c r="M134" s="322"/>
      <c r="N134" s="322"/>
      <c r="O134" s="322"/>
      <c r="P134" s="322"/>
    </row>
    <row r="135" spans="13:16">
      <c r="M135" s="322"/>
      <c r="N135" s="322"/>
      <c r="O135" s="322"/>
      <c r="P135" s="322"/>
    </row>
    <row r="136" spans="13:16">
      <c r="M136" s="322"/>
      <c r="N136" s="322"/>
      <c r="O136" s="322"/>
      <c r="P136" s="322"/>
    </row>
    <row r="137" spans="13:16">
      <c r="M137" s="322"/>
      <c r="N137" s="322"/>
      <c r="O137" s="322"/>
      <c r="P137" s="322"/>
    </row>
    <row r="138" spans="13:16">
      <c r="M138" s="322"/>
      <c r="N138" s="322"/>
      <c r="O138" s="322"/>
      <c r="P138" s="322"/>
    </row>
    <row r="139" spans="13:16">
      <c r="M139" s="322"/>
      <c r="N139" s="322"/>
      <c r="O139" s="322"/>
      <c r="P139" s="322"/>
    </row>
    <row r="140" spans="13:16">
      <c r="M140" s="322"/>
      <c r="N140" s="322"/>
      <c r="O140" s="322"/>
      <c r="P140" s="322"/>
    </row>
    <row r="141" spans="13:16">
      <c r="M141" s="322"/>
      <c r="N141" s="322"/>
      <c r="O141" s="322"/>
      <c r="P141" s="322"/>
    </row>
    <row r="142" spans="13:16">
      <c r="M142" s="322"/>
      <c r="N142" s="322"/>
      <c r="O142" s="322"/>
      <c r="P142" s="322"/>
    </row>
    <row r="143" spans="13:16">
      <c r="M143" s="322"/>
      <c r="N143" s="322"/>
      <c r="O143" s="322"/>
      <c r="P143" s="322"/>
    </row>
    <row r="144" spans="13:16">
      <c r="M144" s="322"/>
      <c r="N144" s="322"/>
      <c r="O144" s="322"/>
      <c r="P144" s="322"/>
    </row>
    <row r="145" spans="13:16">
      <c r="M145" s="322"/>
      <c r="N145" s="322"/>
      <c r="O145" s="322"/>
      <c r="P145" s="322"/>
    </row>
    <row r="146" spans="13:16">
      <c r="M146" s="322"/>
      <c r="N146" s="322"/>
      <c r="O146" s="322"/>
      <c r="P146" s="322"/>
    </row>
    <row r="147" spans="13:16">
      <c r="M147" s="322"/>
      <c r="N147" s="322"/>
      <c r="O147" s="322"/>
      <c r="P147" s="322"/>
    </row>
    <row r="148" spans="13:16">
      <c r="M148" s="322"/>
      <c r="N148" s="322"/>
      <c r="O148" s="322"/>
      <c r="P148" s="322"/>
    </row>
    <row r="149" spans="13:16">
      <c r="M149" s="322"/>
      <c r="N149" s="322"/>
      <c r="O149" s="322"/>
      <c r="P149" s="322"/>
    </row>
    <row r="150" spans="13:16">
      <c r="M150" s="322"/>
      <c r="N150" s="322"/>
      <c r="O150" s="322"/>
      <c r="P150" s="322"/>
    </row>
    <row r="151" spans="13:16">
      <c r="M151" s="322"/>
      <c r="N151" s="322"/>
      <c r="O151" s="322"/>
      <c r="P151" s="322"/>
    </row>
    <row r="152" spans="13:16">
      <c r="M152" s="322"/>
      <c r="N152" s="322"/>
      <c r="O152" s="322"/>
      <c r="P152" s="322"/>
    </row>
    <row r="153" spans="13:16">
      <c r="M153" s="322"/>
      <c r="N153" s="322"/>
      <c r="O153" s="322"/>
      <c r="P153" s="322"/>
    </row>
    <row r="154" spans="13:16">
      <c r="M154" s="322"/>
      <c r="N154" s="322"/>
      <c r="O154" s="322"/>
      <c r="P154" s="322"/>
    </row>
    <row r="155" spans="13:16">
      <c r="M155" s="322"/>
      <c r="N155" s="322"/>
      <c r="O155" s="322"/>
      <c r="P155" s="322"/>
    </row>
    <row r="156" spans="13:16">
      <c r="M156" s="322"/>
      <c r="N156" s="322"/>
      <c r="O156" s="322"/>
      <c r="P156" s="322"/>
    </row>
    <row r="157" spans="13:16">
      <c r="M157" s="322"/>
      <c r="N157" s="322"/>
      <c r="O157" s="322"/>
      <c r="P157" s="322"/>
    </row>
    <row r="158" spans="13:16">
      <c r="M158" s="322"/>
      <c r="N158" s="322"/>
      <c r="O158" s="322"/>
      <c r="P158" s="322"/>
    </row>
    <row r="159" spans="13:16">
      <c r="M159" s="322"/>
      <c r="N159" s="322"/>
      <c r="O159" s="322"/>
      <c r="P159" s="322"/>
    </row>
    <row r="160" spans="13:16">
      <c r="M160" s="322"/>
      <c r="N160" s="322"/>
      <c r="O160" s="322"/>
      <c r="P160" s="322"/>
    </row>
    <row r="161" spans="13:16">
      <c r="M161" s="322"/>
      <c r="N161" s="322"/>
      <c r="O161" s="322"/>
      <c r="P161" s="322"/>
    </row>
    <row r="162" spans="13:16">
      <c r="M162" s="322"/>
      <c r="N162" s="322"/>
      <c r="O162" s="322"/>
      <c r="P162" s="322"/>
    </row>
    <row r="163" spans="13:16">
      <c r="M163" s="322"/>
      <c r="N163" s="322"/>
      <c r="O163" s="322"/>
      <c r="P163" s="322"/>
    </row>
    <row r="164" spans="13:16">
      <c r="M164" s="322"/>
      <c r="N164" s="322"/>
      <c r="O164" s="322"/>
      <c r="P164" s="322"/>
    </row>
    <row r="165" spans="13:16">
      <c r="M165" s="322"/>
      <c r="N165" s="322"/>
      <c r="O165" s="322"/>
      <c r="P165" s="322"/>
    </row>
    <row r="166" spans="13:16">
      <c r="M166" s="322"/>
      <c r="N166" s="322"/>
      <c r="O166" s="322"/>
      <c r="P166" s="322"/>
    </row>
    <row r="167" spans="13:16">
      <c r="M167" s="322"/>
      <c r="N167" s="322"/>
      <c r="O167" s="322"/>
      <c r="P167" s="322"/>
    </row>
    <row r="168" spans="13:16">
      <c r="M168" s="322"/>
      <c r="N168" s="322"/>
      <c r="O168" s="322"/>
      <c r="P168" s="322"/>
    </row>
    <row r="169" spans="13:16">
      <c r="M169" s="322"/>
      <c r="N169" s="322"/>
      <c r="O169" s="322"/>
      <c r="P169" s="322"/>
    </row>
    <row r="170" spans="13:16">
      <c r="M170" s="322"/>
      <c r="N170" s="322"/>
      <c r="O170" s="322"/>
      <c r="P170" s="322"/>
    </row>
    <row r="171" spans="13:16">
      <c r="M171" s="322"/>
      <c r="N171" s="322"/>
      <c r="O171" s="322"/>
      <c r="P171" s="322"/>
    </row>
    <row r="172" spans="13:16">
      <c r="M172" s="322"/>
      <c r="N172" s="322"/>
      <c r="O172" s="322"/>
      <c r="P172" s="322"/>
    </row>
    <row r="173" spans="13:16">
      <c r="M173" s="322"/>
      <c r="N173" s="322"/>
      <c r="O173" s="322"/>
      <c r="P173" s="322"/>
    </row>
    <row r="174" spans="13:16">
      <c r="M174" s="322"/>
      <c r="N174" s="322"/>
      <c r="O174" s="322"/>
      <c r="P174" s="322"/>
    </row>
    <row r="175" spans="13:16">
      <c r="M175" s="322"/>
      <c r="N175" s="322"/>
      <c r="O175" s="322"/>
      <c r="P175" s="322"/>
    </row>
    <row r="176" spans="13:16">
      <c r="M176" s="322"/>
      <c r="N176" s="322"/>
      <c r="O176" s="322"/>
      <c r="P176" s="322"/>
    </row>
    <row r="177" spans="13:16">
      <c r="M177" s="322"/>
      <c r="N177" s="322"/>
      <c r="O177" s="322"/>
      <c r="P177" s="322"/>
    </row>
    <row r="178" spans="13:16">
      <c r="M178" s="322"/>
      <c r="N178" s="322"/>
      <c r="O178" s="322"/>
      <c r="P178" s="322"/>
    </row>
    <row r="179" spans="13:16">
      <c r="M179" s="322"/>
      <c r="N179" s="322"/>
      <c r="O179" s="322"/>
      <c r="P179" s="322"/>
    </row>
    <row r="180" spans="13:16">
      <c r="M180" s="322"/>
      <c r="N180" s="322"/>
      <c r="O180" s="322"/>
      <c r="P180" s="322"/>
    </row>
    <row r="181" spans="13:16">
      <c r="M181" s="322"/>
      <c r="N181" s="322"/>
      <c r="O181" s="322"/>
      <c r="P181" s="322"/>
    </row>
    <row r="182" spans="13:16">
      <c r="M182" s="322"/>
      <c r="N182" s="322"/>
      <c r="O182" s="322"/>
      <c r="P182" s="322"/>
    </row>
    <row r="183" spans="13:16">
      <c r="M183" s="322"/>
      <c r="N183" s="322"/>
      <c r="O183" s="322"/>
      <c r="P183" s="322"/>
    </row>
    <row r="184" spans="13:16">
      <c r="M184" s="322"/>
      <c r="N184" s="322"/>
      <c r="O184" s="322"/>
      <c r="P184" s="322"/>
    </row>
    <row r="185" spans="13:16">
      <c r="M185" s="322"/>
      <c r="N185" s="322"/>
      <c r="O185" s="322"/>
      <c r="P185" s="322"/>
    </row>
    <row r="186" spans="13:16">
      <c r="M186" s="322"/>
      <c r="N186" s="322"/>
      <c r="O186" s="322"/>
      <c r="P186" s="322"/>
    </row>
    <row r="187" spans="13:16">
      <c r="M187" s="322"/>
      <c r="N187" s="322"/>
      <c r="O187" s="322"/>
      <c r="P187" s="322"/>
    </row>
    <row r="188" spans="13:16">
      <c r="M188" s="322"/>
      <c r="N188" s="322"/>
      <c r="O188" s="322"/>
      <c r="P188" s="322"/>
    </row>
    <row r="189" spans="13:16">
      <c r="M189" s="322"/>
      <c r="N189" s="322"/>
      <c r="O189" s="322"/>
      <c r="P189" s="322"/>
    </row>
    <row r="190" spans="13:16">
      <c r="M190" s="322"/>
      <c r="N190" s="322"/>
      <c r="O190" s="322"/>
      <c r="P190" s="322"/>
    </row>
    <row r="191" spans="13:16">
      <c r="M191" s="322"/>
      <c r="N191" s="322"/>
      <c r="O191" s="322"/>
      <c r="P191" s="322"/>
    </row>
    <row r="192" spans="13:16">
      <c r="M192" s="322"/>
      <c r="N192" s="322"/>
      <c r="O192" s="322"/>
      <c r="P192" s="322"/>
    </row>
    <row r="193" spans="13:16">
      <c r="M193" s="322"/>
      <c r="N193" s="322"/>
      <c r="O193" s="322"/>
      <c r="P193" s="322"/>
    </row>
    <row r="194" spans="13:16">
      <c r="M194" s="322"/>
      <c r="N194" s="322"/>
      <c r="O194" s="322"/>
      <c r="P194" s="322"/>
    </row>
  </sheetData>
  <autoFilter ref="A9:AW33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42" customWidth="1"/>
    <col min="2" max="2" width="8.28515625" style="242" customWidth="1"/>
    <col min="3" max="3" width="10.28515625" style="242" customWidth="1"/>
    <col min="4" max="4" width="38.42578125" style="5" customWidth="1"/>
    <col min="5" max="5" width="7.28515625" style="242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204</v>
      </c>
      <c r="G2" s="404" t="s">
        <v>205</v>
      </c>
      <c r="H2" s="404"/>
      <c r="I2" s="404"/>
    </row>
    <row r="3" spans="1:9" ht="15.75" customHeight="1">
      <c r="A3" s="1" t="s">
        <v>206</v>
      </c>
      <c r="G3" s="405" t="s">
        <v>165</v>
      </c>
      <c r="H3" s="405"/>
      <c r="I3" s="405"/>
    </row>
    <row r="4" spans="1:9">
      <c r="F4" s="17"/>
      <c r="G4" s="405"/>
      <c r="H4" s="405"/>
      <c r="I4" s="405"/>
    </row>
    <row r="5" spans="1:9" ht="17.25" customHeight="1">
      <c r="A5" s="406" t="s">
        <v>207</v>
      </c>
      <c r="B5" s="406"/>
      <c r="C5" s="406"/>
      <c r="D5" s="406"/>
      <c r="E5" s="406"/>
      <c r="F5" s="406"/>
      <c r="G5" s="406"/>
      <c r="H5" s="406"/>
      <c r="I5" s="406"/>
    </row>
    <row r="6" spans="1:9">
      <c r="A6" s="407" t="s">
        <v>208</v>
      </c>
      <c r="B6" s="401"/>
      <c r="C6" s="401"/>
      <c r="D6" s="401"/>
      <c r="E6" s="401"/>
      <c r="F6" s="401"/>
      <c r="G6" s="401"/>
      <c r="H6" s="401"/>
      <c r="I6" s="401"/>
    </row>
    <row r="7" spans="1:9">
      <c r="B7" s="5"/>
      <c r="C7" s="5"/>
      <c r="D7" s="255" t="s">
        <v>209</v>
      </c>
      <c r="E7" s="256" t="s">
        <v>23</v>
      </c>
    </row>
    <row r="8" spans="1:9">
      <c r="B8" s="5"/>
      <c r="C8" s="5"/>
      <c r="D8" s="255" t="s">
        <v>210</v>
      </c>
      <c r="E8" s="5" t="str">
        <f>VLOOKUP($E$7,DSTK,2,0)</f>
        <v xml:space="preserve"> Phải Trả Phải Nộp Khác </v>
      </c>
    </row>
    <row r="9" spans="1:9">
      <c r="A9" s="401" t="s">
        <v>37</v>
      </c>
      <c r="B9" s="408"/>
      <c r="C9" s="408"/>
      <c r="D9" s="408"/>
      <c r="E9" s="408"/>
      <c r="F9" s="408"/>
      <c r="G9" s="408"/>
      <c r="H9" s="408"/>
      <c r="I9" s="408"/>
    </row>
    <row r="10" spans="1:9" ht="9.75" customHeight="1">
      <c r="C10" s="409"/>
      <c r="D10" s="410"/>
      <c r="E10" s="410"/>
      <c r="F10" s="410"/>
      <c r="G10" s="410"/>
      <c r="H10" s="410"/>
      <c r="I10" s="410"/>
    </row>
    <row r="11" spans="1:9" ht="19.5" customHeight="1">
      <c r="A11" s="411" t="s">
        <v>28</v>
      </c>
      <c r="B11" s="402" t="s">
        <v>1</v>
      </c>
      <c r="C11" s="412"/>
      <c r="D11" s="411" t="s">
        <v>0</v>
      </c>
      <c r="E11" s="411" t="s">
        <v>18</v>
      </c>
      <c r="F11" s="402" t="s">
        <v>29</v>
      </c>
      <c r="G11" s="412"/>
      <c r="H11" s="402" t="s">
        <v>39</v>
      </c>
      <c r="I11" s="403"/>
    </row>
    <row r="12" spans="1:9" ht="37.5" customHeight="1">
      <c r="A12" s="411"/>
      <c r="B12" s="257" t="s">
        <v>19</v>
      </c>
      <c r="C12" s="257" t="s">
        <v>40</v>
      </c>
      <c r="D12" s="411"/>
      <c r="E12" s="411"/>
      <c r="F12" s="257" t="s">
        <v>30</v>
      </c>
      <c r="G12" s="257" t="s">
        <v>31</v>
      </c>
      <c r="H12" s="257" t="s">
        <v>30</v>
      </c>
      <c r="I12" s="257" t="s">
        <v>31</v>
      </c>
    </row>
    <row r="13" spans="1:9" s="252" customFormat="1" ht="11.25" customHeight="1">
      <c r="A13" s="253" t="s">
        <v>2</v>
      </c>
      <c r="B13" s="254" t="s">
        <v>3</v>
      </c>
      <c r="C13" s="253" t="s">
        <v>4</v>
      </c>
      <c r="D13" s="253" t="s">
        <v>5</v>
      </c>
      <c r="E13" s="253" t="s">
        <v>6</v>
      </c>
      <c r="F13" s="253">
        <v>1</v>
      </c>
      <c r="G13" s="253">
        <v>2</v>
      </c>
      <c r="H13" s="253">
        <v>3</v>
      </c>
      <c r="I13" s="253">
        <v>4</v>
      </c>
    </row>
    <row r="14" spans="1:9" ht="16.5" customHeight="1">
      <c r="A14" s="258"/>
      <c r="B14" s="259"/>
      <c r="C14" s="258"/>
      <c r="D14" s="260" t="s">
        <v>7</v>
      </c>
      <c r="E14" s="259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ht="16.5" customHeight="1">
      <c r="A15" s="243">
        <f ca="1">IF(ROWS($1:1)&gt;COUNT(Dong5),"",OFFSET(TH!C$1,SMALL(Dong5,ROWS($1:1)),))</f>
        <v>40572</v>
      </c>
      <c r="B15" s="243" t="str">
        <f ca="1">IF(ROWS($1:1)&gt;COUNT(Dong5),"",OFFSET(TH!D$1,SMALL(Dong5,ROWS($1:1)),))</f>
        <v>C02</v>
      </c>
      <c r="C15" s="243">
        <f ca="1">IF(ROWS($1:1)&gt;COUNT(Dong5),"",OFFSET(TH!E$1,SMALL(Dong5,ROWS($1:1)),))</f>
        <v>40570</v>
      </c>
      <c r="D15" s="247" t="str">
        <f ca="1">IF(ROWS($1:1)&gt;COUNT(Dong5),"",OFFSET(TH!F$1,SMALL(Dong5,ROWS($1:1)),))</f>
        <v>Trả tiền mượn vốn - An Lạc</v>
      </c>
      <c r="E15" s="243" t="str">
        <f ca="1">IF(ROWS($1:1)&gt;COUNT(Dong5),"",IF(OFFSET(TH!J$1,SMALL(Dong5,ROWS($1:1)),)=$E$7,OFFSET(TH!K$1,SMALL(Dong5,ROWS($1:1)),),OFFSET(TH!J$1,SMALL(Dong5,ROWS($1:1)),)))</f>
        <v>1111</v>
      </c>
      <c r="F15" s="262">
        <f ca="1">IF(ROWS($1:1)&gt;COUNT(Dong5),0,IF(OFFSET(TH!J$1,SMALL(Dong5,ROWS($1:1)),)=$E$7,OFFSET(TH!I$1,SMALL(Dong5,ROWS($1:1)),),0))</f>
        <v>2000000</v>
      </c>
      <c r="G15" s="261">
        <f ca="1">IF(ROWS($1:1)&gt;COUNT(Dong5),0,IF(OFFSET(TH!K$1,SMALL(Dong5,ROWS($1:1)),)=$E$7,OFFSET(TH!I$1,SMALL(Dong5,ROWS($1:1)),),0))</f>
        <v>0</v>
      </c>
      <c r="H15" s="263">
        <f ca="1">IF(D15&lt;&gt;"",MAX(H14+F15-G15-I14,0),0)</f>
        <v>2000000</v>
      </c>
      <c r="I15" s="263">
        <f ca="1">IF(D15&lt;&gt;"",MAX(I14+G15-H14-F15,0),0)</f>
        <v>0</v>
      </c>
    </row>
    <row r="16" spans="1:9" ht="16.5" customHeight="1">
      <c r="A16" s="243">
        <f ca="1">IF(ROWS($1:2)&gt;COUNT(Dong5),"",OFFSET(TH!C$1,SMALL(Dong5,ROWS($1:2)),))</f>
        <v>40572</v>
      </c>
      <c r="B16" s="243" t="str">
        <f ca="1">IF(ROWS($1:2)&gt;COUNT(Dong5),"",OFFSET(TH!D$1,SMALL(Dong5,ROWS($1:2)),))</f>
        <v>GBC</v>
      </c>
      <c r="C16" s="243">
        <f ca="1">IF(ROWS($1:2)&gt;COUNT(Dong5),"",OFFSET(TH!E$1,SMALL(Dong5,ROWS($1:2)),))</f>
        <v>40572</v>
      </c>
      <c r="D16" s="247" t="str">
        <f ca="1">IF(ROWS($1:2)&gt;COUNT(Dong5),"",OFFSET(TH!F$1,SMALL(Dong5,ROWS($1:2)),))</f>
        <v>An Lạc - Mượn vốn</v>
      </c>
      <c r="E16" s="243" t="str">
        <f ca="1">IF(ROWS($1:2)&gt;COUNT(Dong5),"",IF(OFFSET(TH!J$1,SMALL(Dong5,ROWS($1:2)),)=$E$7,OFFSET(TH!K$1,SMALL(Dong5,ROWS($1:2)),),OFFSET(TH!J$1,SMALL(Dong5,ROWS($1:2)),)))</f>
        <v>1121</v>
      </c>
      <c r="F16" s="262">
        <f ca="1">IF(ROWS($1:2)&gt;COUNT(Dong5),0,IF(OFFSET(TH!J$1,SMALL(Dong5,ROWS($1:2)),)=$E$7,OFFSET(TH!I$1,SMALL(Dong5,ROWS($1:2)),),0))</f>
        <v>0</v>
      </c>
      <c r="G16" s="261">
        <f ca="1">IF(ROWS($1:2)&gt;COUNT(Dong5),0,IF(OFFSET(TH!K$1,SMALL(Dong5,ROWS($1:2)),)=$E$7,OFFSET(TH!I$1,SMALL(Dong5,ROWS($1:2)),),0))</f>
        <v>2000000</v>
      </c>
      <c r="H16" s="263">
        <f t="shared" ref="H16:H32" ca="1" si="0">IF(D16&lt;&gt;"",MAX(H15+F16-G16-I15,0),0)</f>
        <v>0</v>
      </c>
      <c r="I16" s="263">
        <f t="shared" ref="I16:I32" ca="1" si="1">IF(D16&lt;&gt;"",MAX(I15+G16-H15-F16,0),0)</f>
        <v>0</v>
      </c>
    </row>
    <row r="17" spans="1:9" ht="16.5" customHeight="1">
      <c r="A17" s="243">
        <f ca="1">IF(ROWS($1:3)&gt;COUNT(Dong5),"",OFFSET(TH!C$1,SMALL(Dong5,ROWS($1:3)),))</f>
        <v>40588</v>
      </c>
      <c r="B17" s="243" t="str">
        <f ca="1">IF(ROWS($1:3)&gt;COUNT(Dong5),"",OFFSET(TH!D$1,SMALL(Dong5,ROWS($1:3)),))</f>
        <v>GBC</v>
      </c>
      <c r="C17" s="243">
        <f ca="1">IF(ROWS($1:3)&gt;COUNT(Dong5),"",OFFSET(TH!E$1,SMALL(Dong5,ROWS($1:3)),))</f>
        <v>40588</v>
      </c>
      <c r="D17" s="247" t="str">
        <f ca="1">IF(ROWS($1:3)&gt;COUNT(Dong5),"",OFFSET(TH!F$1,SMALL(Dong5,ROWS($1:3)),))</f>
        <v>An Lạc LA- Mượn vốn</v>
      </c>
      <c r="E17" s="243" t="str">
        <f ca="1">IF(ROWS($1:3)&gt;COUNT(Dong5),"",IF(OFFSET(TH!J$1,SMALL(Dong5,ROWS($1:3)),)=$E$7,OFFSET(TH!K$1,SMALL(Dong5,ROWS($1:3)),),OFFSET(TH!J$1,SMALL(Dong5,ROWS($1:3)),)))</f>
        <v>1121</v>
      </c>
      <c r="F17" s="262">
        <f ca="1">IF(ROWS($1:3)&gt;COUNT(Dong5),0,IF(OFFSET(TH!J$1,SMALL(Dong5,ROWS($1:3)),)=$E$7,OFFSET(TH!I$1,SMALL(Dong5,ROWS($1:3)),),0))</f>
        <v>0</v>
      </c>
      <c r="G17" s="261">
        <f ca="1">IF(ROWS($1:3)&gt;COUNT(Dong5),0,IF(OFFSET(TH!K$1,SMALL(Dong5,ROWS($1:3)),)=$E$7,OFFSET(TH!I$1,SMALL(Dong5,ROWS($1:3)),),0))</f>
        <v>50000000</v>
      </c>
      <c r="H17" s="263">
        <f t="shared" ca="1" si="0"/>
        <v>0</v>
      </c>
      <c r="I17" s="263">
        <f t="shared" ca="1" si="1"/>
        <v>50000000</v>
      </c>
    </row>
    <row r="18" spans="1:9" ht="16.5" customHeight="1">
      <c r="A18" s="243">
        <f ca="1">IF(ROWS($1:4)&gt;COUNT(Dong5),"",OFFSET(TH!C$1,SMALL(Dong5,ROWS($1:4)),))</f>
        <v>40588</v>
      </c>
      <c r="B18" s="243" t="str">
        <f ca="1">IF(ROWS($1:4)&gt;COUNT(Dong5),"",OFFSET(TH!D$1,SMALL(Dong5,ROWS($1:4)),))</f>
        <v>C03</v>
      </c>
      <c r="C18" s="243">
        <f ca="1">IF(ROWS($1:4)&gt;COUNT(Dong5),"",OFFSET(TH!E$1,SMALL(Dong5,ROWS($1:4)),))</f>
        <v>40588</v>
      </c>
      <c r="D18" s="247" t="str">
        <f ca="1">IF(ROWS($1:4)&gt;COUNT(Dong5),"",OFFSET(TH!F$1,SMALL(Dong5,ROWS($1:4)),))</f>
        <v>Trả tiền mượn vốn - An Lạc LA</v>
      </c>
      <c r="E18" s="243" t="str">
        <f ca="1">IF(ROWS($1:4)&gt;COUNT(Dong5),"",IF(OFFSET(TH!J$1,SMALL(Dong5,ROWS($1:4)),)=$E$7,OFFSET(TH!K$1,SMALL(Dong5,ROWS($1:4)),),OFFSET(TH!J$1,SMALL(Dong5,ROWS($1:4)),)))</f>
        <v>1111</v>
      </c>
      <c r="F18" s="262">
        <f ca="1">IF(ROWS($1:4)&gt;COUNT(Dong5),0,IF(OFFSET(TH!J$1,SMALL(Dong5,ROWS($1:4)),)=$E$7,OFFSET(TH!I$1,SMALL(Dong5,ROWS($1:4)),),0))</f>
        <v>50000000</v>
      </c>
      <c r="G18" s="261">
        <f ca="1">IF(ROWS($1:4)&gt;COUNT(Dong5),0,IF(OFFSET(TH!K$1,SMALL(Dong5,ROWS($1:4)),)=$E$7,OFFSET(TH!I$1,SMALL(Dong5,ROWS($1:4)),),0))</f>
        <v>0</v>
      </c>
      <c r="H18" s="263">
        <f t="shared" ca="1" si="0"/>
        <v>0</v>
      </c>
      <c r="I18" s="263">
        <f t="shared" ca="1" si="1"/>
        <v>0</v>
      </c>
    </row>
    <row r="19" spans="1:9" ht="16.5" customHeight="1">
      <c r="A19" s="243">
        <f ca="1">IF(ROWS($1:5)&gt;COUNT(Dong5),"",OFFSET(TH!C$1,SMALL(Dong5,ROWS($1:5)),))</f>
        <v>40605</v>
      </c>
      <c r="B19" s="243" t="str">
        <f ca="1">IF(ROWS($1:5)&gt;COUNT(Dong5),"",OFFSET(TH!D$1,SMALL(Dong5,ROWS($1:5)),))</f>
        <v>C04</v>
      </c>
      <c r="C19" s="243">
        <f ca="1">IF(ROWS($1:5)&gt;COUNT(Dong5),"",OFFSET(TH!E$1,SMALL(Dong5,ROWS($1:5)),))</f>
        <v>40605</v>
      </c>
      <c r="D19" s="247" t="str">
        <f ca="1">IF(ROWS($1:5)&gt;COUNT(Dong5),"",OFFSET(TH!F$1,SMALL(Dong5,ROWS($1:5)),))</f>
        <v>Trả tiền mượn vốn - An Lạc</v>
      </c>
      <c r="E19" s="243" t="str">
        <f ca="1">IF(ROWS($1:5)&gt;COUNT(Dong5),"",IF(OFFSET(TH!J$1,SMALL(Dong5,ROWS($1:5)),)=$E$7,OFFSET(TH!K$1,SMALL(Dong5,ROWS($1:5)),),OFFSET(TH!J$1,SMALL(Dong5,ROWS($1:5)),)))</f>
        <v>1111</v>
      </c>
      <c r="F19" s="262">
        <f ca="1">IF(ROWS($1:5)&gt;COUNT(Dong5),0,IF(OFFSET(TH!J$1,SMALL(Dong5,ROWS($1:5)),)=$E$7,OFFSET(TH!I$1,SMALL(Dong5,ROWS($1:5)),),0))</f>
        <v>100000000</v>
      </c>
      <c r="G19" s="261">
        <f ca="1">IF(ROWS($1:5)&gt;COUNT(Dong5),0,IF(OFFSET(TH!K$1,SMALL(Dong5,ROWS($1:5)),)=$E$7,OFFSET(TH!I$1,SMALL(Dong5,ROWS($1:5)),),0))</f>
        <v>0</v>
      </c>
      <c r="H19" s="263">
        <f t="shared" ca="1" si="0"/>
        <v>100000000</v>
      </c>
      <c r="I19" s="263">
        <f t="shared" ca="1" si="1"/>
        <v>0</v>
      </c>
    </row>
    <row r="20" spans="1:9" ht="16.5" customHeight="1">
      <c r="A20" s="243">
        <f ca="1">IF(ROWS($1:6)&gt;COUNT(Dong5),"",OFFSET(TH!C$1,SMALL(Dong5,ROWS($1:6)),))</f>
        <v>40605</v>
      </c>
      <c r="B20" s="243" t="str">
        <f ca="1">IF(ROWS($1:6)&gt;COUNT(Dong5),"",OFFSET(TH!D$1,SMALL(Dong5,ROWS($1:6)),))</f>
        <v>GBC</v>
      </c>
      <c r="C20" s="243">
        <f ca="1">IF(ROWS($1:6)&gt;COUNT(Dong5),"",OFFSET(TH!E$1,SMALL(Dong5,ROWS($1:6)),))</f>
        <v>40605</v>
      </c>
      <c r="D20" s="247" t="str">
        <f ca="1">IF(ROWS($1:6)&gt;COUNT(Dong5),"",OFFSET(TH!F$1,SMALL(Dong5,ROWS($1:6)),))</f>
        <v>An Lạc - Mượn vốn</v>
      </c>
      <c r="E20" s="243" t="str">
        <f ca="1">IF(ROWS($1:6)&gt;COUNT(Dong5),"",IF(OFFSET(TH!J$1,SMALL(Dong5,ROWS($1:6)),)=$E$7,OFFSET(TH!K$1,SMALL(Dong5,ROWS($1:6)),),OFFSET(TH!J$1,SMALL(Dong5,ROWS($1:6)),)))</f>
        <v>1121</v>
      </c>
      <c r="F20" s="262">
        <f ca="1">IF(ROWS($1:6)&gt;COUNT(Dong5),0,IF(OFFSET(TH!J$1,SMALL(Dong5,ROWS($1:6)),)=$E$7,OFFSET(TH!I$1,SMALL(Dong5,ROWS($1:6)),),0))</f>
        <v>0</v>
      </c>
      <c r="G20" s="261">
        <f ca="1">IF(ROWS($1:6)&gt;COUNT(Dong5),0,IF(OFFSET(TH!K$1,SMALL(Dong5,ROWS($1:6)),)=$E$7,OFFSET(TH!I$1,SMALL(Dong5,ROWS($1:6)),),0))</f>
        <v>100000000</v>
      </c>
      <c r="H20" s="263">
        <f t="shared" ca="1" si="0"/>
        <v>0</v>
      </c>
      <c r="I20" s="263">
        <f t="shared" ca="1" si="1"/>
        <v>0</v>
      </c>
    </row>
    <row r="21" spans="1:9" ht="16.5" customHeight="1">
      <c r="A21" s="243">
        <f ca="1">IF(ROWS($1:7)&gt;COUNT(Dong5),"",OFFSET(TH!C$1,SMALL(Dong5,ROWS($1:7)),))</f>
        <v>40623</v>
      </c>
      <c r="B21" s="243" t="str">
        <f ca="1">IF(ROWS($1:7)&gt;COUNT(Dong5),"",OFFSET(TH!D$1,SMALL(Dong5,ROWS($1:7)),))</f>
        <v>C05</v>
      </c>
      <c r="C21" s="243">
        <f ca="1">IF(ROWS($1:7)&gt;COUNT(Dong5),"",OFFSET(TH!E$1,SMALL(Dong5,ROWS($1:7)),))</f>
        <v>40630</v>
      </c>
      <c r="D21" s="247" t="str">
        <f ca="1">IF(ROWS($1:7)&gt;COUNT(Dong5),"",OFFSET(TH!F$1,SMALL(Dong5,ROWS($1:7)),))</f>
        <v>Trả tiền mượn vốn - An Lạc LA</v>
      </c>
      <c r="E21" s="243" t="str">
        <f ca="1">IF(ROWS($1:7)&gt;COUNT(Dong5),"",IF(OFFSET(TH!J$1,SMALL(Dong5,ROWS($1:7)),)=$E$7,OFFSET(TH!K$1,SMALL(Dong5,ROWS($1:7)),),OFFSET(TH!J$1,SMALL(Dong5,ROWS($1:7)),)))</f>
        <v>1111</v>
      </c>
      <c r="F21" s="262">
        <f ca="1">IF(ROWS($1:7)&gt;COUNT(Dong5),0,IF(OFFSET(TH!J$1,SMALL(Dong5,ROWS($1:7)),)=$E$7,OFFSET(TH!I$1,SMALL(Dong5,ROWS($1:7)),),0))</f>
        <v>232500000</v>
      </c>
      <c r="G21" s="261">
        <f ca="1">IF(ROWS($1:7)&gt;COUNT(Dong5),0,IF(OFFSET(TH!K$1,SMALL(Dong5,ROWS($1:7)),)=$E$7,OFFSET(TH!I$1,SMALL(Dong5,ROWS($1:7)),),0))</f>
        <v>0</v>
      </c>
      <c r="H21" s="263">
        <f t="shared" ca="1" si="0"/>
        <v>232500000</v>
      </c>
      <c r="I21" s="263">
        <f t="shared" ca="1" si="1"/>
        <v>0</v>
      </c>
    </row>
    <row r="22" spans="1:9" ht="16.5" customHeight="1">
      <c r="A22" s="243">
        <f ca="1">IF(ROWS($1:8)&gt;COUNT(Dong5),"",OFFSET(TH!C$1,SMALL(Dong5,ROWS($1:8)),))</f>
        <v>40623</v>
      </c>
      <c r="B22" s="243" t="str">
        <f ca="1">IF(ROWS($1:8)&gt;COUNT(Dong5),"",OFFSET(TH!D$1,SMALL(Dong5,ROWS($1:8)),))</f>
        <v>GBC</v>
      </c>
      <c r="C22" s="243">
        <f ca="1">IF(ROWS($1:8)&gt;COUNT(Dong5),"",OFFSET(TH!E$1,SMALL(Dong5,ROWS($1:8)),))</f>
        <v>40623</v>
      </c>
      <c r="D22" s="247" t="str">
        <f ca="1">IF(ROWS($1:8)&gt;COUNT(Dong5),"",OFFSET(TH!F$1,SMALL(Dong5,ROWS($1:8)),))</f>
        <v>An Lạc LA- Mượn vốn</v>
      </c>
      <c r="E22" s="243" t="str">
        <f ca="1">IF(ROWS($1:8)&gt;COUNT(Dong5),"",IF(OFFSET(TH!J$1,SMALL(Dong5,ROWS($1:8)),)=$E$7,OFFSET(TH!K$1,SMALL(Dong5,ROWS($1:8)),),OFFSET(TH!J$1,SMALL(Dong5,ROWS($1:8)),)))</f>
        <v>1121</v>
      </c>
      <c r="F22" s="262">
        <f ca="1">IF(ROWS($1:8)&gt;COUNT(Dong5),0,IF(OFFSET(TH!J$1,SMALL(Dong5,ROWS($1:8)),)=$E$7,OFFSET(TH!I$1,SMALL(Dong5,ROWS($1:8)),),0))</f>
        <v>0</v>
      </c>
      <c r="G22" s="261">
        <f ca="1">IF(ROWS($1:8)&gt;COUNT(Dong5),0,IF(OFFSET(TH!K$1,SMALL(Dong5,ROWS($1:8)),)=$E$7,OFFSET(TH!I$1,SMALL(Dong5,ROWS($1:8)),),0))</f>
        <v>232500000</v>
      </c>
      <c r="H22" s="263">
        <f t="shared" ca="1" si="0"/>
        <v>0</v>
      </c>
      <c r="I22" s="263">
        <f t="shared" ca="1" si="1"/>
        <v>0</v>
      </c>
    </row>
    <row r="23" spans="1:9" ht="16.5" customHeight="1">
      <c r="A23" s="243">
        <f ca="1">IF(ROWS($1:9)&gt;COUNT(Dong5),"",OFFSET(TH!C$1,SMALL(Dong5,ROWS($1:9)),))</f>
        <v>40630</v>
      </c>
      <c r="B23" s="243" t="str">
        <f ca="1">IF(ROWS($1:9)&gt;COUNT(Dong5),"",OFFSET(TH!D$1,SMALL(Dong5,ROWS($1:9)),))</f>
        <v>C06</v>
      </c>
      <c r="C23" s="243">
        <f ca="1">IF(ROWS($1:9)&gt;COUNT(Dong5),"",OFFSET(TH!E$1,SMALL(Dong5,ROWS($1:9)),))</f>
        <v>40630</v>
      </c>
      <c r="D23" s="247" t="str">
        <f ca="1">IF(ROWS($1:9)&gt;COUNT(Dong5),"",OFFSET(TH!F$1,SMALL(Dong5,ROWS($1:9)),))</f>
        <v>Trả tiền mượn vốn - An Lạc</v>
      </c>
      <c r="E23" s="243" t="str">
        <f ca="1">IF(ROWS($1:9)&gt;COUNT(Dong5),"",IF(OFFSET(TH!J$1,SMALL(Dong5,ROWS($1:9)),)=$E$7,OFFSET(TH!K$1,SMALL(Dong5,ROWS($1:9)),),OFFSET(TH!J$1,SMALL(Dong5,ROWS($1:9)),)))</f>
        <v>1111</v>
      </c>
      <c r="F23" s="262">
        <f ca="1">IF(ROWS($1:9)&gt;COUNT(Dong5),0,IF(OFFSET(TH!J$1,SMALL(Dong5,ROWS($1:9)),)=$E$7,OFFSET(TH!I$1,SMALL(Dong5,ROWS($1:9)),),0))</f>
        <v>100000000</v>
      </c>
      <c r="G23" s="261">
        <f ca="1">IF(ROWS($1:9)&gt;COUNT(Dong5),0,IF(OFFSET(TH!K$1,SMALL(Dong5,ROWS($1:9)),)=$E$7,OFFSET(TH!I$1,SMALL(Dong5,ROWS($1:9)),),0))</f>
        <v>0</v>
      </c>
      <c r="H23" s="263">
        <f t="shared" ca="1" si="0"/>
        <v>100000000</v>
      </c>
      <c r="I23" s="263">
        <f t="shared" ca="1" si="1"/>
        <v>0</v>
      </c>
    </row>
    <row r="24" spans="1:9" ht="16.5" customHeight="1">
      <c r="A24" s="243">
        <f ca="1">IF(ROWS($1:10)&gt;COUNT(Dong5),"",OFFSET(TH!C$1,SMALL(Dong5,ROWS($1:10)),))</f>
        <v>40630</v>
      </c>
      <c r="B24" s="243" t="str">
        <f ca="1">IF(ROWS($1:10)&gt;COUNT(Dong5),"",OFFSET(TH!D$1,SMALL(Dong5,ROWS($1:10)),))</f>
        <v>GBC</v>
      </c>
      <c r="C24" s="243">
        <f ca="1">IF(ROWS($1:10)&gt;COUNT(Dong5),"",OFFSET(TH!E$1,SMALL(Dong5,ROWS($1:10)),))</f>
        <v>40630</v>
      </c>
      <c r="D24" s="247" t="str">
        <f ca="1">IF(ROWS($1:10)&gt;COUNT(Dong5),"",OFFSET(TH!F$1,SMALL(Dong5,ROWS($1:10)),))</f>
        <v>An Lạc - Mượn vốn</v>
      </c>
      <c r="E24" s="243" t="str">
        <f ca="1">IF(ROWS($1:10)&gt;COUNT(Dong5),"",IF(OFFSET(TH!J$1,SMALL(Dong5,ROWS($1:10)),)=$E$7,OFFSET(TH!K$1,SMALL(Dong5,ROWS($1:10)),),OFFSET(TH!J$1,SMALL(Dong5,ROWS($1:10)),)))</f>
        <v>1121</v>
      </c>
      <c r="F24" s="262">
        <f ca="1">IF(ROWS($1:10)&gt;COUNT(Dong5),0,IF(OFFSET(TH!J$1,SMALL(Dong5,ROWS($1:10)),)=$E$7,OFFSET(TH!I$1,SMALL(Dong5,ROWS($1:10)),),0))</f>
        <v>0</v>
      </c>
      <c r="G24" s="261">
        <f ca="1">IF(ROWS($1:10)&gt;COUNT(Dong5),0,IF(OFFSET(TH!K$1,SMALL(Dong5,ROWS($1:10)),)=$E$7,OFFSET(TH!I$1,SMALL(Dong5,ROWS($1:10)),),0))</f>
        <v>100000000</v>
      </c>
      <c r="H24" s="263">
        <f t="shared" ca="1" si="0"/>
        <v>0</v>
      </c>
      <c r="I24" s="263">
        <f t="shared" ca="1" si="1"/>
        <v>0</v>
      </c>
    </row>
    <row r="25" spans="1:9" ht="16.5" customHeight="1">
      <c r="A25" s="243">
        <f ca="1">IF(ROWS($1:11)&gt;COUNT(Dong5),"",OFFSET(TH!C$1,SMALL(Dong5,ROWS($1:11)),))</f>
        <v>40686</v>
      </c>
      <c r="B25" s="243" t="str">
        <f ca="1">IF(ROWS($1:11)&gt;COUNT(Dong5),"",OFFSET(TH!D$1,SMALL(Dong5,ROWS($1:11)),))</f>
        <v>C01</v>
      </c>
      <c r="C25" s="243">
        <f ca="1">IF(ROWS($1:11)&gt;COUNT(Dong5),"",OFFSET(TH!E$1,SMALL(Dong5,ROWS($1:11)),))</f>
        <v>40686</v>
      </c>
      <c r="D25" s="247" t="str">
        <f ca="1">IF(ROWS($1:11)&gt;COUNT(Dong5),"",OFFSET(TH!F$1,SMALL(Dong5,ROWS($1:11)),))</f>
        <v>Trả tiền mượn vốn - An Lạc</v>
      </c>
      <c r="E25" s="243" t="str">
        <f ca="1">IF(ROWS($1:11)&gt;COUNT(Dong5),"",IF(OFFSET(TH!J$1,SMALL(Dong5,ROWS($1:11)),)=$E$7,OFFSET(TH!K$1,SMALL(Dong5,ROWS($1:11)),),OFFSET(TH!J$1,SMALL(Dong5,ROWS($1:11)),)))</f>
        <v>1111</v>
      </c>
      <c r="F25" s="262">
        <f ca="1">IF(ROWS($1:11)&gt;COUNT(Dong5),0,IF(OFFSET(TH!J$1,SMALL(Dong5,ROWS($1:11)),)=$E$7,OFFSET(TH!I$1,SMALL(Dong5,ROWS($1:11)),),0))</f>
        <v>100000000</v>
      </c>
      <c r="G25" s="261">
        <f ca="1">IF(ROWS($1:11)&gt;COUNT(Dong5),0,IF(OFFSET(TH!K$1,SMALL(Dong5,ROWS($1:11)),)=$E$7,OFFSET(TH!I$1,SMALL(Dong5,ROWS($1:11)),),0))</f>
        <v>0</v>
      </c>
      <c r="H25" s="263">
        <f t="shared" ca="1" si="0"/>
        <v>100000000</v>
      </c>
      <c r="I25" s="263">
        <f t="shared" ca="1" si="1"/>
        <v>0</v>
      </c>
    </row>
    <row r="26" spans="1:9" ht="16.5" customHeight="1">
      <c r="A26" s="243">
        <f ca="1">IF(ROWS($1:12)&gt;COUNT(Dong5),"",OFFSET(TH!C$1,SMALL(Dong5,ROWS($1:12)),))</f>
        <v>40686</v>
      </c>
      <c r="B26" s="243" t="str">
        <f ca="1">IF(ROWS($1:12)&gt;COUNT(Dong5),"",OFFSET(TH!D$1,SMALL(Dong5,ROWS($1:12)),))</f>
        <v>GBC</v>
      </c>
      <c r="C26" s="243">
        <f ca="1">IF(ROWS($1:12)&gt;COUNT(Dong5),"",OFFSET(TH!E$1,SMALL(Dong5,ROWS($1:12)),))</f>
        <v>40686</v>
      </c>
      <c r="D26" s="247" t="str">
        <f ca="1">IF(ROWS($1:12)&gt;COUNT(Dong5),"",OFFSET(TH!F$1,SMALL(Dong5,ROWS($1:12)),))</f>
        <v>An Lạc - Mượn vốn</v>
      </c>
      <c r="E26" s="243" t="str">
        <f ca="1">IF(ROWS($1:12)&gt;COUNT(Dong5),"",IF(OFFSET(TH!J$1,SMALL(Dong5,ROWS($1:12)),)=$E$7,OFFSET(TH!K$1,SMALL(Dong5,ROWS($1:12)),),OFFSET(TH!J$1,SMALL(Dong5,ROWS($1:12)),)))</f>
        <v>1121</v>
      </c>
      <c r="F26" s="262">
        <f ca="1">IF(ROWS($1:12)&gt;COUNT(Dong5),0,IF(OFFSET(TH!J$1,SMALL(Dong5,ROWS($1:12)),)=$E$7,OFFSET(TH!I$1,SMALL(Dong5,ROWS($1:12)),),0))</f>
        <v>0</v>
      </c>
      <c r="G26" s="261">
        <f ca="1">IF(ROWS($1:12)&gt;COUNT(Dong5),0,IF(OFFSET(TH!K$1,SMALL(Dong5,ROWS($1:12)),)=$E$7,OFFSET(TH!I$1,SMALL(Dong5,ROWS($1:12)),),0))</f>
        <v>100000000</v>
      </c>
      <c r="H26" s="263">
        <f t="shared" ca="1" si="0"/>
        <v>0</v>
      </c>
      <c r="I26" s="263">
        <f t="shared" ca="1" si="1"/>
        <v>0</v>
      </c>
    </row>
    <row r="27" spans="1:9" ht="16.5" customHeight="1">
      <c r="A27" s="243">
        <f ca="1">IF(ROWS($1:13)&gt;COUNT(Dong5),"",OFFSET(TH!C$1,SMALL(Dong5,ROWS($1:13)),))</f>
        <v>40872</v>
      </c>
      <c r="B27" s="243" t="str">
        <f ca="1">IF(ROWS($1:13)&gt;COUNT(Dong5),"",OFFSET(TH!D$1,SMALL(Dong5,ROWS($1:13)),))</f>
        <v>C01</v>
      </c>
      <c r="C27" s="243">
        <f ca="1">IF(ROWS($1:13)&gt;COUNT(Dong5),"",OFFSET(TH!E$1,SMALL(Dong5,ROWS($1:13)),))</f>
        <v>40872</v>
      </c>
      <c r="D27" s="247" t="str">
        <f ca="1">IF(ROWS($1:13)&gt;COUNT(Dong5),"",OFFSET(TH!F$1,SMALL(Dong5,ROWS($1:13)),))</f>
        <v>Trả tiền mượn vốn - An Lạc LA</v>
      </c>
      <c r="E27" s="243" t="str">
        <f ca="1">IF(ROWS($1:13)&gt;COUNT(Dong5),"",IF(OFFSET(TH!J$1,SMALL(Dong5,ROWS($1:13)),)=$E$7,OFFSET(TH!K$1,SMALL(Dong5,ROWS($1:13)),),OFFSET(TH!J$1,SMALL(Dong5,ROWS($1:13)),)))</f>
        <v>1111</v>
      </c>
      <c r="F27" s="262">
        <f ca="1">IF(ROWS($1:13)&gt;COUNT(Dong5),0,IF(OFFSET(TH!J$1,SMALL(Dong5,ROWS($1:13)),)=$E$7,OFFSET(TH!I$1,SMALL(Dong5,ROWS($1:13)),),0))</f>
        <v>30000000</v>
      </c>
      <c r="G27" s="261">
        <f ca="1">IF(ROWS($1:13)&gt;COUNT(Dong5),0,IF(OFFSET(TH!K$1,SMALL(Dong5,ROWS($1:13)),)=$E$7,OFFSET(TH!I$1,SMALL(Dong5,ROWS($1:13)),),0))</f>
        <v>0</v>
      </c>
      <c r="H27" s="263">
        <f t="shared" ca="1" si="0"/>
        <v>30000000</v>
      </c>
      <c r="I27" s="263">
        <f t="shared" ca="1" si="1"/>
        <v>0</v>
      </c>
    </row>
    <row r="28" spans="1:9" ht="16.5" customHeight="1">
      <c r="A28" s="243">
        <f ca="1">IF(ROWS($1:14)&gt;COUNT(Dong5),"",OFFSET(TH!C$1,SMALL(Dong5,ROWS($1:14)),))</f>
        <v>40872</v>
      </c>
      <c r="B28" s="243" t="str">
        <f ca="1">IF(ROWS($1:14)&gt;COUNT(Dong5),"",OFFSET(TH!D$1,SMALL(Dong5,ROWS($1:14)),))</f>
        <v>GBC</v>
      </c>
      <c r="C28" s="243">
        <f ca="1">IF(ROWS($1:14)&gt;COUNT(Dong5),"",OFFSET(TH!E$1,SMALL(Dong5,ROWS($1:14)),))</f>
        <v>40872</v>
      </c>
      <c r="D28" s="247" t="str">
        <f ca="1">IF(ROWS($1:14)&gt;COUNT(Dong5),"",OFFSET(TH!F$1,SMALL(Dong5,ROWS($1:14)),))</f>
        <v>An Lạc LA- Mượn vốn</v>
      </c>
      <c r="E28" s="243" t="str">
        <f ca="1">IF(ROWS($1:14)&gt;COUNT(Dong5),"",IF(OFFSET(TH!J$1,SMALL(Dong5,ROWS($1:14)),)=$E$7,OFFSET(TH!K$1,SMALL(Dong5,ROWS($1:14)),),OFFSET(TH!J$1,SMALL(Dong5,ROWS($1:14)),)))</f>
        <v>1121</v>
      </c>
      <c r="F28" s="262">
        <f ca="1">IF(ROWS($1:14)&gt;COUNT(Dong5),0,IF(OFFSET(TH!J$1,SMALL(Dong5,ROWS($1:14)),)=$E$7,OFFSET(TH!I$1,SMALL(Dong5,ROWS($1:14)),),0))</f>
        <v>0</v>
      </c>
      <c r="G28" s="261">
        <f ca="1">IF(ROWS($1:14)&gt;COUNT(Dong5),0,IF(OFFSET(TH!K$1,SMALL(Dong5,ROWS($1:14)),)=$E$7,OFFSET(TH!I$1,SMALL(Dong5,ROWS($1:14)),),0))</f>
        <v>30000000</v>
      </c>
      <c r="H28" s="263">
        <f t="shared" ca="1" si="0"/>
        <v>0</v>
      </c>
      <c r="I28" s="263">
        <f t="shared" ca="1" si="1"/>
        <v>0</v>
      </c>
    </row>
    <row r="29" spans="1:9" ht="16.5" customHeight="1">
      <c r="A29" s="243" t="str">
        <f ca="1">IF(ROWS($1:15)&gt;COUNT(Dong5),"",OFFSET(TH!C$1,SMALL(Dong5,ROWS($1:15)),))</f>
        <v/>
      </c>
      <c r="B29" s="243" t="str">
        <f ca="1">IF(ROWS($1:15)&gt;COUNT(Dong5),"",OFFSET(TH!D$1,SMALL(Dong5,ROWS($1:15)),))</f>
        <v/>
      </c>
      <c r="C29" s="243" t="str">
        <f ca="1">IF(ROWS($1:15)&gt;COUNT(Dong5),"",OFFSET(TH!E$1,SMALL(Dong5,ROWS($1:15)),))</f>
        <v/>
      </c>
      <c r="D29" s="247" t="str">
        <f ca="1">IF(ROWS($1:15)&gt;COUNT(Dong5),"",OFFSET(TH!F$1,SMALL(Dong5,ROWS($1:15)),))</f>
        <v/>
      </c>
      <c r="E29" s="243" t="str">
        <f ca="1">IF(ROWS($1:15)&gt;COUNT(Dong5),"",IF(OFFSET(TH!J$1,SMALL(Dong5,ROWS($1:15)),)=$E$7,OFFSET(TH!K$1,SMALL(Dong5,ROWS($1:15)),),OFFSET(TH!J$1,SMALL(Dong5,ROWS($1:15)),)))</f>
        <v/>
      </c>
      <c r="F29" s="262">
        <f ca="1">IF(ROWS($1:15)&gt;COUNT(Dong5),0,IF(OFFSET(TH!J$1,SMALL(Dong5,ROWS($1:15)),)=$E$7,OFFSET(TH!I$1,SMALL(Dong5,ROWS($1:15)),),0))</f>
        <v>0</v>
      </c>
      <c r="G29" s="261">
        <f ca="1">IF(ROWS($1:15)&gt;COUNT(Dong5),0,IF(OFFSET(TH!K$1,SMALL(Dong5,ROWS($1:15)),)=$E$7,OFFSET(TH!I$1,SMALL(Dong5,ROWS($1:15)),),0))</f>
        <v>0</v>
      </c>
      <c r="H29" s="263">
        <f t="shared" ca="1" si="0"/>
        <v>0</v>
      </c>
      <c r="I29" s="263">
        <f t="shared" ca="1" si="1"/>
        <v>0</v>
      </c>
    </row>
    <row r="30" spans="1:9" ht="16.5" customHeight="1">
      <c r="A30" s="243" t="str">
        <f ca="1">IF(ROWS($1:16)&gt;COUNT(Dong5),"",OFFSET(TH!C$1,SMALL(Dong5,ROWS($1:16)),))</f>
        <v/>
      </c>
      <c r="B30" s="243" t="str">
        <f ca="1">IF(ROWS($1:16)&gt;COUNT(Dong5),"",OFFSET(TH!D$1,SMALL(Dong5,ROWS($1:16)),))</f>
        <v/>
      </c>
      <c r="C30" s="243" t="str">
        <f ca="1">IF(ROWS($1:16)&gt;COUNT(Dong5),"",OFFSET(TH!E$1,SMALL(Dong5,ROWS($1:16)),))</f>
        <v/>
      </c>
      <c r="D30" s="247" t="str">
        <f ca="1">IF(ROWS($1:16)&gt;COUNT(Dong5),"",OFFSET(TH!F$1,SMALL(Dong5,ROWS($1:16)),))</f>
        <v/>
      </c>
      <c r="E30" s="243" t="str">
        <f ca="1">IF(ROWS($1:16)&gt;COUNT(Dong5),"",IF(OFFSET(TH!J$1,SMALL(Dong5,ROWS($1:16)),)=$E$7,OFFSET(TH!K$1,SMALL(Dong5,ROWS($1:16)),),OFFSET(TH!J$1,SMALL(Dong5,ROWS($1:16)),)))</f>
        <v/>
      </c>
      <c r="F30" s="262">
        <f ca="1">IF(ROWS($1:16)&gt;COUNT(Dong5),0,IF(OFFSET(TH!J$1,SMALL(Dong5,ROWS($1:16)),)=$E$7,OFFSET(TH!I$1,SMALL(Dong5,ROWS($1:16)),),0))</f>
        <v>0</v>
      </c>
      <c r="G30" s="261">
        <f ca="1">IF(ROWS($1:16)&gt;COUNT(Dong5),0,IF(OFFSET(TH!K$1,SMALL(Dong5,ROWS($1:16)),)=$E$7,OFFSET(TH!I$1,SMALL(Dong5,ROWS($1:16)),),0))</f>
        <v>0</v>
      </c>
      <c r="H30" s="263">
        <f t="shared" ca="1" si="0"/>
        <v>0</v>
      </c>
      <c r="I30" s="263">
        <f t="shared" ca="1" si="1"/>
        <v>0</v>
      </c>
    </row>
    <row r="31" spans="1:9" ht="16.5" customHeight="1">
      <c r="A31" s="243" t="str">
        <f ca="1">IF(ROWS($1:17)&gt;COUNT(Dong5),"",OFFSET(TH!C$1,SMALL(Dong5,ROWS($1:17)),))</f>
        <v/>
      </c>
      <c r="B31" s="243" t="str">
        <f ca="1">IF(ROWS($1:17)&gt;COUNT(Dong5),"",OFFSET(TH!D$1,SMALL(Dong5,ROWS($1:17)),))</f>
        <v/>
      </c>
      <c r="C31" s="243" t="str">
        <f ca="1">IF(ROWS($1:17)&gt;COUNT(Dong5),"",OFFSET(TH!E$1,SMALL(Dong5,ROWS($1:17)),))</f>
        <v/>
      </c>
      <c r="D31" s="247" t="str">
        <f ca="1">IF(ROWS($1:17)&gt;COUNT(Dong5),"",OFFSET(TH!F$1,SMALL(Dong5,ROWS($1:17)),))</f>
        <v/>
      </c>
      <c r="E31" s="243" t="str">
        <f ca="1">IF(ROWS($1:17)&gt;COUNT(Dong5),"",IF(OFFSET(TH!J$1,SMALL(Dong5,ROWS($1:17)),)=$E$7,OFFSET(TH!K$1,SMALL(Dong5,ROWS($1:17)),),OFFSET(TH!J$1,SMALL(Dong5,ROWS($1:17)),)))</f>
        <v/>
      </c>
      <c r="F31" s="262">
        <f ca="1">IF(ROWS($1:17)&gt;COUNT(Dong5),0,IF(OFFSET(TH!J$1,SMALL(Dong5,ROWS($1:17)),)=$E$7,OFFSET(TH!I$1,SMALL(Dong5,ROWS($1:17)),),0))</f>
        <v>0</v>
      </c>
      <c r="G31" s="261">
        <f ca="1">IF(ROWS($1:17)&gt;COUNT(Dong5),0,IF(OFFSET(TH!K$1,SMALL(Dong5,ROWS($1:17)),)=$E$7,OFFSET(TH!I$1,SMALL(Dong5,ROWS($1:17)),),0))</f>
        <v>0</v>
      </c>
      <c r="H31" s="263">
        <f t="shared" ca="1" si="0"/>
        <v>0</v>
      </c>
      <c r="I31" s="263">
        <f t="shared" ca="1" si="1"/>
        <v>0</v>
      </c>
    </row>
    <row r="32" spans="1:9" ht="16.5" customHeight="1">
      <c r="A32" s="243" t="str">
        <f ca="1">IF(ROWS($1:18)&gt;COUNT(Dong5),"",OFFSET(TH!C$1,SMALL(Dong5,ROWS($1:18)),))</f>
        <v/>
      </c>
      <c r="B32" s="243" t="str">
        <f ca="1">IF(ROWS($1:18)&gt;COUNT(Dong5),"",OFFSET(TH!D$1,SMALL(Dong5,ROWS($1:18)),))</f>
        <v/>
      </c>
      <c r="C32" s="243" t="str">
        <f ca="1">IF(ROWS($1:18)&gt;COUNT(Dong5),"",OFFSET(TH!E$1,SMALL(Dong5,ROWS($1:18)),))</f>
        <v/>
      </c>
      <c r="D32" s="247" t="str">
        <f ca="1">IF(ROWS($1:18)&gt;COUNT(Dong5),"",OFFSET(TH!F$1,SMALL(Dong5,ROWS($1:18)),))</f>
        <v/>
      </c>
      <c r="E32" s="243" t="str">
        <f ca="1">IF(ROWS($1:18)&gt;COUNT(Dong5),"",IF(OFFSET(TH!J$1,SMALL(Dong5,ROWS($1:18)),)=$E$7,OFFSET(TH!K$1,SMALL(Dong5,ROWS($1:18)),),OFFSET(TH!J$1,SMALL(Dong5,ROWS($1:18)),)))</f>
        <v/>
      </c>
      <c r="F32" s="262">
        <f ca="1">IF(ROWS($1:18)&gt;COUNT(Dong5),0,IF(OFFSET(TH!J$1,SMALL(Dong5,ROWS($1:18)),)=$E$7,OFFSET(TH!I$1,SMALL(Dong5,ROWS($1:18)),),0))</f>
        <v>0</v>
      </c>
      <c r="G32" s="261">
        <f ca="1">IF(ROWS($1:18)&gt;COUNT(Dong5),0,IF(OFFSET(TH!K$1,SMALL(Dong5,ROWS($1:18)),)=$E$7,OFFSET(TH!I$1,SMALL(Dong5,ROWS($1:18)),),0))</f>
        <v>0</v>
      </c>
      <c r="H32" s="263">
        <f t="shared" ca="1" si="0"/>
        <v>0</v>
      </c>
      <c r="I32" s="263">
        <f t="shared" ca="1" si="1"/>
        <v>0</v>
      </c>
    </row>
    <row r="33" spans="1:9" ht="16.5" customHeight="1">
      <c r="A33" s="243"/>
      <c r="B33" s="248"/>
      <c r="C33" s="243"/>
      <c r="D33" s="264"/>
      <c r="E33" s="248"/>
      <c r="F33" s="261"/>
      <c r="G33" s="261"/>
      <c r="H33" s="263"/>
      <c r="I33" s="263"/>
    </row>
    <row r="34" spans="1:9" ht="20.25" customHeight="1">
      <c r="A34" s="243"/>
      <c r="B34" s="248"/>
      <c r="C34" s="243"/>
      <c r="D34" s="265" t="s">
        <v>179</v>
      </c>
      <c r="E34" s="248" t="s">
        <v>25</v>
      </c>
      <c r="F34" s="266">
        <f ca="1">SUM(F15:F33)</f>
        <v>614500000</v>
      </c>
      <c r="G34" s="266">
        <f ca="1">SUM(G15:G33)</f>
        <v>614500000</v>
      </c>
      <c r="H34" s="266" t="s">
        <v>25</v>
      </c>
      <c r="I34" s="266" t="s">
        <v>25</v>
      </c>
    </row>
    <row r="35" spans="1:9" ht="20.25" customHeight="1">
      <c r="A35" s="267"/>
      <c r="B35" s="268"/>
      <c r="C35" s="267"/>
      <c r="D35" s="269" t="s">
        <v>12</v>
      </c>
      <c r="E35" s="268" t="s">
        <v>25</v>
      </c>
      <c r="F35" s="270" t="s">
        <v>25</v>
      </c>
      <c r="G35" s="270" t="s">
        <v>25</v>
      </c>
      <c r="H35" s="271">
        <f ca="1">MAX(H14+F34-G34-I14,0)</f>
        <v>0</v>
      </c>
      <c r="I35" s="271">
        <f ca="1">MAX(I14+G34-F34-H14,0)</f>
        <v>0</v>
      </c>
    </row>
    <row r="36" spans="1:9" ht="9.75" customHeight="1"/>
    <row r="37" spans="1:9">
      <c r="C37" s="244" t="s">
        <v>211</v>
      </c>
    </row>
    <row r="38" spans="1:9">
      <c r="C38" s="244" t="s">
        <v>212</v>
      </c>
    </row>
    <row r="39" spans="1:9" ht="13.5" customHeight="1">
      <c r="E39" s="401" t="s">
        <v>213</v>
      </c>
      <c r="F39" s="401"/>
      <c r="G39" s="401"/>
      <c r="H39" s="401"/>
      <c r="I39" s="401"/>
    </row>
    <row r="40" spans="1:9">
      <c r="A40" s="401" t="s">
        <v>13</v>
      </c>
      <c r="B40" s="401"/>
      <c r="C40" s="401"/>
      <c r="D40" s="401"/>
      <c r="E40" s="401" t="s">
        <v>14</v>
      </c>
      <c r="F40" s="401"/>
      <c r="G40" s="401"/>
      <c r="H40" s="401"/>
      <c r="I40" s="401"/>
    </row>
    <row r="41" spans="1:9">
      <c r="A41" s="401" t="s">
        <v>15</v>
      </c>
      <c r="B41" s="401"/>
      <c r="C41" s="401"/>
      <c r="D41" s="401"/>
      <c r="E41" s="401" t="s">
        <v>15</v>
      </c>
      <c r="F41" s="401"/>
      <c r="G41" s="401"/>
      <c r="H41" s="401"/>
      <c r="I41" s="401"/>
    </row>
    <row r="43" spans="1:9">
      <c r="D43" s="272"/>
      <c r="F43" s="273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H11"/>
  <sheetViews>
    <sheetView showZeros="0" workbookViewId="0">
      <pane ySplit="3" topLeftCell="A4" activePane="bottomLeft" state="frozen"/>
      <selection pane="bottomLeft" activeCell="B19" sqref="B19"/>
    </sheetView>
  </sheetViews>
  <sheetFormatPr defaultColWidth="8" defaultRowHeight="13.5"/>
  <cols>
    <col min="1" max="1" width="5.5703125" style="249" customWidth="1"/>
    <col min="2" max="2" width="48.42578125" style="249" customWidth="1"/>
    <col min="3" max="4" width="13.140625" style="249" customWidth="1"/>
    <col min="5" max="5" width="15.28515625" style="249" bestFit="1" customWidth="1"/>
    <col min="6" max="6" width="15.5703125" style="249" customWidth="1"/>
    <col min="7" max="7" width="13.28515625" style="249" customWidth="1"/>
    <col min="8" max="8" width="13.5703125" style="249" customWidth="1"/>
    <col min="9" max="16384" width="8" style="249"/>
  </cols>
  <sheetData>
    <row r="1" spans="1:8" ht="15" customHeight="1">
      <c r="A1" s="415" t="s">
        <v>142</v>
      </c>
      <c r="B1" s="415"/>
      <c r="C1" s="415"/>
      <c r="D1" s="415"/>
      <c r="E1" s="415"/>
    </row>
    <row r="2" spans="1:8" s="10" customFormat="1" ht="14.25" customHeight="1">
      <c r="A2" s="416" t="s">
        <v>48</v>
      </c>
      <c r="B2" s="418" t="s">
        <v>49</v>
      </c>
      <c r="C2" s="413" t="s">
        <v>50</v>
      </c>
      <c r="D2" s="414"/>
      <c r="E2" s="413" t="s">
        <v>51</v>
      </c>
      <c r="F2" s="414"/>
      <c r="G2" s="413" t="s">
        <v>59</v>
      </c>
      <c r="H2" s="414"/>
    </row>
    <row r="3" spans="1:8" s="10" customFormat="1" ht="14.25" customHeight="1">
      <c r="A3" s="417"/>
      <c r="B3" s="419"/>
      <c r="C3" s="356" t="s">
        <v>60</v>
      </c>
      <c r="D3" s="356" t="s">
        <v>61</v>
      </c>
      <c r="E3" s="356" t="s">
        <v>60</v>
      </c>
      <c r="F3" s="356" t="s">
        <v>61</v>
      </c>
      <c r="G3" s="356" t="s">
        <v>60</v>
      </c>
      <c r="H3" s="356" t="s">
        <v>61</v>
      </c>
    </row>
    <row r="4" spans="1:8" s="10" customFormat="1" ht="16.5" customHeight="1">
      <c r="A4" s="6">
        <f>ROW()-3</f>
        <v>1</v>
      </c>
      <c r="B4" s="7" t="s">
        <v>52</v>
      </c>
      <c r="C4" s="8"/>
      <c r="D4" s="8"/>
      <c r="E4" s="8">
        <f t="array" ref="E4">SUM(IF("331"&amp;B4=KHN&amp;KH,TH))</f>
        <v>62208666</v>
      </c>
      <c r="F4" s="8">
        <f t="array" ref="F4">SUM(IF("331"&amp;B4=KHC&amp;KH,TH))</f>
        <v>62208666</v>
      </c>
      <c r="G4" s="98">
        <f>ROUND(MAX(C4+E4-D4-F4,0),2)</f>
        <v>0</v>
      </c>
      <c r="H4" s="98">
        <f>ROUND(MAX(D4+F4-C4-E4,0),2)</f>
        <v>0</v>
      </c>
    </row>
    <row r="5" spans="1:8" s="10" customFormat="1" ht="16.5" customHeight="1">
      <c r="A5" s="6">
        <f t="shared" ref="A5" si="0">ROW()-3</f>
        <v>2</v>
      </c>
      <c r="B5" s="7" t="s">
        <v>53</v>
      </c>
      <c r="C5" s="8"/>
      <c r="D5" s="8"/>
      <c r="E5" s="8">
        <f t="array" ref="E5">SUM(IF("331"&amp;B5=KHN&amp;KH,TH))</f>
        <v>800000000</v>
      </c>
      <c r="F5" s="8">
        <f t="array" ref="F5">SUM(IF("331"&amp;B5=KHC&amp;KH,TH))</f>
        <v>0</v>
      </c>
      <c r="G5" s="98">
        <f t="shared" ref="G5" si="1">ROUND(MAX(C5+E5-D5-F5,0),2)</f>
        <v>800000000</v>
      </c>
      <c r="H5" s="98">
        <f t="shared" ref="H5" si="2">ROUND(MAX(D5+F5-C5-E5,0),2)</f>
        <v>0</v>
      </c>
    </row>
    <row r="6" spans="1:8" s="10" customFormat="1" ht="16.5" customHeight="1">
      <c r="A6" s="6"/>
      <c r="B6" s="81"/>
      <c r="C6" s="8"/>
      <c r="D6" s="8"/>
      <c r="E6" s="8"/>
      <c r="F6" s="8"/>
      <c r="G6" s="98"/>
      <c r="H6" s="98"/>
    </row>
    <row r="7" spans="1:8" s="14" customFormat="1" ht="14.25" customHeight="1">
      <c r="A7" s="11"/>
      <c r="B7" s="12" t="s">
        <v>56</v>
      </c>
      <c r="C7" s="13">
        <f>SUM(C4:C6)</f>
        <v>0</v>
      </c>
      <c r="D7" s="13">
        <f>SUM(D4:D6)</f>
        <v>0</v>
      </c>
      <c r="E7" s="13">
        <f>SUM(E4:E6)</f>
        <v>862208666</v>
      </c>
      <c r="F7" s="13">
        <f>SUM(F4:F6)</f>
        <v>62208666</v>
      </c>
      <c r="G7" s="13">
        <f>SUM(G4:G6)</f>
        <v>800000000</v>
      </c>
      <c r="H7" s="13">
        <f>SUM(H4:H6)</f>
        <v>0</v>
      </c>
    </row>
    <row r="9" spans="1:8">
      <c r="E9" s="15">
        <f>CDPS!E20</f>
        <v>862208666</v>
      </c>
      <c r="F9" s="15">
        <f>CDPS!F20</f>
        <v>62208666</v>
      </c>
    </row>
    <row r="11" spans="1:8">
      <c r="E11" s="250">
        <f>E7-E9</f>
        <v>0</v>
      </c>
      <c r="F11" s="250">
        <f>F7-F9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31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16</v>
      </c>
      <c r="B1" s="16"/>
      <c r="C1" s="16"/>
      <c r="G1" s="2"/>
      <c r="H1" s="420" t="s">
        <v>65</v>
      </c>
      <c r="I1" s="420"/>
      <c r="J1" s="420"/>
    </row>
    <row r="2" spans="1:10" s="3" customFormat="1" ht="14.25" customHeight="1">
      <c r="A2" s="1" t="s">
        <v>17</v>
      </c>
      <c r="B2" s="16"/>
      <c r="C2" s="16"/>
      <c r="G2" s="17"/>
      <c r="H2" s="421" t="s">
        <v>66</v>
      </c>
      <c r="I2" s="421"/>
      <c r="J2" s="421"/>
    </row>
    <row r="3" spans="1:10" s="3" customFormat="1" ht="14.25" customHeight="1">
      <c r="A3" s="4"/>
      <c r="B3" s="16"/>
      <c r="C3" s="16"/>
      <c r="G3" s="17"/>
      <c r="H3" s="421"/>
      <c r="I3" s="421"/>
      <c r="J3" s="421"/>
    </row>
    <row r="4" spans="1:10" s="5" customFormat="1" ht="28.5" customHeight="1">
      <c r="A4" s="429" t="s">
        <v>34</v>
      </c>
      <c r="B4" s="429"/>
      <c r="C4" s="429"/>
      <c r="D4" s="429"/>
      <c r="E4" s="429"/>
      <c r="F4" s="429"/>
      <c r="G4" s="429"/>
      <c r="H4" s="429"/>
      <c r="I4" s="429"/>
      <c r="J4" s="429"/>
    </row>
    <row r="5" spans="1:10" s="18" customFormat="1" ht="14.25" customHeight="1">
      <c r="E5" s="19" t="s">
        <v>35</v>
      </c>
    </row>
    <row r="6" spans="1:10" s="18" customFormat="1" ht="14.25" customHeight="1">
      <c r="E6" s="19" t="s">
        <v>36</v>
      </c>
    </row>
    <row r="7" spans="1:10" s="18" customFormat="1" ht="14.25" customHeight="1">
      <c r="D7" s="20" t="s">
        <v>64</v>
      </c>
      <c r="E7" s="422" t="s">
        <v>52</v>
      </c>
      <c r="F7" s="422"/>
      <c r="G7" s="422"/>
      <c r="H7" s="422"/>
    </row>
    <row r="8" spans="1:10" s="18" customFormat="1" ht="14.25" customHeight="1">
      <c r="E8" s="19" t="s">
        <v>37</v>
      </c>
    </row>
    <row r="9" spans="1:10" s="18" customFormat="1" ht="6.75" customHeight="1">
      <c r="B9" s="19"/>
      <c r="C9" s="424"/>
      <c r="D9" s="424"/>
      <c r="E9" s="424"/>
      <c r="F9" s="424"/>
      <c r="G9" s="424"/>
      <c r="H9" s="424"/>
      <c r="I9" s="424"/>
      <c r="J9" s="424"/>
    </row>
    <row r="10" spans="1:10" s="18" customFormat="1" ht="14.25" customHeight="1">
      <c r="A10" s="426" t="s">
        <v>28</v>
      </c>
      <c r="B10" s="425" t="s">
        <v>1</v>
      </c>
      <c r="C10" s="425"/>
      <c r="D10" s="426" t="s">
        <v>0</v>
      </c>
      <c r="E10" s="426" t="s">
        <v>18</v>
      </c>
      <c r="F10" s="426" t="s">
        <v>38</v>
      </c>
      <c r="G10" s="427" t="s">
        <v>29</v>
      </c>
      <c r="H10" s="428"/>
      <c r="I10" s="427" t="s">
        <v>39</v>
      </c>
      <c r="J10" s="428"/>
    </row>
    <row r="11" spans="1:10" s="18" customFormat="1" ht="24.75" customHeight="1">
      <c r="A11" s="426"/>
      <c r="B11" s="30" t="s">
        <v>19</v>
      </c>
      <c r="C11" s="30" t="s">
        <v>40</v>
      </c>
      <c r="D11" s="426"/>
      <c r="E11" s="426"/>
      <c r="F11" s="426"/>
      <c r="G11" s="30" t="s">
        <v>30</v>
      </c>
      <c r="H11" s="30" t="s">
        <v>31</v>
      </c>
      <c r="I11" s="30" t="s">
        <v>30</v>
      </c>
      <c r="J11" s="30" t="s">
        <v>31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5">
        <f>VLOOKUP($E$7,'331'!$B$4:$H$6,2,0)</f>
        <v>0</v>
      </c>
      <c r="J13" s="85">
        <f>VLOOKUP($E$7,'331'!$B$4:$H$6,3,0)</f>
        <v>0</v>
      </c>
    </row>
    <row r="14" spans="1:10" s="18" customFormat="1" ht="18" customHeight="1">
      <c r="A14" s="9">
        <f t="shared" ref="A14:A20" ca="1" si="0">IF(C14&lt;&gt;"",C14,"")</f>
        <v>40623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40623</v>
      </c>
      <c r="D14" s="83" t="str">
        <f ca="1">IF(ROWS($1:1)&gt;COUNT(Dong),"",OFFSET(TH!F$1,SMALL(Dong,ROWS($1:1)),))</f>
        <v>Thanh toán Thuê quyền SDĐ - KCN Long Đức 15/9/10-15/9/11</v>
      </c>
      <c r="E14" s="84" t="str">
        <f ca="1">IF(ROWS($1:1)&gt;COUNT(Dong),"",IF(OFFSET(TH!J$1,SMALL(Dong,ROWS($1:1)),)="331",OFFSET(TH!K$1,SMALL(Dong,ROWS($1:1)),),OFFSET(TH!J$1,SMALL(Dong,ROWS($1:1)),)))</f>
        <v>1121</v>
      </c>
      <c r="F14" s="84"/>
      <c r="G14" s="102">
        <f ca="1">IF(ROWS($1:1)&gt;COUNT(Dong),"",IF(OFFSET(TH!J$1,SMALL(Dong,ROWS($1:1)),)="331",OFFSET(TH!I$1,SMALL(Dong,ROWS($1:1)),),0))</f>
        <v>32288666</v>
      </c>
      <c r="H14" s="102">
        <f ca="1">IF(ROWS($1:1)&gt;COUNT(Dong),"",IF(OFFSET(TH!K$1,SMALL(Dong,ROWS($1:1)),)="331",OFFSET(TH!I$1,SMALL(Dong,ROWS($1:1)),),0))</f>
        <v>0</v>
      </c>
      <c r="I14" s="25">
        <f t="shared" ref="I14:I20" ca="1" si="1">IF(D14&lt;&gt;"",MAX(I13+G14-H14-J13,0),0)</f>
        <v>32288666</v>
      </c>
      <c r="J14" s="25">
        <f t="shared" ref="J14:J20" ca="1" si="2">IF(D14&lt;&gt;"",MAX(J13+H14-I13-G14,0),0)</f>
        <v>0</v>
      </c>
    </row>
    <row r="15" spans="1:10" s="18" customFormat="1" ht="18" customHeight="1">
      <c r="A15" s="9">
        <f t="shared" ca="1" si="0"/>
        <v>40623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40623</v>
      </c>
      <c r="D15" s="83" t="str">
        <f ca="1">IF(ROWS($1:2)&gt;COUNT(Dong),"",OFFSET(TH!F$1,SMALL(Dong,ROWS($1:2)),))</f>
        <v>Thuê quyền SDĐ - KCN Long Đức 26/8/10-15/9/11</v>
      </c>
      <c r="E15" s="84" t="str">
        <f ca="1">IF(ROWS($1:2)&gt;COUNT(Dong),"",IF(OFFSET(TH!J$1,SMALL(Dong,ROWS($1:2)),)="331",OFFSET(TH!K$1,SMALL(Dong,ROWS($1:2)),),OFFSET(TH!J$1,SMALL(Dong,ROWS($1:2)),)))</f>
        <v>642</v>
      </c>
      <c r="F15" s="84"/>
      <c r="G15" s="102">
        <f ca="1">IF(ROWS($1:2)&gt;COUNT(Dong),"",IF(OFFSET(TH!J$1,SMALL(Dong,ROWS($1:2)),)="331",OFFSET(TH!I$1,SMALL(Dong,ROWS($1:2)),),0))</f>
        <v>0</v>
      </c>
      <c r="H15" s="102">
        <f ca="1">IF(ROWS($1:2)&gt;COUNT(Dong),"",IF(OFFSET(TH!K$1,SMALL(Dong,ROWS($1:2)),)="331",OFFSET(TH!I$1,SMALL(Dong,ROWS($1:2)),),0))</f>
        <v>32288666</v>
      </c>
      <c r="I15" s="25">
        <f t="shared" ca="1" si="1"/>
        <v>0</v>
      </c>
      <c r="J15" s="25">
        <f t="shared" ca="1" si="2"/>
        <v>0</v>
      </c>
    </row>
    <row r="16" spans="1:10" s="18" customFormat="1" ht="18" customHeight="1">
      <c r="A16" s="9">
        <f t="shared" ca="1" si="0"/>
        <v>40872</v>
      </c>
      <c r="B16" s="9" t="str">
        <f ca="1">IF(ROWS($1:3)&gt;COUNT(Dong),"",OFFSET(TH!D$1,SMALL(Dong,ROWS($1:3)),))</f>
        <v>GBN</v>
      </c>
      <c r="C16" s="9">
        <f ca="1">IF(ROWS($1:3)&gt;COUNT(Dong),"",OFFSET(TH!E$1,SMALL(Dong,ROWS($1:3)),))</f>
        <v>40872</v>
      </c>
      <c r="D16" s="83" t="str">
        <f ca="1">IF(ROWS($1:3)&gt;COUNT(Dong),"",OFFSET(TH!F$1,SMALL(Dong,ROWS($1:3)),))</f>
        <v>Thanh toán Thuê quyền SDĐ - KCN Long Đức 15/9/11-15/9/12</v>
      </c>
      <c r="E16" s="84" t="str">
        <f ca="1">IF(ROWS($1:3)&gt;COUNT(Dong),"",IF(OFFSET(TH!J$1,SMALL(Dong,ROWS($1:3)),)="331",OFFSET(TH!K$1,SMALL(Dong,ROWS($1:3)),),OFFSET(TH!J$1,SMALL(Dong,ROWS($1:3)),)))</f>
        <v>1121</v>
      </c>
      <c r="F16" s="84"/>
      <c r="G16" s="102">
        <f ca="1">IF(ROWS($1:3)&gt;COUNT(Dong),"",IF(OFFSET(TH!J$1,SMALL(Dong,ROWS($1:3)),)="331",OFFSET(TH!I$1,SMALL(Dong,ROWS($1:3)),),0))</f>
        <v>29920000</v>
      </c>
      <c r="H16" s="102">
        <f ca="1">IF(ROWS($1:3)&gt;COUNT(Dong),"",IF(OFFSET(TH!K$1,SMALL(Dong,ROWS($1:3)),)="331",OFFSET(TH!I$1,SMALL(Dong,ROWS($1:3)),),0))</f>
        <v>0</v>
      </c>
      <c r="I16" s="25">
        <f t="shared" ca="1" si="1"/>
        <v>29920000</v>
      </c>
      <c r="J16" s="25">
        <f t="shared" ca="1" si="2"/>
        <v>0</v>
      </c>
    </row>
    <row r="17" spans="1:10" s="18" customFormat="1" ht="18" customHeight="1">
      <c r="A17" s="9">
        <f t="shared" ca="1" si="0"/>
        <v>40875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40875</v>
      </c>
      <c r="D17" s="83" t="str">
        <f ca="1">IF(ROWS($1:4)&gt;COUNT(Dong),"",OFFSET(TH!F$1,SMALL(Dong,ROWS($1:4)),))</f>
        <v>Thuê quyền SDĐ - KCN Long Đức 15/9/11-15/9/12</v>
      </c>
      <c r="E17" s="84" t="str">
        <f ca="1">IF(ROWS($1:4)&gt;COUNT(Dong),"",IF(OFFSET(TH!J$1,SMALL(Dong,ROWS($1:4)),)="331",OFFSET(TH!K$1,SMALL(Dong,ROWS($1:4)),),OFFSET(TH!J$1,SMALL(Dong,ROWS($1:4)),)))</f>
        <v>642</v>
      </c>
      <c r="F17" s="84"/>
      <c r="G17" s="102">
        <f ca="1">IF(ROWS($1:4)&gt;COUNT(Dong),"",IF(OFFSET(TH!J$1,SMALL(Dong,ROWS($1:4)),)="331",OFFSET(TH!I$1,SMALL(Dong,ROWS($1:4)),),0))</f>
        <v>0</v>
      </c>
      <c r="H17" s="102">
        <f ca="1">IF(ROWS($1:4)&gt;COUNT(Dong),"",IF(OFFSET(TH!K$1,SMALL(Dong,ROWS($1:4)),)="331",OFFSET(TH!I$1,SMALL(Dong,ROWS($1:4)),),0))</f>
        <v>29920000</v>
      </c>
      <c r="I17" s="25">
        <f t="shared" ca="1" si="1"/>
        <v>0</v>
      </c>
      <c r="J17" s="25">
        <f t="shared" ca="1" si="2"/>
        <v>0</v>
      </c>
    </row>
    <row r="18" spans="1:10" s="18" customFormat="1" ht="18" customHeight="1">
      <c r="A18" s="9" t="str">
        <f t="shared" ca="1" si="0"/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83" t="str">
        <f ca="1">IF(ROWS($1:5)&gt;COUNT(Dong),"",OFFSET(TH!F$1,SMALL(Dong,ROWS($1:5)),))</f>
        <v/>
      </c>
      <c r="E18" s="84" t="str">
        <f ca="1">IF(ROWS($1:5)&gt;COUNT(Dong),"",IF(OFFSET(TH!J$1,SMALL(Dong,ROWS($1:5)),)="331",OFFSET(TH!K$1,SMALL(Dong,ROWS($1:5)),),OFFSET(TH!J$1,SMALL(Dong,ROWS($1:5)),)))</f>
        <v/>
      </c>
      <c r="F18" s="84"/>
      <c r="G18" s="102" t="str">
        <f ca="1">IF(ROWS($1:5)&gt;COUNT(Dong),"",IF(OFFSET(TH!J$1,SMALL(Dong,ROWS($1:5)),)="331",OFFSET(TH!I$1,SMALL(Dong,ROWS($1:5)),),0))</f>
        <v/>
      </c>
      <c r="H18" s="102" t="str">
        <f ca="1">IF(ROWS($1:5)&gt;COUNT(Dong),"",IF(OFFSET(TH!K$1,SMALL(Dong,ROWS($1:5)),)="331",OFFSET(TH!I$1,SMALL(Dong,ROWS($1:5)),),0))</f>
        <v/>
      </c>
      <c r="I18" s="25">
        <f t="shared" ca="1" si="1"/>
        <v>0</v>
      </c>
      <c r="J18" s="25">
        <f t="shared" ca="1" si="2"/>
        <v>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83" t="str">
        <f ca="1">IF(ROWS($1:6)&gt;COUNT(Dong),"",OFFSET(TH!F$1,SMALL(Dong,ROWS($1:6)),))</f>
        <v/>
      </c>
      <c r="E19" s="84" t="str">
        <f ca="1">IF(ROWS($1:6)&gt;COUNT(Dong),"",IF(OFFSET(TH!J$1,SMALL(Dong,ROWS($1:6)),)="331",OFFSET(TH!K$1,SMALL(Dong,ROWS($1:6)),),OFFSET(TH!J$1,SMALL(Dong,ROWS($1:6)),)))</f>
        <v/>
      </c>
      <c r="F19" s="84"/>
      <c r="G19" s="102" t="str">
        <f ca="1">IF(ROWS($1:6)&gt;COUNT(Dong),"",IF(OFFSET(TH!J$1,SMALL(Dong,ROWS($1:6)),)="331",OFFSET(TH!I$1,SMALL(Dong,ROWS($1:6)),),0))</f>
        <v/>
      </c>
      <c r="H19" s="102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83" t="str">
        <f ca="1">IF(ROWS($1:7)&gt;COUNT(Dong),"",OFFSET(TH!F$1,SMALL(Dong,ROWS($1:7)),))</f>
        <v/>
      </c>
      <c r="E20" s="84" t="str">
        <f ca="1">IF(ROWS($1:7)&gt;COUNT(Dong),"",IF(OFFSET(TH!J$1,SMALL(Dong,ROWS($1:7)),)="331",OFFSET(TH!K$1,SMALL(Dong,ROWS($1:7)),),OFFSET(TH!J$1,SMALL(Dong,ROWS($1:7)),)))</f>
        <v/>
      </c>
      <c r="F20" s="84"/>
      <c r="G20" s="102" t="str">
        <f ca="1">IF(ROWS($1:7)&gt;COUNT(Dong),"",IF(OFFSET(TH!J$1,SMALL(Dong,ROWS($1:7)),)="331",OFFSET(TH!I$1,SMALL(Dong,ROWS($1:7)),),0))</f>
        <v/>
      </c>
      <c r="H20" s="102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83" t="str">
        <f ca="1">IF(ROWS($1:8)&gt;COUNT(Dong),"",OFFSET(TH!F$1,SMALL(Dong,ROWS($1:8)),))</f>
        <v/>
      </c>
      <c r="E21" s="84" t="str">
        <f ca="1">IF(ROWS($1:8)&gt;COUNT(Dong),"",IF(OFFSET(TH!J$1,SMALL(Dong,ROWS($1:8)),)="331",OFFSET(TH!K$1,SMALL(Dong,ROWS($1:8)),),OFFSET(TH!J$1,SMALL(Dong,ROWS($1:8)),)))</f>
        <v/>
      </c>
      <c r="F21" s="84"/>
      <c r="G21" s="77" t="str">
        <f ca="1">IF(ROWS($1:8)&gt;COUNT(Dong),"",IF(OFFSET(TH!J$1,SMALL(Dong,ROWS($1:8)),)="331",OFFSET(TH!I$1,SMALL(Dong,ROWS($1:8)),),0))</f>
        <v/>
      </c>
      <c r="H21" s="77" t="str">
        <f ca="1">IF(ROWS($1:8)&gt;COUNT(Dong),"",IF(OFFSET(TH!K$1,SMALL(Dong,ROWS($1:8)),)="331",OFFSET(TH!I$1,SMALL(Dong,ROWS($1:8)),),0))</f>
        <v/>
      </c>
      <c r="I21" s="25">
        <f t="shared" ref="I21" ca="1" si="4">IF(D21&lt;&gt;"",MAX(I20+G21-H21-J20,0),0)</f>
        <v>0</v>
      </c>
      <c r="J21" s="25">
        <f t="shared" ref="J21" ca="1" si="5">IF(D21&lt;&gt;"",MAX(J20+H21-I20-G21,0),0)</f>
        <v>0</v>
      </c>
    </row>
    <row r="22" spans="1:10" s="18" customFormat="1" ht="18" customHeight="1">
      <c r="A22" s="358"/>
      <c r="B22" s="358"/>
      <c r="C22" s="358"/>
      <c r="D22" s="359"/>
      <c r="E22" s="360"/>
      <c r="F22" s="360"/>
      <c r="G22" s="361"/>
      <c r="H22" s="361"/>
      <c r="I22" s="362"/>
      <c r="J22" s="362"/>
    </row>
    <row r="23" spans="1:10" s="18" customFormat="1" ht="18" customHeight="1">
      <c r="A23" s="24"/>
      <c r="B23" s="21"/>
      <c r="C23" s="26"/>
      <c r="D23" s="23" t="s">
        <v>44</v>
      </c>
      <c r="E23" s="21" t="s">
        <v>25</v>
      </c>
      <c r="F23" s="21" t="s">
        <v>25</v>
      </c>
      <c r="G23" s="27">
        <f ca="1">SUM(G14:G21)</f>
        <v>62208666</v>
      </c>
      <c r="H23" s="27">
        <f ca="1">SUM(H14:H21)</f>
        <v>62208666</v>
      </c>
      <c r="I23" s="27" t="s">
        <v>25</v>
      </c>
      <c r="J23" s="27" t="s">
        <v>25</v>
      </c>
    </row>
    <row r="24" spans="1:10" s="18" customFormat="1" ht="18" customHeight="1">
      <c r="A24" s="24"/>
      <c r="B24" s="21"/>
      <c r="C24" s="21"/>
      <c r="D24" s="23" t="s">
        <v>12</v>
      </c>
      <c r="E24" s="21" t="s">
        <v>25</v>
      </c>
      <c r="F24" s="21" t="s">
        <v>25</v>
      </c>
      <c r="G24" s="27" t="s">
        <v>25</v>
      </c>
      <c r="H24" s="27" t="s">
        <v>25</v>
      </c>
      <c r="I24" s="27">
        <f ca="1">MAX(I13+G23-H23-J13,0)</f>
        <v>0</v>
      </c>
      <c r="J24" s="27">
        <f ca="1">MAX(J13+H23-G23-I13,0)</f>
        <v>0</v>
      </c>
    </row>
    <row r="25" spans="1:10" s="18" customFormat="1" ht="14.25" customHeight="1">
      <c r="B25" s="19"/>
      <c r="C25" s="19"/>
      <c r="E25" s="19"/>
    </row>
    <row r="26" spans="1:10" s="18" customFormat="1" ht="14.25" customHeight="1">
      <c r="A26" s="28" t="s">
        <v>45</v>
      </c>
      <c r="B26" s="19"/>
      <c r="C26" s="19"/>
      <c r="E26" s="19"/>
    </row>
    <row r="27" spans="1:10" s="18" customFormat="1" ht="14.25" customHeight="1">
      <c r="A27" s="28" t="s">
        <v>46</v>
      </c>
      <c r="B27" s="19"/>
      <c r="C27" s="19"/>
      <c r="E27" s="19"/>
    </row>
    <row r="28" spans="1:10" s="18" customFormat="1" ht="14.25" customHeight="1">
      <c r="B28" s="19"/>
      <c r="C28" s="19"/>
      <c r="E28" s="423" t="s">
        <v>202</v>
      </c>
      <c r="F28" s="423"/>
      <c r="G28" s="423"/>
      <c r="H28" s="423"/>
      <c r="I28" s="423"/>
      <c r="J28" s="423"/>
    </row>
    <row r="29" spans="1:10" s="18" customFormat="1" ht="14.25" customHeight="1">
      <c r="A29" s="423" t="s">
        <v>13</v>
      </c>
      <c r="B29" s="423"/>
      <c r="C29" s="423"/>
      <c r="D29" s="423"/>
      <c r="E29" s="423" t="s">
        <v>14</v>
      </c>
      <c r="F29" s="423"/>
      <c r="G29" s="423"/>
      <c r="H29" s="423"/>
      <c r="I29" s="423"/>
      <c r="J29" s="423"/>
    </row>
    <row r="30" spans="1:10" s="18" customFormat="1" ht="14.25" customHeight="1">
      <c r="A30" s="423" t="s">
        <v>15</v>
      </c>
      <c r="B30" s="423"/>
      <c r="C30" s="423"/>
      <c r="D30" s="423"/>
      <c r="E30" s="423" t="s">
        <v>15</v>
      </c>
      <c r="F30" s="423"/>
      <c r="G30" s="423"/>
      <c r="H30" s="423"/>
      <c r="I30" s="423"/>
      <c r="J30" s="423"/>
    </row>
    <row r="31" spans="1:10" s="29" customFormat="1"/>
  </sheetData>
  <autoFilter ref="A12:J21"/>
  <mergeCells count="17">
    <mergeCell ref="A29:D29"/>
    <mergeCell ref="E29:J29"/>
    <mergeCell ref="A30:D30"/>
    <mergeCell ref="E30:J30"/>
    <mergeCell ref="A10:A11"/>
    <mergeCell ref="H1:J1"/>
    <mergeCell ref="H2:J3"/>
    <mergeCell ref="E7:H7"/>
    <mergeCell ref="E28:J28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157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158</v>
      </c>
      <c r="C2" s="114"/>
      <c r="D2" s="104"/>
      <c r="E2" s="104"/>
      <c r="F2" s="104"/>
      <c r="G2" s="104"/>
      <c r="H2" s="106"/>
      <c r="I2" s="106"/>
      <c r="L2" s="115" t="str">
        <f>IF($Q$4=2015,"(Ban hành theo Thông tư số 200/2014/TT-BTC ","(Ban hành kèm theo QĐ 48/2006/QĐ-BTC")</f>
        <v>(Ban hành kèm theo QĐ 48/2006/QĐ-BTC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144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24/09/2006 của Bộ trưởng BTC)</v>
      </c>
      <c r="N3" s="116"/>
      <c r="O3" s="116"/>
      <c r="P3" s="120"/>
      <c r="Q3" s="118" t="s">
        <v>160</v>
      </c>
      <c r="R3" s="349"/>
      <c r="S3" s="350" t="s">
        <v>253</v>
      </c>
      <c r="T3" s="349"/>
      <c r="U3" s="350" t="s">
        <v>145</v>
      </c>
      <c r="V3" s="117"/>
      <c r="W3" s="118" t="s">
        <v>145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2011</v>
      </c>
      <c r="R4" s="125"/>
      <c r="S4" s="348">
        <v>4</v>
      </c>
      <c r="T4" s="125"/>
      <c r="U4" s="152" t="s">
        <v>4</v>
      </c>
      <c r="V4" s="153"/>
      <c r="W4" s="154">
        <v>1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"&amp;$S$4&amp;"  năm  "&amp;$Q$4)</f>
        <v>Ngày  25  tháng  4  năm  2011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">
        <v>146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C01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147</v>
      </c>
      <c r="M8" s="138" t="str">
        <f>IF($U$4="T","1111",IF($U$4="C",IF(ISNA(VLOOKUP($M$7,TM,11,0)),"",VLOOKUP($M$7,TM,10,0)),""))</f>
        <v>3388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148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Cty TNHH Hải Sản An Lạc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Trả tiền mượn vốn - An Lạc LA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163</v>
      </c>
      <c r="D13" s="142">
        <f ca="1">SUMIF(TM,$M$7,TH)</f>
        <v>30000000</v>
      </c>
      <c r="E13" s="105" t="s">
        <v>149</v>
      </c>
      <c r="F13" s="142"/>
      <c r="G13" s="142"/>
      <c r="P13" s="105"/>
    </row>
    <row r="14" spans="1:23">
      <c r="C14" s="105" t="str">
        <f ca="1">"Viết bằng chữ: " &amp;[2]!VND('IN - TC'!D13, TRUE)</f>
        <v>Viết bằng chữ: Ba mươi triệu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                       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58" t="str">
        <f>H5</f>
        <v>Ngày  25  tháng  4  năm  2011</v>
      </c>
      <c r="N16" s="144"/>
      <c r="O16" s="144"/>
      <c r="P16" s="105"/>
    </row>
    <row r="17" spans="1:23">
      <c r="C17" s="145" t="s">
        <v>150</v>
      </c>
      <c r="D17" s="146"/>
      <c r="E17" s="145" t="s">
        <v>14</v>
      </c>
      <c r="F17" s="146"/>
      <c r="G17" s="146"/>
      <c r="H17" s="145" t="str">
        <f>IF($U$4="C","Thủ quỹ","Người nộp tiền")</f>
        <v>Thủ quỹ</v>
      </c>
      <c r="J17" s="145" t="s">
        <v>151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152</v>
      </c>
      <c r="E18" s="149" t="s">
        <v>153</v>
      </c>
      <c r="H18" s="149" t="s">
        <v>153</v>
      </c>
      <c r="I18" s="146"/>
      <c r="J18" s="149" t="s">
        <v>153</v>
      </c>
      <c r="L18" s="146"/>
      <c r="M18" s="149" t="s">
        <v>153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I22" s="112"/>
      <c r="P22" s="105"/>
    </row>
    <row r="23" spans="1:23">
      <c r="P23" s="105"/>
    </row>
    <row r="24" spans="1:23">
      <c r="B24" s="105" t="s">
        <v>154</v>
      </c>
      <c r="P24" s="105"/>
    </row>
    <row r="25" spans="1:23">
      <c r="B25" s="140"/>
      <c r="C25" s="140" t="s">
        <v>155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05"/>
    </row>
    <row r="26" spans="1:23">
      <c r="B26" s="140"/>
      <c r="C26" s="140" t="s">
        <v>156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45" spans="5:5">
      <c r="E45" s="150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37"/>
  <sheetViews>
    <sheetView topLeftCell="A8" zoomScale="90" workbookViewId="0">
      <pane ySplit="4" topLeftCell="A12" activePane="bottomLeft" state="frozen"/>
      <selection activeCell="B1" sqref="B1:B2"/>
      <selection pane="bottomLeft" activeCell="B29" sqref="B29"/>
    </sheetView>
  </sheetViews>
  <sheetFormatPr defaultRowHeight="15"/>
  <cols>
    <col min="1" max="1" width="10.7109375" style="161" customWidth="1"/>
    <col min="2" max="2" width="11.5703125" style="161" customWidth="1"/>
    <col min="3" max="4" width="7.85546875" style="161" customWidth="1"/>
    <col min="5" max="5" width="34.5703125" style="161" customWidth="1"/>
    <col min="6" max="6" width="6.85546875" style="161" customWidth="1"/>
    <col min="7" max="7" width="16" style="161" customWidth="1"/>
    <col min="8" max="8" width="16.28515625" style="161" customWidth="1"/>
    <col min="9" max="9" width="15.85546875" style="161" customWidth="1"/>
    <col min="10" max="10" width="8.42578125" style="161" customWidth="1"/>
    <col min="11" max="11" width="2.140625" style="161" customWidth="1"/>
    <col min="12" max="12" width="10" style="161" customWidth="1"/>
    <col min="13" max="13" width="3.28515625" style="161" hidden="1" customWidth="1"/>
    <col min="14" max="15" width="5" style="161" hidden="1" customWidth="1"/>
    <col min="16" max="16" width="9.140625" style="161" hidden="1" customWidth="1"/>
    <col min="17" max="16384" width="9.140625" style="161"/>
  </cols>
  <sheetData>
    <row r="1" spans="1:15" s="3" customFormat="1" ht="16.5" customHeight="1">
      <c r="A1" s="188" t="s">
        <v>157</v>
      </c>
      <c r="B1" s="2"/>
      <c r="C1" s="2"/>
      <c r="D1" s="2"/>
      <c r="E1" s="2"/>
      <c r="G1" s="404" t="s">
        <v>164</v>
      </c>
      <c r="H1" s="404"/>
      <c r="I1" s="404"/>
      <c r="J1" s="404"/>
    </row>
    <row r="2" spans="1:15" s="3" customFormat="1" ht="16.5" customHeight="1">
      <c r="A2" s="140" t="s">
        <v>158</v>
      </c>
      <c r="B2" s="16"/>
      <c r="C2" s="16"/>
      <c r="D2" s="16"/>
      <c r="E2" s="16"/>
      <c r="G2" s="405" t="s">
        <v>165</v>
      </c>
      <c r="H2" s="405"/>
      <c r="I2" s="405"/>
      <c r="J2" s="405"/>
    </row>
    <row r="3" spans="1:15" s="3" customFormat="1" ht="16.5" customHeight="1">
      <c r="A3" s="4"/>
      <c r="B3" s="16"/>
      <c r="C3" s="159"/>
      <c r="D3" s="159"/>
      <c r="E3" s="16"/>
      <c r="G3" s="405"/>
      <c r="H3" s="405"/>
      <c r="I3" s="405"/>
      <c r="J3" s="405"/>
    </row>
    <row r="4" spans="1:15" s="3" customFormat="1" ht="6.75" customHeight="1">
      <c r="A4" s="16"/>
      <c r="B4" s="16"/>
      <c r="C4" s="16"/>
      <c r="D4" s="16"/>
      <c r="E4" s="16"/>
      <c r="G4" s="160"/>
      <c r="H4" s="160"/>
      <c r="I4" s="160"/>
      <c r="J4" s="160"/>
    </row>
    <row r="5" spans="1:15" ht="24.75" customHeight="1">
      <c r="A5" s="434" t="s">
        <v>166</v>
      </c>
      <c r="B5" s="434"/>
      <c r="C5" s="434"/>
      <c r="D5" s="434"/>
      <c r="E5" s="434"/>
      <c r="F5" s="434"/>
      <c r="G5" s="434"/>
      <c r="H5" s="434"/>
      <c r="I5" s="434"/>
      <c r="J5" s="434"/>
    </row>
    <row r="6" spans="1:15">
      <c r="A6" s="430" t="s">
        <v>167</v>
      </c>
      <c r="B6" s="430"/>
      <c r="C6" s="430"/>
      <c r="D6" s="430"/>
      <c r="E6" s="430"/>
      <c r="F6" s="430"/>
      <c r="G6" s="430"/>
      <c r="H6" s="430"/>
      <c r="I6" s="430"/>
      <c r="J6" s="430"/>
    </row>
    <row r="7" spans="1:15">
      <c r="A7" s="430" t="s">
        <v>168</v>
      </c>
      <c r="B7" s="430"/>
      <c r="C7" s="430"/>
      <c r="D7" s="430"/>
      <c r="E7" s="430"/>
      <c r="F7" s="430"/>
      <c r="G7" s="430"/>
      <c r="H7" s="430"/>
      <c r="I7" s="430"/>
      <c r="J7" s="430"/>
    </row>
    <row r="8" spans="1:15">
      <c r="A8" s="162"/>
      <c r="I8" s="162" t="s">
        <v>169</v>
      </c>
    </row>
    <row r="9" spans="1:15" ht="27.75" customHeight="1" thickBot="1">
      <c r="A9" s="431" t="s">
        <v>28</v>
      </c>
      <c r="B9" s="431" t="s">
        <v>170</v>
      </c>
      <c r="C9" s="433" t="s">
        <v>171</v>
      </c>
      <c r="D9" s="433"/>
      <c r="E9" s="433" t="s">
        <v>0</v>
      </c>
      <c r="F9" s="431" t="s">
        <v>18</v>
      </c>
      <c r="G9" s="433" t="s">
        <v>29</v>
      </c>
      <c r="H9" s="433"/>
      <c r="I9" s="433" t="s">
        <v>172</v>
      </c>
      <c r="J9" s="433" t="s">
        <v>173</v>
      </c>
      <c r="L9" s="189"/>
      <c r="N9" s="430" t="s">
        <v>183</v>
      </c>
      <c r="O9" s="430"/>
    </row>
    <row r="10" spans="1:15" ht="24" customHeight="1" thickBot="1">
      <c r="A10" s="432"/>
      <c r="B10" s="432"/>
      <c r="C10" s="163" t="s">
        <v>174</v>
      </c>
      <c r="D10" s="163" t="s">
        <v>175</v>
      </c>
      <c r="E10" s="433"/>
      <c r="F10" s="432"/>
      <c r="G10" s="163" t="s">
        <v>30</v>
      </c>
      <c r="H10" s="163" t="s">
        <v>31</v>
      </c>
      <c r="I10" s="433"/>
      <c r="J10" s="433"/>
      <c r="L10" s="238" t="s">
        <v>280</v>
      </c>
      <c r="N10" s="239">
        <f>IF(L10="Quý I",1,IF(L10="Quý II",4,IF(L10="Quý III",7,IF(L10="Quý IV",10,""))))</f>
        <v>1</v>
      </c>
      <c r="O10" s="240">
        <f>IF(L10="Quý I",3,IF(L10="Quý II",6,IF(L10="Quý III",9,IF(L10="Quý IV",12,""))))</f>
        <v>3</v>
      </c>
    </row>
    <row r="11" spans="1:15" s="164" customFormat="1" ht="11.25" customHeight="1">
      <c r="A11" s="165" t="s">
        <v>2</v>
      </c>
      <c r="B11" s="165" t="s">
        <v>3</v>
      </c>
      <c r="C11" s="165" t="s">
        <v>4</v>
      </c>
      <c r="D11" s="165" t="s">
        <v>5</v>
      </c>
      <c r="E11" s="165" t="s">
        <v>6</v>
      </c>
      <c r="F11" s="165" t="s">
        <v>176</v>
      </c>
      <c r="G11" s="165">
        <v>1</v>
      </c>
      <c r="H11" s="165">
        <v>2</v>
      </c>
      <c r="I11" s="165">
        <v>3</v>
      </c>
      <c r="J11" s="165" t="s">
        <v>177</v>
      </c>
    </row>
    <row r="12" spans="1:15" s="166" customFormat="1" ht="17.25" customHeight="1">
      <c r="A12" s="167"/>
      <c r="B12" s="167"/>
      <c r="C12" s="167"/>
      <c r="D12" s="167"/>
      <c r="E12" s="167" t="s">
        <v>178</v>
      </c>
      <c r="F12" s="168"/>
      <c r="G12" s="169"/>
      <c r="H12" s="167"/>
      <c r="I12" s="190">
        <f>IF($L$10="All",CDPS!$C$10,CDPS!$C$10+SUMIF(_N111,"x",TH)-SUMIF(_C111,"x",TH))</f>
        <v>3994790000</v>
      </c>
      <c r="J12" s="167"/>
    </row>
    <row r="13" spans="1:15" ht="17.25" customHeight="1">
      <c r="A13" s="170">
        <f ca="1">IF(ROWS($1:1)&gt;COUNT(Dong1),"",OFFSET(TH!C$1,SMALL(Dong1,ROWS($1:1)),))</f>
        <v>40570</v>
      </c>
      <c r="B13" s="170">
        <f ca="1">IF(ROWS($1:1)&gt;COUNT(Dong1),"",OFFSET(TH!E$1,SMALL(Dong1,ROWS($1:1)),))</f>
        <v>40570</v>
      </c>
      <c r="C13" s="171" t="str">
        <f ca="1">IF(ROWS($1:1)&gt;COUNT(Dong1),"",IF(OFFSET(TH!J$1,SMALL(Dong1,ROWS($1:1)),)="1111",OFFSET(TH!D$1,SMALL(Dong1,ROWS($1:1)),),""))</f>
        <v/>
      </c>
      <c r="D13" s="172" t="str">
        <f ca="1">IF(ROWS($1:1)&gt;COUNT(Dong1),"",IF(OFFSET(TH!K$1,SMALL(Dong1,ROWS($1:1)),)="1111",OFFSET(TH!D$1,SMALL(Dong1,ROWS($1:1)),),""))</f>
        <v>C01</v>
      </c>
      <c r="E13" s="173" t="str">
        <f ca="1">IF(ROWS($1:1)&gt;COUNT(Dong1),"",OFFSET(TH!F$1,SMALL(Dong1,ROWS($1:1)),))</f>
        <v>Nộp tiền mặt vào tài khoản ngân hàng</v>
      </c>
      <c r="F13" s="174" t="str">
        <f ca="1">IF(ROWS($1:1)&gt;COUNT(Dong1),"",IF(OFFSET(TH!K$1,SMALL(Dong1,ROWS($1:1)),)="1111",OFFSET(TH!J$1,SMALL(Dong1,ROWS($1:1)),),OFFSET(TH!K$1,SMALL(Dong1,ROWS($1:1)),)))</f>
        <v>1121</v>
      </c>
      <c r="G13" s="175">
        <f ca="1">IF(ROWS($1:1)&gt;COUNT(Dong1),"",IF(OFFSET(TH!J$1,SMALL(Dong1,ROWS($1:1)),)="1111",OFFSET(TH!I$1,SMALL(Dong1,ROWS($1:1)),),0))</f>
        <v>0</v>
      </c>
      <c r="H13" s="173">
        <f ca="1">IF(ROWS($1:1)&gt;COUNT(Dong1),"",IF(OFFSET(TH!K$1,SMALL(Dong1,ROWS($1:1)),)="1111",OFFSET(TH!I$1,SMALL(Dong1,ROWS($1:1)),),0))</f>
        <v>100000000</v>
      </c>
      <c r="I13" s="171">
        <f t="shared" ref="I13:I20" ca="1" si="0">IF(E13&lt;&gt;"",I12+G13-H13,0)</f>
        <v>3894790000</v>
      </c>
      <c r="J13" s="176"/>
    </row>
    <row r="14" spans="1:15" ht="17.25" customHeight="1">
      <c r="A14" s="170">
        <f ca="1">IF(ROWS($1:2)&gt;COUNT(Dong1),"",OFFSET(TH!C$1,SMALL(Dong1,ROWS($1:2)),))</f>
        <v>40570</v>
      </c>
      <c r="B14" s="170">
        <f ca="1">IF(ROWS($1:2)&gt;COUNT(Dong1),"",OFFSET(TH!E$1,SMALL(Dong1,ROWS($1:2)),))</f>
        <v>40570</v>
      </c>
      <c r="C14" s="171" t="str">
        <f ca="1">IF(ROWS($1:2)&gt;COUNT(Dong1),"",IF(OFFSET(TH!J$1,SMALL(Dong1,ROWS($1:2)),)="1111",OFFSET(TH!D$1,SMALL(Dong1,ROWS($1:2)),),""))</f>
        <v/>
      </c>
      <c r="D14" s="172" t="str">
        <f ca="1">IF(ROWS($1:2)&gt;COUNT(Dong1),"",IF(OFFSET(TH!K$1,SMALL(Dong1,ROWS($1:2)),)="1111",OFFSET(TH!D$1,SMALL(Dong1,ROWS($1:2)),),""))</f>
        <v>C01</v>
      </c>
      <c r="E14" s="173" t="str">
        <f ca="1">IF(ROWS($1:2)&gt;COUNT(Dong1),"",OFFSET(TH!F$1,SMALL(Dong1,ROWS($1:2)),))</f>
        <v>Nộp tiền mặt vào tài khoản ngân hàng</v>
      </c>
      <c r="F14" s="174" t="str">
        <f ca="1">IF(ROWS($1:2)&gt;COUNT(Dong1),"",IF(OFFSET(TH!K$1,SMALL(Dong1,ROWS($1:2)),)="1111",OFFSET(TH!J$1,SMALL(Dong1,ROWS($1:2)),),OFFSET(TH!K$1,SMALL(Dong1,ROWS($1:2)),)))</f>
        <v>1121</v>
      </c>
      <c r="G14" s="175">
        <f ca="1">IF(ROWS($1:2)&gt;COUNT(Dong1),"",IF(OFFSET(TH!J$1,SMALL(Dong1,ROWS($1:2)),)="1111",OFFSET(TH!I$1,SMALL(Dong1,ROWS($1:2)),),0))</f>
        <v>0</v>
      </c>
      <c r="H14" s="173">
        <f ca="1">IF(ROWS($1:2)&gt;COUNT(Dong1),"",IF(OFFSET(TH!K$1,SMALL(Dong1,ROWS($1:2)),)="1111",OFFSET(TH!I$1,SMALL(Dong1,ROWS($1:2)),),0))</f>
        <v>100000</v>
      </c>
      <c r="I14" s="171">
        <f t="shared" ca="1" si="0"/>
        <v>3894690000</v>
      </c>
      <c r="J14" s="176"/>
    </row>
    <row r="15" spans="1:15" ht="17.25" customHeight="1">
      <c r="A15" s="170">
        <f ca="1">IF(ROWS($1:3)&gt;COUNT(Dong1),"",OFFSET(TH!C$1,SMALL(Dong1,ROWS($1:3)),))</f>
        <v>40572</v>
      </c>
      <c r="B15" s="170">
        <f ca="1">IF(ROWS($1:3)&gt;COUNT(Dong1),"",OFFSET(TH!E$1,SMALL(Dong1,ROWS($1:3)),))</f>
        <v>40570</v>
      </c>
      <c r="C15" s="171" t="str">
        <f ca="1">IF(ROWS($1:3)&gt;COUNT(Dong1),"",IF(OFFSET(TH!J$1,SMALL(Dong1,ROWS($1:3)),)="1111",OFFSET(TH!D$1,SMALL(Dong1,ROWS($1:3)),),""))</f>
        <v/>
      </c>
      <c r="D15" s="172" t="str">
        <f ca="1">IF(ROWS($1:3)&gt;COUNT(Dong1),"",IF(OFFSET(TH!K$1,SMALL(Dong1,ROWS($1:3)),)="1111",OFFSET(TH!D$1,SMALL(Dong1,ROWS($1:3)),),""))</f>
        <v>C02</v>
      </c>
      <c r="E15" s="173" t="str">
        <f ca="1">IF(ROWS($1:3)&gt;COUNT(Dong1),"",OFFSET(TH!F$1,SMALL(Dong1,ROWS($1:3)),))</f>
        <v>Trả tiền mượn vốn - An Lạc</v>
      </c>
      <c r="F15" s="174" t="str">
        <f ca="1">IF(ROWS($1:3)&gt;COUNT(Dong1),"",IF(OFFSET(TH!K$1,SMALL(Dong1,ROWS($1:3)),)="1111",OFFSET(TH!J$1,SMALL(Dong1,ROWS($1:3)),),OFFSET(TH!K$1,SMALL(Dong1,ROWS($1:3)),)))</f>
        <v>3388</v>
      </c>
      <c r="G15" s="175">
        <f ca="1">IF(ROWS($1:3)&gt;COUNT(Dong1),"",IF(OFFSET(TH!J$1,SMALL(Dong1,ROWS($1:3)),)="1111",OFFSET(TH!I$1,SMALL(Dong1,ROWS($1:3)),),0))</f>
        <v>0</v>
      </c>
      <c r="H15" s="173">
        <f ca="1">IF(ROWS($1:3)&gt;COUNT(Dong1),"",IF(OFFSET(TH!K$1,SMALL(Dong1,ROWS($1:3)),)="1111",OFFSET(TH!I$1,SMALL(Dong1,ROWS($1:3)),),0))</f>
        <v>2000000</v>
      </c>
      <c r="I15" s="171">
        <f t="shared" ca="1" si="0"/>
        <v>3892690000</v>
      </c>
      <c r="J15" s="176"/>
    </row>
    <row r="16" spans="1:15" ht="17.25" customHeight="1">
      <c r="A16" s="170">
        <f ca="1">IF(ROWS($1:4)&gt;COUNT(Dong1),"",OFFSET(TH!C$1,SMALL(Dong1,ROWS($1:4)),))</f>
        <v>40588</v>
      </c>
      <c r="B16" s="170">
        <f ca="1">IF(ROWS($1:4)&gt;COUNT(Dong1),"",OFFSET(TH!E$1,SMALL(Dong1,ROWS($1:4)),))</f>
        <v>40588</v>
      </c>
      <c r="C16" s="171" t="str">
        <f ca="1">IF(ROWS($1:4)&gt;COUNT(Dong1),"",IF(OFFSET(TH!J$1,SMALL(Dong1,ROWS($1:4)),)="1111",OFFSET(TH!D$1,SMALL(Dong1,ROWS($1:4)),),""))</f>
        <v/>
      </c>
      <c r="D16" s="172" t="str">
        <f ca="1">IF(ROWS($1:4)&gt;COUNT(Dong1),"",IF(OFFSET(TH!K$1,SMALL(Dong1,ROWS($1:4)),)="1111",OFFSET(TH!D$1,SMALL(Dong1,ROWS($1:4)),),""))</f>
        <v>C03</v>
      </c>
      <c r="E16" s="173" t="str">
        <f ca="1">IF(ROWS($1:4)&gt;COUNT(Dong1),"",OFFSET(TH!F$1,SMALL(Dong1,ROWS($1:4)),))</f>
        <v>Trả tiền mượn vốn - An Lạc LA</v>
      </c>
      <c r="F16" s="174" t="str">
        <f ca="1">IF(ROWS($1:4)&gt;COUNT(Dong1),"",IF(OFFSET(TH!K$1,SMALL(Dong1,ROWS($1:4)),)="1111",OFFSET(TH!J$1,SMALL(Dong1,ROWS($1:4)),),OFFSET(TH!K$1,SMALL(Dong1,ROWS($1:4)),)))</f>
        <v>3388</v>
      </c>
      <c r="G16" s="175">
        <f ca="1">IF(ROWS($1:4)&gt;COUNT(Dong1),"",IF(OFFSET(TH!J$1,SMALL(Dong1,ROWS($1:4)),)="1111",OFFSET(TH!I$1,SMALL(Dong1,ROWS($1:4)),),0))</f>
        <v>0</v>
      </c>
      <c r="H16" s="173">
        <f ca="1">IF(ROWS($1:4)&gt;COUNT(Dong1),"",IF(OFFSET(TH!K$1,SMALL(Dong1,ROWS($1:4)),)="1111",OFFSET(TH!I$1,SMALL(Dong1,ROWS($1:4)),),0))</f>
        <v>50000000</v>
      </c>
      <c r="I16" s="171">
        <f t="shared" ca="1" si="0"/>
        <v>3842690000</v>
      </c>
      <c r="J16" s="176"/>
    </row>
    <row r="17" spans="1:10" ht="17.25" customHeight="1">
      <c r="A17" s="170">
        <f ca="1">IF(ROWS($1:5)&gt;COUNT(Dong1),"",OFFSET(TH!C$1,SMALL(Dong1,ROWS($1:5)),))</f>
        <v>40605</v>
      </c>
      <c r="B17" s="170">
        <f ca="1">IF(ROWS($1:5)&gt;COUNT(Dong1),"",OFFSET(TH!E$1,SMALL(Dong1,ROWS($1:5)),))</f>
        <v>40605</v>
      </c>
      <c r="C17" s="171" t="str">
        <f ca="1">IF(ROWS($1:5)&gt;COUNT(Dong1),"",IF(OFFSET(TH!J$1,SMALL(Dong1,ROWS($1:5)),)="1111",OFFSET(TH!D$1,SMALL(Dong1,ROWS($1:5)),),""))</f>
        <v/>
      </c>
      <c r="D17" s="172" t="str">
        <f ca="1">IF(ROWS($1:5)&gt;COUNT(Dong1),"",IF(OFFSET(TH!K$1,SMALL(Dong1,ROWS($1:5)),)="1111",OFFSET(TH!D$1,SMALL(Dong1,ROWS($1:5)),),""))</f>
        <v>C04</v>
      </c>
      <c r="E17" s="173" t="str">
        <f ca="1">IF(ROWS($1:5)&gt;COUNT(Dong1),"",OFFSET(TH!F$1,SMALL(Dong1,ROWS($1:5)),))</f>
        <v>Trả tiền mượn vốn - An Lạc</v>
      </c>
      <c r="F17" s="174" t="str">
        <f ca="1">IF(ROWS($1:5)&gt;COUNT(Dong1),"",IF(OFFSET(TH!K$1,SMALL(Dong1,ROWS($1:5)),)="1111",OFFSET(TH!J$1,SMALL(Dong1,ROWS($1:5)),),OFFSET(TH!K$1,SMALL(Dong1,ROWS($1:5)),)))</f>
        <v>3388</v>
      </c>
      <c r="G17" s="175">
        <f ca="1">IF(ROWS($1:5)&gt;COUNT(Dong1),"",IF(OFFSET(TH!J$1,SMALL(Dong1,ROWS($1:5)),)="1111",OFFSET(TH!I$1,SMALL(Dong1,ROWS($1:5)),),0))</f>
        <v>0</v>
      </c>
      <c r="H17" s="173">
        <f ca="1">IF(ROWS($1:5)&gt;COUNT(Dong1),"",IF(OFFSET(TH!K$1,SMALL(Dong1,ROWS($1:5)),)="1111",OFFSET(TH!I$1,SMALL(Dong1,ROWS($1:5)),),0))</f>
        <v>100000000</v>
      </c>
      <c r="I17" s="171">
        <f t="shared" ca="1" si="0"/>
        <v>3742690000</v>
      </c>
      <c r="J17" s="176"/>
    </row>
    <row r="18" spans="1:10" ht="17.25" customHeight="1">
      <c r="A18" s="170">
        <f ca="1">IF(ROWS($1:6)&gt;COUNT(Dong1),"",OFFSET(TH!C$1,SMALL(Dong1,ROWS($1:6)),))</f>
        <v>40623</v>
      </c>
      <c r="B18" s="170">
        <f ca="1">IF(ROWS($1:6)&gt;COUNT(Dong1),"",OFFSET(TH!E$1,SMALL(Dong1,ROWS($1:6)),))</f>
        <v>40630</v>
      </c>
      <c r="C18" s="171" t="str">
        <f ca="1">IF(ROWS($1:6)&gt;COUNT(Dong1),"",IF(OFFSET(TH!J$1,SMALL(Dong1,ROWS($1:6)),)="1111",OFFSET(TH!D$1,SMALL(Dong1,ROWS($1:6)),),""))</f>
        <v/>
      </c>
      <c r="D18" s="172" t="str">
        <f ca="1">IF(ROWS($1:6)&gt;COUNT(Dong1),"",IF(OFFSET(TH!K$1,SMALL(Dong1,ROWS($1:6)),)="1111",OFFSET(TH!D$1,SMALL(Dong1,ROWS($1:6)),),""))</f>
        <v>C05</v>
      </c>
      <c r="E18" s="173" t="str">
        <f ca="1">IF(ROWS($1:6)&gt;COUNT(Dong1),"",OFFSET(TH!F$1,SMALL(Dong1,ROWS($1:6)),))</f>
        <v>Trả tiền mượn vốn - An Lạc LA</v>
      </c>
      <c r="F18" s="174" t="str">
        <f ca="1">IF(ROWS($1:6)&gt;COUNT(Dong1),"",IF(OFFSET(TH!K$1,SMALL(Dong1,ROWS($1:6)),)="1111",OFFSET(TH!J$1,SMALL(Dong1,ROWS($1:6)),),OFFSET(TH!K$1,SMALL(Dong1,ROWS($1:6)),)))</f>
        <v>3388</v>
      </c>
      <c r="G18" s="175">
        <f ca="1">IF(ROWS($1:6)&gt;COUNT(Dong1),"",IF(OFFSET(TH!J$1,SMALL(Dong1,ROWS($1:6)),)="1111",OFFSET(TH!I$1,SMALL(Dong1,ROWS($1:6)),),0))</f>
        <v>0</v>
      </c>
      <c r="H18" s="173">
        <f ca="1">IF(ROWS($1:6)&gt;COUNT(Dong1),"",IF(OFFSET(TH!K$1,SMALL(Dong1,ROWS($1:6)),)="1111",OFFSET(TH!I$1,SMALL(Dong1,ROWS($1:6)),),0))</f>
        <v>232500000</v>
      </c>
      <c r="I18" s="171">
        <f t="shared" ca="1" si="0"/>
        <v>3510190000</v>
      </c>
      <c r="J18" s="176"/>
    </row>
    <row r="19" spans="1:10" ht="17.25" customHeight="1">
      <c r="A19" s="170">
        <f ca="1">IF(ROWS($1:7)&gt;COUNT(Dong1),"",OFFSET(TH!C$1,SMALL(Dong1,ROWS($1:7)),))</f>
        <v>40630</v>
      </c>
      <c r="B19" s="170">
        <f ca="1">IF(ROWS($1:7)&gt;COUNT(Dong1),"",OFFSET(TH!E$1,SMALL(Dong1,ROWS($1:7)),))</f>
        <v>40630</v>
      </c>
      <c r="C19" s="171" t="str">
        <f ca="1">IF(ROWS($1:7)&gt;COUNT(Dong1),"",IF(OFFSET(TH!J$1,SMALL(Dong1,ROWS($1:7)),)="1111",OFFSET(TH!D$1,SMALL(Dong1,ROWS($1:7)),),""))</f>
        <v/>
      </c>
      <c r="D19" s="172" t="str">
        <f ca="1">IF(ROWS($1:7)&gt;COUNT(Dong1),"",IF(OFFSET(TH!K$1,SMALL(Dong1,ROWS($1:7)),)="1111",OFFSET(TH!D$1,SMALL(Dong1,ROWS($1:7)),),""))</f>
        <v>C06</v>
      </c>
      <c r="E19" s="173" t="str">
        <f ca="1">IF(ROWS($1:7)&gt;COUNT(Dong1),"",OFFSET(TH!F$1,SMALL(Dong1,ROWS($1:7)),))</f>
        <v>Trả tiền mượn vốn - An Lạc</v>
      </c>
      <c r="F19" s="174" t="str">
        <f ca="1">IF(ROWS($1:7)&gt;COUNT(Dong1),"",IF(OFFSET(TH!K$1,SMALL(Dong1,ROWS($1:7)),)="1111",OFFSET(TH!J$1,SMALL(Dong1,ROWS($1:7)),),OFFSET(TH!K$1,SMALL(Dong1,ROWS($1:7)),)))</f>
        <v>3388</v>
      </c>
      <c r="G19" s="175">
        <f ca="1">IF(ROWS($1:7)&gt;COUNT(Dong1),"",IF(OFFSET(TH!J$1,SMALL(Dong1,ROWS($1:7)),)="1111",OFFSET(TH!I$1,SMALL(Dong1,ROWS($1:7)),),0))</f>
        <v>0</v>
      </c>
      <c r="H19" s="173">
        <f ca="1">IF(ROWS($1:7)&gt;COUNT(Dong1),"",IF(OFFSET(TH!K$1,SMALL(Dong1,ROWS($1:7)),)="1111",OFFSET(TH!I$1,SMALL(Dong1,ROWS($1:7)),),0))</f>
        <v>100000000</v>
      </c>
      <c r="I19" s="171">
        <f t="shared" ca="1" si="0"/>
        <v>3410190000</v>
      </c>
      <c r="J19" s="176"/>
    </row>
    <row r="20" spans="1:10" ht="17.25" customHeight="1">
      <c r="A20" s="170" t="str">
        <f ca="1">IF(ROWS($1:8)&gt;COUNT(Dong1),"",OFFSET(TH!C$1,SMALL(Dong1,ROWS($1:8)),))</f>
        <v/>
      </c>
      <c r="B20" s="170" t="str">
        <f ca="1">IF(ROWS($1:8)&gt;COUNT(Dong1),"",OFFSET(TH!E$1,SMALL(Dong1,ROWS($1:8)),))</f>
        <v/>
      </c>
      <c r="C20" s="171" t="str">
        <f ca="1">IF(ROWS($1:8)&gt;COUNT(Dong1),"",IF(OFFSET(TH!J$1,SMALL(Dong1,ROWS($1:8)),)="1111",OFFSET(TH!D$1,SMALL(Dong1,ROWS($1:8)),),""))</f>
        <v/>
      </c>
      <c r="D20" s="172" t="str">
        <f ca="1">IF(ROWS($1:8)&gt;COUNT(Dong1),"",IF(OFFSET(TH!K$1,SMALL(Dong1,ROWS($1:8)),)="1111",OFFSET(TH!D$1,SMALL(Dong1,ROWS($1:8)),),""))</f>
        <v/>
      </c>
      <c r="E20" s="173" t="str">
        <f ca="1">IF(ROWS($1:8)&gt;COUNT(Dong1),"",OFFSET(TH!F$1,SMALL(Dong1,ROWS($1:8)),))</f>
        <v/>
      </c>
      <c r="F20" s="174" t="str">
        <f ca="1">IF(ROWS($1:8)&gt;COUNT(Dong1),"",IF(OFFSET(TH!K$1,SMALL(Dong1,ROWS($1:8)),)="1111",OFFSET(TH!J$1,SMALL(Dong1,ROWS($1:8)),),OFFSET(TH!K$1,SMALL(Dong1,ROWS($1:8)),)))</f>
        <v/>
      </c>
      <c r="G20" s="175" t="str">
        <f ca="1">IF(ROWS($1:8)&gt;COUNT(Dong1),"",IF(OFFSET(TH!J$1,SMALL(Dong1,ROWS($1:8)),)="1111",OFFSET(TH!I$1,SMALL(Dong1,ROWS($1:8)),),0))</f>
        <v/>
      </c>
      <c r="H20" s="173" t="str">
        <f ca="1">IF(ROWS($1:8)&gt;COUNT(Dong1),"",IF(OFFSET(TH!K$1,SMALL(Dong1,ROWS($1:8)),)="1111",OFFSET(TH!I$1,SMALL(Dong1,ROWS($1:8)),),0))</f>
        <v/>
      </c>
      <c r="I20" s="171">
        <f t="shared" ca="1" si="0"/>
        <v>0</v>
      </c>
      <c r="J20" s="176"/>
    </row>
    <row r="21" spans="1:10" ht="17.25" customHeight="1">
      <c r="A21" s="177"/>
      <c r="B21" s="176"/>
      <c r="C21" s="176"/>
      <c r="D21" s="176"/>
      <c r="E21" s="176"/>
      <c r="F21" s="178"/>
      <c r="G21" s="176"/>
      <c r="H21" s="176"/>
      <c r="I21" s="171"/>
      <c r="J21" s="176"/>
    </row>
    <row r="22" spans="1:10" s="166" customFormat="1" ht="17.25" customHeight="1">
      <c r="A22" s="179"/>
      <c r="B22" s="179"/>
      <c r="C22" s="179"/>
      <c r="D22" s="179"/>
      <c r="E22" s="179" t="s">
        <v>179</v>
      </c>
      <c r="F22" s="180" t="s">
        <v>25</v>
      </c>
      <c r="G22" s="179">
        <f ca="1">SUM(G13:G21)</f>
        <v>0</v>
      </c>
      <c r="H22" s="179">
        <f ca="1">SUM(H13:H21)</f>
        <v>584600000</v>
      </c>
      <c r="I22" s="180" t="s">
        <v>25</v>
      </c>
      <c r="J22" s="180" t="s">
        <v>25</v>
      </c>
    </row>
    <row r="23" spans="1:10" s="166" customFormat="1" ht="17.25" customHeight="1">
      <c r="A23" s="181"/>
      <c r="B23" s="181"/>
      <c r="C23" s="181"/>
      <c r="D23" s="181"/>
      <c r="E23" s="181" t="s">
        <v>180</v>
      </c>
      <c r="F23" s="182" t="s">
        <v>25</v>
      </c>
      <c r="G23" s="182" t="s">
        <v>25</v>
      </c>
      <c r="H23" s="182" t="s">
        <v>25</v>
      </c>
      <c r="I23" s="183">
        <f ca="1">I12+G22-H22</f>
        <v>3410190000</v>
      </c>
      <c r="J23" s="182" t="s">
        <v>25</v>
      </c>
    </row>
    <row r="25" spans="1:10">
      <c r="A25" s="184" t="s">
        <v>181</v>
      </c>
    </row>
    <row r="26" spans="1:10">
      <c r="A26" s="245" t="str">
        <f ca="1">"- Ngày mở sổ: "&amp;DAY($A$13)&amp;"/"&amp;MONTH($A$13)&amp;"/ 2015"</f>
        <v>- Ngày mở sổ: 27/1/ 2015</v>
      </c>
    </row>
    <row r="27" spans="1:10">
      <c r="I27" s="185" t="str">
        <f>"Ngày "&amp;IF(OR($O$10=3,$O$10=12),"31","30")&amp;" tháng "&amp;$O$10&amp;"  năm  2015 "</f>
        <v xml:space="preserve">Ngày 31 tháng 3  năm  2015 </v>
      </c>
    </row>
    <row r="28" spans="1:10" s="186" customFormat="1" ht="14.25">
      <c r="B28" s="186" t="s">
        <v>13</v>
      </c>
      <c r="E28" s="186" t="s">
        <v>14</v>
      </c>
      <c r="I28" s="186" t="s">
        <v>150</v>
      </c>
    </row>
    <row r="29" spans="1:10" s="187" customFormat="1">
      <c r="B29" s="187" t="s">
        <v>15</v>
      </c>
      <c r="E29" s="187" t="s">
        <v>15</v>
      </c>
      <c r="I29" s="187" t="s">
        <v>182</v>
      </c>
    </row>
    <row r="30" spans="1:10" s="187" customFormat="1"/>
    <row r="34" spans="1:10">
      <c r="E34" s="161">
        <f ca="1">SUMIF($D$13:$D$20,#REF!,H13:H20)</f>
        <v>0</v>
      </c>
    </row>
    <row r="37" spans="1:10">
      <c r="A37" s="161">
        <v>2</v>
      </c>
      <c r="B37" s="161">
        <v>3</v>
      </c>
      <c r="C37" s="161">
        <v>4</v>
      </c>
      <c r="D37" s="161">
        <v>5</v>
      </c>
      <c r="E37" s="161">
        <v>6</v>
      </c>
      <c r="F37" s="161">
        <v>9</v>
      </c>
      <c r="G37" s="161">
        <v>10</v>
      </c>
      <c r="H37" s="161">
        <v>11</v>
      </c>
      <c r="I37" s="161">
        <v>12</v>
      </c>
      <c r="J37" s="161">
        <v>13</v>
      </c>
    </row>
  </sheetData>
  <autoFilter ref="A11:J23">
    <filterColumn colId="6"/>
  </autoFilter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20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56"/>
  <sheetViews>
    <sheetView topLeftCell="A8" workbookViewId="0">
      <pane ySplit="4" topLeftCell="A12" activePane="bottomLeft" state="frozen"/>
      <selection activeCell="A8" sqref="A8"/>
      <selection pane="bottomLeft" activeCell="A49" sqref="A49:XFD75"/>
    </sheetView>
  </sheetViews>
  <sheetFormatPr defaultRowHeight="15.75"/>
  <cols>
    <col min="1" max="1" width="10.7109375" style="235" customWidth="1"/>
    <col min="2" max="2" width="7.28515625" style="236" customWidth="1"/>
    <col min="3" max="3" width="9.7109375" style="235" customWidth="1"/>
    <col min="4" max="4" width="33" style="234" customWidth="1"/>
    <col min="5" max="5" width="35.28515625" style="234" hidden="1" customWidth="1"/>
    <col min="6" max="6" width="6.5703125" style="234" customWidth="1"/>
    <col min="7" max="8" width="14" style="234" customWidth="1"/>
    <col min="9" max="9" width="14.85546875" style="234" customWidth="1"/>
    <col min="10" max="10" width="8.5703125" style="234" customWidth="1"/>
    <col min="11" max="11" width="2.85546875" style="234" customWidth="1"/>
    <col min="12" max="12" width="10.7109375" style="234" bestFit="1" customWidth="1"/>
    <col min="13" max="13" width="4.140625" style="234" hidden="1" customWidth="1"/>
    <col min="14" max="15" width="4.5703125" style="234" hidden="1" customWidth="1"/>
    <col min="16" max="16" width="0" style="234" hidden="1" customWidth="1"/>
    <col min="17" max="16384" width="9.140625" style="234"/>
  </cols>
  <sheetData>
    <row r="1" spans="1:15" s="191" customFormat="1" ht="16.5" customHeight="1">
      <c r="A1" s="188" t="s">
        <v>157</v>
      </c>
      <c r="B1" s="192"/>
      <c r="C1" s="193"/>
      <c r="H1" s="449" t="s">
        <v>187</v>
      </c>
      <c r="I1" s="449"/>
      <c r="J1" s="449"/>
      <c r="K1" s="194"/>
      <c r="L1" s="194"/>
    </row>
    <row r="2" spans="1:15" s="191" customFormat="1" ht="16.5" customHeight="1">
      <c r="A2" s="140" t="s">
        <v>158</v>
      </c>
      <c r="B2" s="237"/>
      <c r="C2" s="237"/>
      <c r="D2" s="237"/>
      <c r="E2" s="195"/>
      <c r="H2" s="450" t="s">
        <v>188</v>
      </c>
      <c r="I2" s="450"/>
      <c r="J2" s="450"/>
      <c r="K2" s="196"/>
      <c r="L2" s="196"/>
    </row>
    <row r="3" spans="1:15" s="191" customFormat="1" ht="16.5" customHeight="1">
      <c r="A3" s="237"/>
      <c r="B3" s="237"/>
      <c r="C3" s="237"/>
      <c r="D3" s="237"/>
      <c r="E3" s="195"/>
      <c r="H3" s="450" t="s">
        <v>189</v>
      </c>
      <c r="I3" s="450"/>
      <c r="J3" s="450"/>
    </row>
    <row r="4" spans="1:15" s="191" customFormat="1" ht="19.5" customHeight="1">
      <c r="A4" s="451" t="s">
        <v>190</v>
      </c>
      <c r="B4" s="451"/>
      <c r="C4" s="451"/>
      <c r="D4" s="451"/>
      <c r="E4" s="451"/>
      <c r="F4" s="451"/>
      <c r="G4" s="451"/>
      <c r="H4" s="451"/>
      <c r="I4" s="451"/>
      <c r="J4" s="451"/>
    </row>
    <row r="5" spans="1:15" s="191" customFormat="1" ht="15">
      <c r="A5" s="439" t="s">
        <v>191</v>
      </c>
      <c r="B5" s="439"/>
      <c r="C5" s="439"/>
      <c r="D5" s="439"/>
      <c r="E5" s="439"/>
      <c r="F5" s="439"/>
      <c r="G5" s="439"/>
      <c r="H5" s="439"/>
      <c r="I5" s="439"/>
      <c r="J5" s="439"/>
    </row>
    <row r="6" spans="1:15" s="191" customFormat="1" ht="15">
      <c r="A6" s="439" t="s">
        <v>199</v>
      </c>
      <c r="B6" s="439"/>
      <c r="C6" s="439"/>
      <c r="D6" s="439"/>
      <c r="E6" s="439"/>
      <c r="F6" s="439"/>
      <c r="G6" s="439"/>
      <c r="H6" s="439"/>
      <c r="I6" s="439"/>
      <c r="J6" s="439"/>
    </row>
    <row r="7" spans="1:15" s="191" customFormat="1" ht="8.25" customHeight="1">
      <c r="A7" s="197"/>
      <c r="B7" s="198"/>
      <c r="C7" s="197"/>
      <c r="D7" s="198"/>
      <c r="E7" s="198"/>
      <c r="F7" s="198"/>
      <c r="G7" s="198"/>
      <c r="H7" s="198"/>
      <c r="I7" s="198"/>
      <c r="J7" s="198"/>
    </row>
    <row r="8" spans="1:15" s="200" customFormat="1" ht="22.5" customHeight="1" thickBot="1">
      <c r="A8" s="440" t="s">
        <v>192</v>
      </c>
      <c r="B8" s="442" t="s">
        <v>1</v>
      </c>
      <c r="C8" s="443"/>
      <c r="D8" s="444" t="s">
        <v>0</v>
      </c>
      <c r="E8" s="199"/>
      <c r="F8" s="446" t="s">
        <v>18</v>
      </c>
      <c r="G8" s="448" t="s">
        <v>193</v>
      </c>
      <c r="H8" s="442"/>
      <c r="I8" s="443"/>
      <c r="J8" s="444" t="s">
        <v>173</v>
      </c>
      <c r="L8" s="189"/>
      <c r="M8" s="161"/>
      <c r="N8" s="430" t="s">
        <v>183</v>
      </c>
      <c r="O8" s="430"/>
    </row>
    <row r="9" spans="1:15" s="200" customFormat="1" ht="22.5" customHeight="1" thickBot="1">
      <c r="A9" s="441"/>
      <c r="B9" s="201" t="s">
        <v>19</v>
      </c>
      <c r="C9" s="202" t="s">
        <v>194</v>
      </c>
      <c r="D9" s="445"/>
      <c r="E9" s="203"/>
      <c r="F9" s="447"/>
      <c r="G9" s="204" t="s">
        <v>195</v>
      </c>
      <c r="H9" s="204" t="s">
        <v>196</v>
      </c>
      <c r="I9" s="199" t="s">
        <v>197</v>
      </c>
      <c r="J9" s="445"/>
      <c r="L9" s="238" t="s">
        <v>280</v>
      </c>
      <c r="M9" s="161"/>
      <c r="N9" s="239">
        <f>IF(L9="Quý I",1,IF(L9="Quý II",4,IF(L9="Quý III",7,IF(L9="Quý IV",10,""))))</f>
        <v>1</v>
      </c>
      <c r="O9" s="240">
        <f>IF(L9="Quý I",3,IF(L9="Quý II",6,IF(L9="Quý III",9,IF(L9="Quý IV",12,""))))</f>
        <v>3</v>
      </c>
    </row>
    <row r="10" spans="1:15" s="207" customFormat="1" ht="12">
      <c r="A10" s="205" t="s">
        <v>2</v>
      </c>
      <c r="B10" s="206" t="s">
        <v>3</v>
      </c>
      <c r="C10" s="205" t="s">
        <v>4</v>
      </c>
      <c r="D10" s="206" t="s">
        <v>5</v>
      </c>
      <c r="E10" s="206"/>
      <c r="F10" s="206" t="s">
        <v>6</v>
      </c>
      <c r="G10" s="206">
        <v>1</v>
      </c>
      <c r="H10" s="206">
        <v>2</v>
      </c>
      <c r="I10" s="206">
        <v>3</v>
      </c>
      <c r="J10" s="206" t="s">
        <v>176</v>
      </c>
    </row>
    <row r="11" spans="1:15" s="212" customFormat="1" ht="18" customHeight="1">
      <c r="A11" s="208"/>
      <c r="B11" s="209"/>
      <c r="C11" s="208"/>
      <c r="D11" s="210" t="s">
        <v>7</v>
      </c>
      <c r="E11" s="210"/>
      <c r="F11" s="210"/>
      <c r="G11" s="211"/>
      <c r="H11" s="210"/>
      <c r="I11" s="211">
        <f>IF($L$9="All",CDPS!$C$12,CDPS!$C$12+SUMIF(_N112,"x",TH)-SUMIF(_C112,"x",TH))</f>
        <v>0</v>
      </c>
      <c r="J11" s="210"/>
    </row>
    <row r="12" spans="1:15" s="200" customFormat="1" ht="18" customHeight="1">
      <c r="A12" s="213">
        <f ca="1">IF(ROWS($1:1)&gt;COUNT(Dong2),"",OFFSET(TH!C$1,SMALL(Dong2,ROWS($1:1)),))</f>
        <v>40570</v>
      </c>
      <c r="B12" s="213" t="str">
        <f ca="1">IF(ROWS($1:1)&gt;COUNT(Dong2),"",OFFSET(TH!D$1,SMALL(Dong2,ROWS($1:1)),))</f>
        <v>C01</v>
      </c>
      <c r="C12" s="213">
        <f ca="1">IF(ROWS($1:1)&gt;COUNT(Dong2),"",OFFSET(TH!E$1,SMALL(Dong2,ROWS($1:1)),))</f>
        <v>40570</v>
      </c>
      <c r="D12" s="241" t="str">
        <f ca="1">IF(ROWS($1:1)&gt;COUNT(Dong2),"",OFFSET(TH!F$1,SMALL(Dong2,ROWS($1:1)),))</f>
        <v>Nộp tiền mặt vào tài khoản ngân hàng</v>
      </c>
      <c r="E12" s="241">
        <f ca="1">IF(ROWS($1:1)&gt;COUNT(Dong2),"",OFFSET(TH!G$1,SMALL(Dong2,ROWS($1:1)),))</f>
        <v>0</v>
      </c>
      <c r="F12" s="213" t="str">
        <f ca="1">IF(ROWS($1:1)&gt;COUNT(Dong2),"",IF(OFFSET(TH!K$1,SMALL(Dong2,ROWS($1:1)),)="1121",OFFSET(TH!J$1,SMALL(Dong2,ROWS($1:1)),),OFFSET(TH!K$1,SMALL(Dong2,ROWS($1:1)),)))</f>
        <v>1111</v>
      </c>
      <c r="G12" s="214">
        <f ca="1">IF(ROWS($1:1)&gt;COUNT(Dong2),"",IF(OFFSET(TH!J$1,SMALL(Dong2,ROWS($1:1)),)="1121",OFFSET(TH!I$1,SMALL(Dong2,ROWS($1:1)),),0))</f>
        <v>100000000</v>
      </c>
      <c r="H12" s="214">
        <f ca="1">IF(ROWS($1:1)&gt;COUNT(Dong2),"",IF(OFFSET(TH!K$1,SMALL(Dong2,ROWS($1:1)),)="1121",OFFSET(TH!I$1,SMALL(Dong2,ROWS($1:1)),),0))</f>
        <v>0</v>
      </c>
      <c r="I12" s="215">
        <f ca="1">IF(A12&lt;&gt;"",I11+G12-H12,0)</f>
        <v>100000000</v>
      </c>
      <c r="J12" s="215"/>
    </row>
    <row r="13" spans="1:15" s="200" customFormat="1" ht="18" customHeight="1">
      <c r="A13" s="213">
        <f ca="1">IF(ROWS($1:2)&gt;COUNT(Dong2),"",OFFSET(TH!C$1,SMALL(Dong2,ROWS($1:2)),))</f>
        <v>40570</v>
      </c>
      <c r="B13" s="213" t="str">
        <f ca="1">IF(ROWS($1:2)&gt;COUNT(Dong2),"",OFFSET(TH!D$1,SMALL(Dong2,ROWS($1:2)),))</f>
        <v>C01</v>
      </c>
      <c r="C13" s="213">
        <f ca="1">IF(ROWS($1:2)&gt;COUNT(Dong2),"",OFFSET(TH!E$1,SMALL(Dong2,ROWS($1:2)),))</f>
        <v>40570</v>
      </c>
      <c r="D13" s="241" t="str">
        <f ca="1">IF(ROWS($1:2)&gt;COUNT(Dong2),"",OFFSET(TH!F$1,SMALL(Dong2,ROWS($1:2)),))</f>
        <v>Nộp tiền mặt vào tài khoản ngân hàng</v>
      </c>
      <c r="E13" s="241">
        <f ca="1">IF(ROWS($1:2)&gt;COUNT(Dong2),"",OFFSET(TH!G$1,SMALL(Dong2,ROWS($1:2)),))</f>
        <v>0</v>
      </c>
      <c r="F13" s="213" t="str">
        <f ca="1">IF(ROWS($1:2)&gt;COUNT(Dong2),"",IF(OFFSET(TH!K$1,SMALL(Dong2,ROWS($1:2)),)="1121",OFFSET(TH!J$1,SMALL(Dong2,ROWS($1:2)),),OFFSET(TH!K$1,SMALL(Dong2,ROWS($1:2)),)))</f>
        <v>1111</v>
      </c>
      <c r="G13" s="214">
        <f ca="1">IF(ROWS($1:2)&gt;COUNT(Dong2),"",IF(OFFSET(TH!J$1,SMALL(Dong2,ROWS($1:2)),)="1121",OFFSET(TH!I$1,SMALL(Dong2,ROWS($1:2)),),0))</f>
        <v>100000</v>
      </c>
      <c r="H13" s="214">
        <f ca="1">IF(ROWS($1:2)&gt;COUNT(Dong2),"",IF(OFFSET(TH!K$1,SMALL(Dong2,ROWS($1:2)),)="1121",OFFSET(TH!I$1,SMALL(Dong2,ROWS($1:2)),),0))</f>
        <v>0</v>
      </c>
      <c r="I13" s="215">
        <f t="shared" ref="I13:I32" ca="1" si="0">IF(A13&lt;&gt;"",I12+G13-H13,0)</f>
        <v>100100000</v>
      </c>
      <c r="J13" s="215"/>
    </row>
    <row r="14" spans="1:15" s="200" customFormat="1" ht="18" customHeight="1">
      <c r="A14" s="213">
        <f ca="1">IF(ROWS($1:3)&gt;COUNT(Dong2),"",OFFSET(TH!C$1,SMALL(Dong2,ROWS($1:3)),))</f>
        <v>40570</v>
      </c>
      <c r="B14" s="213" t="str">
        <f ca="1">IF(ROWS($1:3)&gt;COUNT(Dong2),"",OFFSET(TH!D$1,SMALL(Dong2,ROWS($1:3)),))</f>
        <v>GBN</v>
      </c>
      <c r="C14" s="213">
        <f ca="1">IF(ROWS($1:3)&gt;COUNT(Dong2),"",OFFSET(TH!E$1,SMALL(Dong2,ROWS($1:3)),))</f>
        <v>40570</v>
      </c>
      <c r="D14" s="241" t="str">
        <f ca="1">IF(ROWS($1:3)&gt;COUNT(Dong2),"",OFFSET(TH!F$1,SMALL(Dong2,ROWS($1:3)),))</f>
        <v>Thanh toán tiền xây dựng - Khánh Trân</v>
      </c>
      <c r="E14" s="241">
        <f ca="1">IF(ROWS($1:3)&gt;COUNT(Dong2),"",OFFSET(TH!G$1,SMALL(Dong2,ROWS($1:3)),))</f>
        <v>0</v>
      </c>
      <c r="F14" s="213" t="str">
        <f ca="1">IF(ROWS($1:3)&gt;COUNT(Dong2),"",IF(OFFSET(TH!K$1,SMALL(Dong2,ROWS($1:3)),)="1121",OFFSET(TH!J$1,SMALL(Dong2,ROWS($1:3)),),OFFSET(TH!K$1,SMALL(Dong2,ROWS($1:3)),)))</f>
        <v>331</v>
      </c>
      <c r="G14" s="214">
        <f ca="1">IF(ROWS($1:3)&gt;COUNT(Dong2),"",IF(OFFSET(TH!J$1,SMALL(Dong2,ROWS($1:3)),)="1121",OFFSET(TH!I$1,SMALL(Dong2,ROWS($1:3)),),0))</f>
        <v>0</v>
      </c>
      <c r="H14" s="214">
        <f ca="1">IF(ROWS($1:3)&gt;COUNT(Dong2),"",IF(OFFSET(TH!K$1,SMALL(Dong2,ROWS($1:3)),)="1121",OFFSET(TH!I$1,SMALL(Dong2,ROWS($1:3)),),0))</f>
        <v>100000000</v>
      </c>
      <c r="I14" s="215">
        <f t="shared" ca="1" si="0"/>
        <v>100000</v>
      </c>
      <c r="J14" s="215"/>
    </row>
    <row r="15" spans="1:15" s="200" customFormat="1" ht="18" customHeight="1">
      <c r="A15" s="213">
        <f ca="1">IF(ROWS($1:4)&gt;COUNT(Dong2),"",OFFSET(TH!C$1,SMALL(Dong2,ROWS($1:4)),))</f>
        <v>40570</v>
      </c>
      <c r="B15" s="213" t="str">
        <f ca="1">IF(ROWS($1:4)&gt;COUNT(Dong2),"",OFFSET(TH!D$1,SMALL(Dong2,ROWS($1:4)),))</f>
        <v>GBN</v>
      </c>
      <c r="C15" s="213">
        <f ca="1">IF(ROWS($1:4)&gt;COUNT(Dong2),"",OFFSET(TH!E$1,SMALL(Dong2,ROWS($1:4)),))</f>
        <v>40570</v>
      </c>
      <c r="D15" s="241" t="str">
        <f ca="1">IF(ROWS($1:4)&gt;COUNT(Dong2),"",OFFSET(TH!F$1,SMALL(Dong2,ROWS($1:4)),))</f>
        <v xml:space="preserve">Phí chuyển tiền </v>
      </c>
      <c r="E15" s="241">
        <f ca="1">IF(ROWS($1:4)&gt;COUNT(Dong2),"",OFFSET(TH!G$1,SMALL(Dong2,ROWS($1:4)),))</f>
        <v>0</v>
      </c>
      <c r="F15" s="213" t="str">
        <f ca="1">IF(ROWS($1:4)&gt;COUNT(Dong2),"",IF(OFFSET(TH!K$1,SMALL(Dong2,ROWS($1:4)),)="1121",OFFSET(TH!J$1,SMALL(Dong2,ROWS($1:4)),),OFFSET(TH!K$1,SMALL(Dong2,ROWS($1:4)),)))</f>
        <v>642</v>
      </c>
      <c r="G15" s="214">
        <f ca="1">IF(ROWS($1:4)&gt;COUNT(Dong2),"",IF(OFFSET(TH!J$1,SMALL(Dong2,ROWS($1:4)),)="1121",OFFSET(TH!I$1,SMALL(Dong2,ROWS($1:4)),),0))</f>
        <v>0</v>
      </c>
      <c r="H15" s="214">
        <f ca="1">IF(ROWS($1:4)&gt;COUNT(Dong2),"",IF(OFFSET(TH!K$1,SMALL(Dong2,ROWS($1:4)),)="1121",OFFSET(TH!I$1,SMALL(Dong2,ROWS($1:4)),),0))</f>
        <v>50000</v>
      </c>
      <c r="I15" s="215">
        <f t="shared" ca="1" si="0"/>
        <v>50000</v>
      </c>
      <c r="J15" s="215"/>
    </row>
    <row r="16" spans="1:15" s="200" customFormat="1" ht="18" customHeight="1">
      <c r="A16" s="213">
        <f ca="1">IF(ROWS($1:5)&gt;COUNT(Dong2),"",OFFSET(TH!C$1,SMALL(Dong2,ROWS($1:5)),))</f>
        <v>40570</v>
      </c>
      <c r="B16" s="213" t="str">
        <f ca="1">IF(ROWS($1:5)&gt;COUNT(Dong2),"",OFFSET(TH!D$1,SMALL(Dong2,ROWS($1:5)),))</f>
        <v>GBN</v>
      </c>
      <c r="C16" s="213">
        <f ca="1">IF(ROWS($1:5)&gt;COUNT(Dong2),"",OFFSET(TH!E$1,SMALL(Dong2,ROWS($1:5)),))</f>
        <v>40570</v>
      </c>
      <c r="D16" s="241" t="str">
        <f ca="1">IF(ROWS($1:5)&gt;COUNT(Dong2),"",OFFSET(TH!F$1,SMALL(Dong2,ROWS($1:5)),))</f>
        <v>Phí kiểm đếm</v>
      </c>
      <c r="E16" s="241">
        <f ca="1">IF(ROWS($1:5)&gt;COUNT(Dong2),"",OFFSET(TH!G$1,SMALL(Dong2,ROWS($1:5)),))</f>
        <v>0</v>
      </c>
      <c r="F16" s="213" t="str">
        <f ca="1">IF(ROWS($1:5)&gt;COUNT(Dong2),"",IF(OFFSET(TH!K$1,SMALL(Dong2,ROWS($1:5)),)="1121",OFFSET(TH!J$1,SMALL(Dong2,ROWS($1:5)),),OFFSET(TH!K$1,SMALL(Dong2,ROWS($1:5)),)))</f>
        <v>642</v>
      </c>
      <c r="G16" s="214">
        <f ca="1">IF(ROWS($1:5)&gt;COUNT(Dong2),"",IF(OFFSET(TH!J$1,SMALL(Dong2,ROWS($1:5)),)="1121",OFFSET(TH!I$1,SMALL(Dong2,ROWS($1:5)),),0))</f>
        <v>0</v>
      </c>
      <c r="H16" s="214">
        <f ca="1">IF(ROWS($1:5)&gt;COUNT(Dong2),"",IF(OFFSET(TH!K$1,SMALL(Dong2,ROWS($1:5)),)="1121",OFFSET(TH!I$1,SMALL(Dong2,ROWS($1:5)),),0))</f>
        <v>30000</v>
      </c>
      <c r="I16" s="215">
        <f t="shared" ca="1" si="0"/>
        <v>20000</v>
      </c>
      <c r="J16" s="215"/>
    </row>
    <row r="17" spans="1:10" s="200" customFormat="1" ht="18" customHeight="1">
      <c r="A17" s="213">
        <f ca="1">IF(ROWS($1:6)&gt;COUNT(Dong2),"",OFFSET(TH!C$1,SMALL(Dong2,ROWS($1:6)),))</f>
        <v>40570</v>
      </c>
      <c r="B17" s="213" t="str">
        <f ca="1">IF(ROWS($1:6)&gt;COUNT(Dong2),"",OFFSET(TH!D$1,SMALL(Dong2,ROWS($1:6)),))</f>
        <v>GBN</v>
      </c>
      <c r="C17" s="213">
        <f ca="1">IF(ROWS($1:6)&gt;COUNT(Dong2),"",OFFSET(TH!E$1,SMALL(Dong2,ROWS($1:6)),))</f>
        <v>40570</v>
      </c>
      <c r="D17" s="241" t="str">
        <f ca="1">IF(ROWS($1:6)&gt;COUNT(Dong2),"",OFFSET(TH!F$1,SMALL(Dong2,ROWS($1:6)),))</f>
        <v xml:space="preserve">VAT Phí chuyển tiền </v>
      </c>
      <c r="E17" s="241">
        <f ca="1">IF(ROWS($1:6)&gt;COUNT(Dong2),"",OFFSET(TH!G$1,SMALL(Dong2,ROWS($1:6)),))</f>
        <v>0</v>
      </c>
      <c r="F17" s="213" t="str">
        <f ca="1">IF(ROWS($1:6)&gt;COUNT(Dong2),"",IF(OFFSET(TH!K$1,SMALL(Dong2,ROWS($1:6)),)="1121",OFFSET(TH!J$1,SMALL(Dong2,ROWS($1:6)),),OFFSET(TH!K$1,SMALL(Dong2,ROWS($1:6)),)))</f>
        <v>642</v>
      </c>
      <c r="G17" s="214">
        <f ca="1">IF(ROWS($1:6)&gt;COUNT(Dong2),"",IF(OFFSET(TH!J$1,SMALL(Dong2,ROWS($1:6)),)="1121",OFFSET(TH!I$1,SMALL(Dong2,ROWS($1:6)),),0))</f>
        <v>0</v>
      </c>
      <c r="H17" s="214">
        <f ca="1">IF(ROWS($1:6)&gt;COUNT(Dong2),"",IF(OFFSET(TH!K$1,SMALL(Dong2,ROWS($1:6)),)="1121",OFFSET(TH!I$1,SMALL(Dong2,ROWS($1:6)),),0))</f>
        <v>5000</v>
      </c>
      <c r="I17" s="215">
        <f t="shared" ca="1" si="0"/>
        <v>15000</v>
      </c>
      <c r="J17" s="215"/>
    </row>
    <row r="18" spans="1:10" s="200" customFormat="1" ht="18" customHeight="1">
      <c r="A18" s="213">
        <f ca="1">IF(ROWS($1:7)&gt;COUNT(Dong2),"",OFFSET(TH!C$1,SMALL(Dong2,ROWS($1:7)),))</f>
        <v>40570</v>
      </c>
      <c r="B18" s="213" t="str">
        <f ca="1">IF(ROWS($1:7)&gt;COUNT(Dong2),"",OFFSET(TH!D$1,SMALL(Dong2,ROWS($1:7)),))</f>
        <v>GBN</v>
      </c>
      <c r="C18" s="213">
        <f ca="1">IF(ROWS($1:7)&gt;COUNT(Dong2),"",OFFSET(TH!E$1,SMALL(Dong2,ROWS($1:7)),))</f>
        <v>40570</v>
      </c>
      <c r="D18" s="241" t="str">
        <f ca="1">IF(ROWS($1:7)&gt;COUNT(Dong2),"",OFFSET(TH!F$1,SMALL(Dong2,ROWS($1:7)),))</f>
        <v>VAT Phí kiểm đếm</v>
      </c>
      <c r="E18" s="241">
        <f ca="1">IF(ROWS($1:7)&gt;COUNT(Dong2),"",OFFSET(TH!G$1,SMALL(Dong2,ROWS($1:7)),))</f>
        <v>0</v>
      </c>
      <c r="F18" s="213" t="str">
        <f ca="1">IF(ROWS($1:7)&gt;COUNT(Dong2),"",IF(OFFSET(TH!K$1,SMALL(Dong2,ROWS($1:7)),)="1121",OFFSET(TH!J$1,SMALL(Dong2,ROWS($1:7)),),OFFSET(TH!K$1,SMALL(Dong2,ROWS($1:7)),)))</f>
        <v>642</v>
      </c>
      <c r="G18" s="214">
        <f ca="1">IF(ROWS($1:7)&gt;COUNT(Dong2),"",IF(OFFSET(TH!J$1,SMALL(Dong2,ROWS($1:7)),)="1121",OFFSET(TH!I$1,SMALL(Dong2,ROWS($1:7)),),0))</f>
        <v>0</v>
      </c>
      <c r="H18" s="214">
        <f ca="1">IF(ROWS($1:7)&gt;COUNT(Dong2),"",IF(OFFSET(TH!K$1,SMALL(Dong2,ROWS($1:7)),)="1121",OFFSET(TH!I$1,SMALL(Dong2,ROWS($1:7)),),0))</f>
        <v>3000</v>
      </c>
      <c r="I18" s="215">
        <f t="shared" ca="1" si="0"/>
        <v>12000</v>
      </c>
      <c r="J18" s="215"/>
    </row>
    <row r="19" spans="1:10" s="200" customFormat="1" ht="18" customHeight="1">
      <c r="A19" s="213">
        <f ca="1">IF(ROWS($1:8)&gt;COUNT(Dong2),"",OFFSET(TH!C$1,SMALL(Dong2,ROWS($1:8)),))</f>
        <v>40571</v>
      </c>
      <c r="B19" s="213" t="str">
        <f ca="1">IF(ROWS($1:8)&gt;COUNT(Dong2),"",OFFSET(TH!D$1,SMALL(Dong2,ROWS($1:8)),))</f>
        <v>GBN</v>
      </c>
      <c r="C19" s="213">
        <f ca="1">IF(ROWS($1:8)&gt;COUNT(Dong2),"",OFFSET(TH!E$1,SMALL(Dong2,ROWS($1:8)),))</f>
        <v>40571</v>
      </c>
      <c r="D19" s="241" t="str">
        <f ca="1">IF(ROWS($1:8)&gt;COUNT(Dong2),"",OFFSET(TH!F$1,SMALL(Dong2,ROWS($1:8)),))</f>
        <v>Phí điều chỉnh lệnh chi tiền</v>
      </c>
      <c r="E19" s="241">
        <f ca="1">IF(ROWS($1:8)&gt;COUNT(Dong2),"",OFFSET(TH!G$1,SMALL(Dong2,ROWS($1:8)),))</f>
        <v>0</v>
      </c>
      <c r="F19" s="213" t="str">
        <f ca="1">IF(ROWS($1:8)&gt;COUNT(Dong2),"",IF(OFFSET(TH!K$1,SMALL(Dong2,ROWS($1:8)),)="1121",OFFSET(TH!J$1,SMALL(Dong2,ROWS($1:8)),),OFFSET(TH!K$1,SMALL(Dong2,ROWS($1:8)),)))</f>
        <v>642</v>
      </c>
      <c r="G19" s="214">
        <f ca="1">IF(ROWS($1:8)&gt;COUNT(Dong2),"",IF(OFFSET(TH!J$1,SMALL(Dong2,ROWS($1:8)),)="1121",OFFSET(TH!I$1,SMALL(Dong2,ROWS($1:8)),),0))</f>
        <v>0</v>
      </c>
      <c r="H19" s="214">
        <f ca="1">IF(ROWS($1:8)&gt;COUNT(Dong2),"",IF(OFFSET(TH!K$1,SMALL(Dong2,ROWS($1:8)),)="1121",OFFSET(TH!I$1,SMALL(Dong2,ROWS($1:8)),),0))</f>
        <v>10000</v>
      </c>
      <c r="I19" s="215">
        <f t="shared" ca="1" si="0"/>
        <v>2000</v>
      </c>
      <c r="J19" s="215"/>
    </row>
    <row r="20" spans="1:10" s="200" customFormat="1" ht="18" customHeight="1">
      <c r="A20" s="213">
        <f ca="1">IF(ROWS($1:9)&gt;COUNT(Dong2),"",OFFSET(TH!C$1,SMALL(Dong2,ROWS($1:9)),))</f>
        <v>40571</v>
      </c>
      <c r="B20" s="213" t="str">
        <f ca="1">IF(ROWS($1:9)&gt;COUNT(Dong2),"",OFFSET(TH!D$1,SMALL(Dong2,ROWS($1:9)),))</f>
        <v>GBN</v>
      </c>
      <c r="C20" s="213">
        <f ca="1">IF(ROWS($1:9)&gt;COUNT(Dong2),"",OFFSET(TH!E$1,SMALL(Dong2,ROWS($1:9)),))</f>
        <v>40571</v>
      </c>
      <c r="D20" s="241" t="str">
        <f ca="1">IF(ROWS($1:9)&gt;COUNT(Dong2),"",OFFSET(TH!F$1,SMALL(Dong2,ROWS($1:9)),))</f>
        <v>VAT Phí điều chỉnh lệnh chi tiền</v>
      </c>
      <c r="E20" s="241">
        <f ca="1">IF(ROWS($1:9)&gt;COUNT(Dong2),"",OFFSET(TH!G$1,SMALL(Dong2,ROWS($1:9)),))</f>
        <v>0</v>
      </c>
      <c r="F20" s="213" t="str">
        <f ca="1">IF(ROWS($1:9)&gt;COUNT(Dong2),"",IF(OFFSET(TH!K$1,SMALL(Dong2,ROWS($1:9)),)="1121",OFFSET(TH!J$1,SMALL(Dong2,ROWS($1:9)),),OFFSET(TH!K$1,SMALL(Dong2,ROWS($1:9)),)))</f>
        <v>642</v>
      </c>
      <c r="G20" s="214">
        <f ca="1">IF(ROWS($1:9)&gt;COUNT(Dong2),"",IF(OFFSET(TH!J$1,SMALL(Dong2,ROWS($1:9)),)="1121",OFFSET(TH!I$1,SMALL(Dong2,ROWS($1:9)),),0))</f>
        <v>0</v>
      </c>
      <c r="H20" s="214">
        <f ca="1">IF(ROWS($1:9)&gt;COUNT(Dong2),"",IF(OFFSET(TH!K$1,SMALL(Dong2,ROWS($1:9)),)="1121",OFFSET(TH!I$1,SMALL(Dong2,ROWS($1:9)),),0))</f>
        <v>1000</v>
      </c>
      <c r="I20" s="215">
        <f t="shared" ca="1" si="0"/>
        <v>1000</v>
      </c>
      <c r="J20" s="215"/>
    </row>
    <row r="21" spans="1:10" s="200" customFormat="1" ht="18" customHeight="1">
      <c r="A21" s="213">
        <f ca="1">IF(ROWS($1:10)&gt;COUNT(Dong2),"",OFFSET(TH!C$1,SMALL(Dong2,ROWS($1:10)),))</f>
        <v>40572</v>
      </c>
      <c r="B21" s="213" t="str">
        <f ca="1">IF(ROWS($1:10)&gt;COUNT(Dong2),"",OFFSET(TH!D$1,SMALL(Dong2,ROWS($1:10)),))</f>
        <v>GBC</v>
      </c>
      <c r="C21" s="213">
        <f ca="1">IF(ROWS($1:10)&gt;COUNT(Dong2),"",OFFSET(TH!E$1,SMALL(Dong2,ROWS($1:10)),))</f>
        <v>40572</v>
      </c>
      <c r="D21" s="241" t="str">
        <f ca="1">IF(ROWS($1:10)&gt;COUNT(Dong2),"",OFFSET(TH!F$1,SMALL(Dong2,ROWS($1:10)),))</f>
        <v>An Lạc - Mượn vốn</v>
      </c>
      <c r="E21" s="241">
        <f ca="1">IF(ROWS($1:10)&gt;COUNT(Dong2),"",OFFSET(TH!G$1,SMALL(Dong2,ROWS($1:10)),))</f>
        <v>0</v>
      </c>
      <c r="F21" s="213" t="str">
        <f ca="1">IF(ROWS($1:10)&gt;COUNT(Dong2),"",IF(OFFSET(TH!K$1,SMALL(Dong2,ROWS($1:10)),)="1121",OFFSET(TH!J$1,SMALL(Dong2,ROWS($1:10)),),OFFSET(TH!K$1,SMALL(Dong2,ROWS($1:10)),)))</f>
        <v>3388</v>
      </c>
      <c r="G21" s="214">
        <f ca="1">IF(ROWS($1:10)&gt;COUNT(Dong2),"",IF(OFFSET(TH!J$1,SMALL(Dong2,ROWS($1:10)),)="1121",OFFSET(TH!I$1,SMALL(Dong2,ROWS($1:10)),),0))</f>
        <v>2000000</v>
      </c>
      <c r="H21" s="214">
        <f ca="1">IF(ROWS($1:10)&gt;COUNT(Dong2),"",IF(OFFSET(TH!K$1,SMALL(Dong2,ROWS($1:10)),)="1121",OFFSET(TH!I$1,SMALL(Dong2,ROWS($1:10)),),0))</f>
        <v>0</v>
      </c>
      <c r="I21" s="215">
        <f t="shared" ca="1" si="0"/>
        <v>2001000</v>
      </c>
      <c r="J21" s="215"/>
    </row>
    <row r="22" spans="1:10" s="200" customFormat="1" ht="18" customHeight="1">
      <c r="A22" s="213">
        <f ca="1">IF(ROWS($1:11)&gt;COUNT(Dong2),"",OFFSET(TH!C$1,SMALL(Dong2,ROWS($1:11)),))</f>
        <v>40572</v>
      </c>
      <c r="B22" s="213" t="str">
        <f ca="1">IF(ROWS($1:11)&gt;COUNT(Dong2),"",OFFSET(TH!D$1,SMALL(Dong2,ROWS($1:11)),))</f>
        <v>GBN</v>
      </c>
      <c r="C22" s="213">
        <f ca="1">IF(ROWS($1:11)&gt;COUNT(Dong2),"",OFFSET(TH!E$1,SMALL(Dong2,ROWS($1:11)),))</f>
        <v>40572</v>
      </c>
      <c r="D22" s="241" t="str">
        <f ca="1">IF(ROWS($1:11)&gt;COUNT(Dong2),"",OFFSET(TH!F$1,SMALL(Dong2,ROWS($1:11)),))</f>
        <v>Thuế môn bài 2011</v>
      </c>
      <c r="E22" s="241">
        <f ca="1">IF(ROWS($1:11)&gt;COUNT(Dong2),"",OFFSET(TH!G$1,SMALL(Dong2,ROWS($1:11)),))</f>
        <v>0</v>
      </c>
      <c r="F22" s="213" t="str">
        <f ca="1">IF(ROWS($1:11)&gt;COUNT(Dong2),"",IF(OFFSET(TH!K$1,SMALL(Dong2,ROWS($1:11)),)="1121",OFFSET(TH!J$1,SMALL(Dong2,ROWS($1:11)),),OFFSET(TH!K$1,SMALL(Dong2,ROWS($1:11)),)))</f>
        <v>33382</v>
      </c>
      <c r="G22" s="214">
        <f ca="1">IF(ROWS($1:11)&gt;COUNT(Dong2),"",IF(OFFSET(TH!J$1,SMALL(Dong2,ROWS($1:11)),)="1121",OFFSET(TH!I$1,SMALL(Dong2,ROWS($1:11)),),0))</f>
        <v>0</v>
      </c>
      <c r="H22" s="214">
        <f ca="1">IF(ROWS($1:11)&gt;COUNT(Dong2),"",IF(OFFSET(TH!K$1,SMALL(Dong2,ROWS($1:11)),)="1121",OFFSET(TH!I$1,SMALL(Dong2,ROWS($1:11)),),0))</f>
        <v>1500000</v>
      </c>
      <c r="I22" s="215">
        <f t="shared" ca="1" si="0"/>
        <v>501000</v>
      </c>
      <c r="J22" s="215"/>
    </row>
    <row r="23" spans="1:10" s="200" customFormat="1" ht="18" customHeight="1">
      <c r="A23" s="213">
        <f ca="1">IF(ROWS($1:12)&gt;COUNT(Dong2),"",OFFSET(TH!C$1,SMALL(Dong2,ROWS($1:12)),))</f>
        <v>40572</v>
      </c>
      <c r="B23" s="213" t="str">
        <f ca="1">IF(ROWS($1:12)&gt;COUNT(Dong2),"",OFFSET(TH!D$1,SMALL(Dong2,ROWS($1:12)),))</f>
        <v>GBN</v>
      </c>
      <c r="C23" s="213">
        <f ca="1">IF(ROWS($1:12)&gt;COUNT(Dong2),"",OFFSET(TH!E$1,SMALL(Dong2,ROWS($1:12)),))</f>
        <v>40572</v>
      </c>
      <c r="D23" s="241" t="str">
        <f ca="1">IF(ROWS($1:12)&gt;COUNT(Dong2),"",OFFSET(TH!F$1,SMALL(Dong2,ROWS($1:12)),))</f>
        <v xml:space="preserve">Phí chuyển tiền </v>
      </c>
      <c r="E23" s="241">
        <f ca="1">IF(ROWS($1:12)&gt;COUNT(Dong2),"",OFFSET(TH!G$1,SMALL(Dong2,ROWS($1:12)),))</f>
        <v>0</v>
      </c>
      <c r="F23" s="213" t="str">
        <f ca="1">IF(ROWS($1:12)&gt;COUNT(Dong2),"",IF(OFFSET(TH!K$1,SMALL(Dong2,ROWS($1:12)),)="1121",OFFSET(TH!J$1,SMALL(Dong2,ROWS($1:12)),),OFFSET(TH!K$1,SMALL(Dong2,ROWS($1:12)),)))</f>
        <v>642</v>
      </c>
      <c r="G23" s="214">
        <f ca="1">IF(ROWS($1:12)&gt;COUNT(Dong2),"",IF(OFFSET(TH!J$1,SMALL(Dong2,ROWS($1:12)),)="1121",OFFSET(TH!I$1,SMALL(Dong2,ROWS($1:12)),),0))</f>
        <v>0</v>
      </c>
      <c r="H23" s="214">
        <f ca="1">IF(ROWS($1:12)&gt;COUNT(Dong2),"",IF(OFFSET(TH!K$1,SMALL(Dong2,ROWS($1:12)),)="1121",OFFSET(TH!I$1,SMALL(Dong2,ROWS($1:12)),),0))</f>
        <v>22000</v>
      </c>
      <c r="I23" s="215">
        <f t="shared" ca="1" si="0"/>
        <v>479000</v>
      </c>
      <c r="J23" s="215"/>
    </row>
    <row r="24" spans="1:10" s="200" customFormat="1" ht="18" customHeight="1">
      <c r="A24" s="213">
        <f ca="1">IF(ROWS($1:13)&gt;COUNT(Dong2),"",OFFSET(TH!C$1,SMALL(Dong2,ROWS($1:13)),))</f>
        <v>40572</v>
      </c>
      <c r="B24" s="213" t="str">
        <f ca="1">IF(ROWS($1:13)&gt;COUNT(Dong2),"",OFFSET(TH!D$1,SMALL(Dong2,ROWS($1:13)),))</f>
        <v>GBN</v>
      </c>
      <c r="C24" s="213">
        <f ca="1">IF(ROWS($1:13)&gt;COUNT(Dong2),"",OFFSET(TH!E$1,SMALL(Dong2,ROWS($1:13)),))</f>
        <v>40572</v>
      </c>
      <c r="D24" s="241" t="str">
        <f ca="1">IF(ROWS($1:13)&gt;COUNT(Dong2),"",OFFSET(TH!F$1,SMALL(Dong2,ROWS($1:13)),))</f>
        <v>Phí điều chỉnh lệnh chi tiền</v>
      </c>
      <c r="E24" s="241">
        <f ca="1">IF(ROWS($1:13)&gt;COUNT(Dong2),"",OFFSET(TH!G$1,SMALL(Dong2,ROWS($1:13)),))</f>
        <v>0</v>
      </c>
      <c r="F24" s="213" t="str">
        <f ca="1">IF(ROWS($1:13)&gt;COUNT(Dong2),"",IF(OFFSET(TH!K$1,SMALL(Dong2,ROWS($1:13)),)="1121",OFFSET(TH!J$1,SMALL(Dong2,ROWS($1:13)),),OFFSET(TH!K$1,SMALL(Dong2,ROWS($1:13)),)))</f>
        <v>642</v>
      </c>
      <c r="G24" s="214">
        <f ca="1">IF(ROWS($1:13)&gt;COUNT(Dong2),"",IF(OFFSET(TH!J$1,SMALL(Dong2,ROWS($1:13)),)="1121",OFFSET(TH!I$1,SMALL(Dong2,ROWS($1:13)),),0))</f>
        <v>0</v>
      </c>
      <c r="H24" s="214">
        <f ca="1">IF(ROWS($1:13)&gt;COUNT(Dong2),"",IF(OFFSET(TH!K$1,SMALL(Dong2,ROWS($1:13)),)="1121",OFFSET(TH!I$1,SMALL(Dong2,ROWS($1:13)),),0))</f>
        <v>10000</v>
      </c>
      <c r="I24" s="215">
        <f t="shared" ca="1" si="0"/>
        <v>469000</v>
      </c>
      <c r="J24" s="215"/>
    </row>
    <row r="25" spans="1:10" s="200" customFormat="1" ht="18" customHeight="1">
      <c r="A25" s="213">
        <f ca="1">IF(ROWS($1:14)&gt;COUNT(Dong2),"",OFFSET(TH!C$1,SMALL(Dong2,ROWS($1:14)),))</f>
        <v>40572</v>
      </c>
      <c r="B25" s="213" t="str">
        <f ca="1">IF(ROWS($1:14)&gt;COUNT(Dong2),"",OFFSET(TH!D$1,SMALL(Dong2,ROWS($1:14)),))</f>
        <v>GBN</v>
      </c>
      <c r="C25" s="213">
        <f ca="1">IF(ROWS($1:14)&gt;COUNT(Dong2),"",OFFSET(TH!E$1,SMALL(Dong2,ROWS($1:14)),))</f>
        <v>40572</v>
      </c>
      <c r="D25" s="241" t="str">
        <f ca="1">IF(ROWS($1:14)&gt;COUNT(Dong2),"",OFFSET(TH!F$1,SMALL(Dong2,ROWS($1:14)),))</f>
        <v>VAT Phí điều chỉnh lệnh chi tiền</v>
      </c>
      <c r="E25" s="241">
        <f ca="1">IF(ROWS($1:14)&gt;COUNT(Dong2),"",OFFSET(TH!G$1,SMALL(Dong2,ROWS($1:14)),))</f>
        <v>0</v>
      </c>
      <c r="F25" s="213" t="str">
        <f ca="1">IF(ROWS($1:14)&gt;COUNT(Dong2),"",IF(OFFSET(TH!K$1,SMALL(Dong2,ROWS($1:14)),)="1121",OFFSET(TH!J$1,SMALL(Dong2,ROWS($1:14)),),OFFSET(TH!K$1,SMALL(Dong2,ROWS($1:14)),)))</f>
        <v>642</v>
      </c>
      <c r="G25" s="214">
        <f ca="1">IF(ROWS($1:14)&gt;COUNT(Dong2),"",IF(OFFSET(TH!J$1,SMALL(Dong2,ROWS($1:14)),)="1121",OFFSET(TH!I$1,SMALL(Dong2,ROWS($1:14)),),0))</f>
        <v>0</v>
      </c>
      <c r="H25" s="214">
        <f ca="1">IF(ROWS($1:14)&gt;COUNT(Dong2),"",IF(OFFSET(TH!K$1,SMALL(Dong2,ROWS($1:14)),)="1121",OFFSET(TH!I$1,SMALL(Dong2,ROWS($1:14)),),0))</f>
        <v>1000</v>
      </c>
      <c r="I25" s="215">
        <f t="shared" ca="1" si="0"/>
        <v>468000</v>
      </c>
      <c r="J25" s="215"/>
    </row>
    <row r="26" spans="1:10" s="200" customFormat="1" ht="18" customHeight="1">
      <c r="A26" s="213">
        <f ca="1">IF(ROWS($1:15)&gt;COUNT(Dong2),"",OFFSET(TH!C$1,SMALL(Dong2,ROWS($1:15)),))</f>
        <v>40588</v>
      </c>
      <c r="B26" s="213" t="str">
        <f ca="1">IF(ROWS($1:15)&gt;COUNT(Dong2),"",OFFSET(TH!D$1,SMALL(Dong2,ROWS($1:15)),))</f>
        <v>GBC</v>
      </c>
      <c r="C26" s="213">
        <f ca="1">IF(ROWS($1:15)&gt;COUNT(Dong2),"",OFFSET(TH!E$1,SMALL(Dong2,ROWS($1:15)),))</f>
        <v>40588</v>
      </c>
      <c r="D26" s="241" t="str">
        <f ca="1">IF(ROWS($1:15)&gt;COUNT(Dong2),"",OFFSET(TH!F$1,SMALL(Dong2,ROWS($1:15)),))</f>
        <v>An Lạc LA- Mượn vốn</v>
      </c>
      <c r="E26" s="241">
        <f ca="1">IF(ROWS($1:15)&gt;COUNT(Dong2),"",OFFSET(TH!G$1,SMALL(Dong2,ROWS($1:15)),))</f>
        <v>0</v>
      </c>
      <c r="F26" s="213" t="str">
        <f ca="1">IF(ROWS($1:15)&gt;COUNT(Dong2),"",IF(OFFSET(TH!K$1,SMALL(Dong2,ROWS($1:15)),)="1121",OFFSET(TH!J$1,SMALL(Dong2,ROWS($1:15)),),OFFSET(TH!K$1,SMALL(Dong2,ROWS($1:15)),)))</f>
        <v>3388</v>
      </c>
      <c r="G26" s="214">
        <f ca="1">IF(ROWS($1:15)&gt;COUNT(Dong2),"",IF(OFFSET(TH!J$1,SMALL(Dong2,ROWS($1:15)),)="1121",OFFSET(TH!I$1,SMALL(Dong2,ROWS($1:15)),),0))</f>
        <v>50000000</v>
      </c>
      <c r="H26" s="214">
        <f ca="1">IF(ROWS($1:15)&gt;COUNT(Dong2),"",IF(OFFSET(TH!K$1,SMALL(Dong2,ROWS($1:15)),)="1121",OFFSET(TH!I$1,SMALL(Dong2,ROWS($1:15)),),0))</f>
        <v>0</v>
      </c>
      <c r="I26" s="215">
        <f t="shared" ca="1" si="0"/>
        <v>50468000</v>
      </c>
      <c r="J26" s="215"/>
    </row>
    <row r="27" spans="1:10" s="200" customFormat="1" ht="18" customHeight="1">
      <c r="A27" s="213">
        <f ca="1">IF(ROWS($1:16)&gt;COUNT(Dong2),"",OFFSET(TH!C$1,SMALL(Dong2,ROWS($1:16)),))</f>
        <v>40588</v>
      </c>
      <c r="B27" s="213" t="str">
        <f ca="1">IF(ROWS($1:16)&gt;COUNT(Dong2),"",OFFSET(TH!D$1,SMALL(Dong2,ROWS($1:16)),))</f>
        <v>GBN</v>
      </c>
      <c r="C27" s="213">
        <f ca="1">IF(ROWS($1:16)&gt;COUNT(Dong2),"",OFFSET(TH!E$1,SMALL(Dong2,ROWS($1:16)),))</f>
        <v>40588</v>
      </c>
      <c r="D27" s="241" t="str">
        <f ca="1">IF(ROWS($1:16)&gt;COUNT(Dong2),"",OFFSET(TH!F$1,SMALL(Dong2,ROWS($1:16)),))</f>
        <v>Thanh toán tiền xây dựng - Khánh Trân</v>
      </c>
      <c r="E27" s="241">
        <f ca="1">IF(ROWS($1:16)&gt;COUNT(Dong2),"",OFFSET(TH!G$1,SMALL(Dong2,ROWS($1:16)),))</f>
        <v>0</v>
      </c>
      <c r="F27" s="213" t="str">
        <f ca="1">IF(ROWS($1:16)&gt;COUNT(Dong2),"",IF(OFFSET(TH!K$1,SMALL(Dong2,ROWS($1:16)),)="1121",OFFSET(TH!J$1,SMALL(Dong2,ROWS($1:16)),),OFFSET(TH!K$1,SMALL(Dong2,ROWS($1:16)),)))</f>
        <v>331</v>
      </c>
      <c r="G27" s="214">
        <f ca="1">IF(ROWS($1:16)&gt;COUNT(Dong2),"",IF(OFFSET(TH!J$1,SMALL(Dong2,ROWS($1:16)),)="1121",OFFSET(TH!I$1,SMALL(Dong2,ROWS($1:16)),),0))</f>
        <v>0</v>
      </c>
      <c r="H27" s="214">
        <f ca="1">IF(ROWS($1:16)&gt;COUNT(Dong2),"",IF(OFFSET(TH!K$1,SMALL(Dong2,ROWS($1:16)),)="1121",OFFSET(TH!I$1,SMALL(Dong2,ROWS($1:16)),),0))</f>
        <v>50000000</v>
      </c>
      <c r="I27" s="215">
        <f t="shared" ca="1" si="0"/>
        <v>468000</v>
      </c>
      <c r="J27" s="215"/>
    </row>
    <row r="28" spans="1:10" s="200" customFormat="1" ht="18" customHeight="1">
      <c r="A28" s="213">
        <f ca="1">IF(ROWS($1:17)&gt;COUNT(Dong2),"",OFFSET(TH!C$1,SMALL(Dong2,ROWS($1:17)),))</f>
        <v>40588</v>
      </c>
      <c r="B28" s="213" t="str">
        <f ca="1">IF(ROWS($1:17)&gt;COUNT(Dong2),"",OFFSET(TH!D$1,SMALL(Dong2,ROWS($1:17)),))</f>
        <v>GBN</v>
      </c>
      <c r="C28" s="213">
        <f ca="1">IF(ROWS($1:17)&gt;COUNT(Dong2),"",OFFSET(TH!E$1,SMALL(Dong2,ROWS($1:17)),))</f>
        <v>40588</v>
      </c>
      <c r="D28" s="241" t="str">
        <f ca="1">IF(ROWS($1:17)&gt;COUNT(Dong2),"",OFFSET(TH!F$1,SMALL(Dong2,ROWS($1:17)),))</f>
        <v xml:space="preserve">Phí chuyển tiền </v>
      </c>
      <c r="E28" s="241">
        <f ca="1">IF(ROWS($1:17)&gt;COUNT(Dong2),"",OFFSET(TH!G$1,SMALL(Dong2,ROWS($1:17)),))</f>
        <v>0</v>
      </c>
      <c r="F28" s="213" t="str">
        <f ca="1">IF(ROWS($1:17)&gt;COUNT(Dong2),"",IF(OFFSET(TH!K$1,SMALL(Dong2,ROWS($1:17)),)="1121",OFFSET(TH!J$1,SMALL(Dong2,ROWS($1:17)),),OFFSET(TH!K$1,SMALL(Dong2,ROWS($1:17)),)))</f>
        <v>642</v>
      </c>
      <c r="G28" s="214">
        <f ca="1">IF(ROWS($1:17)&gt;COUNT(Dong2),"",IF(OFFSET(TH!J$1,SMALL(Dong2,ROWS($1:17)),)="1121",OFFSET(TH!I$1,SMALL(Dong2,ROWS($1:17)),),0))</f>
        <v>0</v>
      </c>
      <c r="H28" s="214">
        <f ca="1">IF(ROWS($1:17)&gt;COUNT(Dong2),"",IF(OFFSET(TH!K$1,SMALL(Dong2,ROWS($1:17)),)="1121",OFFSET(TH!I$1,SMALL(Dong2,ROWS($1:17)),),0))</f>
        <v>25000</v>
      </c>
      <c r="I28" s="215">
        <f t="shared" ca="1" si="0"/>
        <v>443000</v>
      </c>
      <c r="J28" s="215"/>
    </row>
    <row r="29" spans="1:10" s="200" customFormat="1" ht="18" customHeight="1">
      <c r="A29" s="213">
        <f ca="1">IF(ROWS($1:18)&gt;COUNT(Dong2),"",OFFSET(TH!C$1,SMALL(Dong2,ROWS($1:18)),))</f>
        <v>40588</v>
      </c>
      <c r="B29" s="213" t="str">
        <f ca="1">IF(ROWS($1:18)&gt;COUNT(Dong2),"",OFFSET(TH!D$1,SMALL(Dong2,ROWS($1:18)),))</f>
        <v>GBN</v>
      </c>
      <c r="C29" s="213">
        <f ca="1">IF(ROWS($1:18)&gt;COUNT(Dong2),"",OFFSET(TH!E$1,SMALL(Dong2,ROWS($1:18)),))</f>
        <v>40588</v>
      </c>
      <c r="D29" s="241" t="str">
        <f ca="1">IF(ROWS($1:18)&gt;COUNT(Dong2),"",OFFSET(TH!F$1,SMALL(Dong2,ROWS($1:18)),))</f>
        <v xml:space="preserve">GTGT Phí chuyển tiền </v>
      </c>
      <c r="E29" s="241">
        <f ca="1">IF(ROWS($1:18)&gt;COUNT(Dong2),"",OFFSET(TH!G$1,SMALL(Dong2,ROWS($1:18)),))</f>
        <v>0</v>
      </c>
      <c r="F29" s="213" t="str">
        <f ca="1">IF(ROWS($1:18)&gt;COUNT(Dong2),"",IF(OFFSET(TH!K$1,SMALL(Dong2,ROWS($1:18)),)="1121",OFFSET(TH!J$1,SMALL(Dong2,ROWS($1:18)),),OFFSET(TH!K$1,SMALL(Dong2,ROWS($1:18)),)))</f>
        <v>642</v>
      </c>
      <c r="G29" s="214">
        <f ca="1">IF(ROWS($1:18)&gt;COUNT(Dong2),"",IF(OFFSET(TH!J$1,SMALL(Dong2,ROWS($1:18)),)="1121",OFFSET(TH!I$1,SMALL(Dong2,ROWS($1:18)),),0))</f>
        <v>0</v>
      </c>
      <c r="H29" s="214">
        <f ca="1">IF(ROWS($1:18)&gt;COUNT(Dong2),"",IF(OFFSET(TH!K$1,SMALL(Dong2,ROWS($1:18)),)="1121",OFFSET(TH!I$1,SMALL(Dong2,ROWS($1:18)),),0))</f>
        <v>2500</v>
      </c>
      <c r="I29" s="215">
        <f t="shared" ca="1" si="0"/>
        <v>440500</v>
      </c>
      <c r="J29" s="215"/>
    </row>
    <row r="30" spans="1:10" s="200" customFormat="1" ht="18" customHeight="1">
      <c r="A30" s="213">
        <f ca="1">IF(ROWS($1:19)&gt;COUNT(Dong2),"",OFFSET(TH!C$1,SMALL(Dong2,ROWS($1:19)),))</f>
        <v>40590</v>
      </c>
      <c r="B30" s="213" t="str">
        <f ca="1">IF(ROWS($1:19)&gt;COUNT(Dong2),"",OFFSET(TH!D$1,SMALL(Dong2,ROWS($1:19)),))</f>
        <v>GBN</v>
      </c>
      <c r="C30" s="213">
        <f ca="1">IF(ROWS($1:19)&gt;COUNT(Dong2),"",OFFSET(TH!E$1,SMALL(Dong2,ROWS($1:19)),))</f>
        <v>40590</v>
      </c>
      <c r="D30" s="241" t="str">
        <f ca="1">IF(ROWS($1:19)&gt;COUNT(Dong2),"",OFFSET(TH!F$1,SMALL(Dong2,ROWS($1:19)),))</f>
        <v>Phí NH</v>
      </c>
      <c r="E30" s="241">
        <f ca="1">IF(ROWS($1:19)&gt;COUNT(Dong2),"",OFFSET(TH!G$1,SMALL(Dong2,ROWS($1:19)),))</f>
        <v>0</v>
      </c>
      <c r="F30" s="213" t="str">
        <f ca="1">IF(ROWS($1:19)&gt;COUNT(Dong2),"",IF(OFFSET(TH!K$1,SMALL(Dong2,ROWS($1:19)),)="1121",OFFSET(TH!J$1,SMALL(Dong2,ROWS($1:19)),),OFFSET(TH!K$1,SMALL(Dong2,ROWS($1:19)),)))</f>
        <v>642</v>
      </c>
      <c r="G30" s="214">
        <f ca="1">IF(ROWS($1:19)&gt;COUNT(Dong2),"",IF(OFFSET(TH!J$1,SMALL(Dong2,ROWS($1:19)),)="1121",OFFSET(TH!I$1,SMALL(Dong2,ROWS($1:19)),),0))</f>
        <v>0</v>
      </c>
      <c r="H30" s="214">
        <f ca="1">IF(ROWS($1:19)&gt;COUNT(Dong2),"",IF(OFFSET(TH!K$1,SMALL(Dong2,ROWS($1:19)),)="1121",OFFSET(TH!I$1,SMALL(Dong2,ROWS($1:19)),),0))</f>
        <v>5500</v>
      </c>
      <c r="I30" s="215">
        <f t="shared" ca="1" si="0"/>
        <v>435000</v>
      </c>
      <c r="J30" s="215"/>
    </row>
    <row r="31" spans="1:10" s="200" customFormat="1" ht="18" customHeight="1">
      <c r="A31" s="213">
        <f ca="1">IF(ROWS($1:20)&gt;COUNT(Dong2),"",OFFSET(TH!C$1,SMALL(Dong2,ROWS($1:20)),))</f>
        <v>40591</v>
      </c>
      <c r="B31" s="213" t="str">
        <f ca="1">IF(ROWS($1:20)&gt;COUNT(Dong2),"",OFFSET(TH!D$1,SMALL(Dong2,ROWS($1:20)),))</f>
        <v>GBN</v>
      </c>
      <c r="C31" s="213">
        <f ca="1">IF(ROWS($1:20)&gt;COUNT(Dong2),"",OFFSET(TH!E$1,SMALL(Dong2,ROWS($1:20)),))</f>
        <v>40591</v>
      </c>
      <c r="D31" s="241" t="str">
        <f ca="1">IF(ROWS($1:20)&gt;COUNT(Dong2),"",OFFSET(TH!F$1,SMALL(Dong2,ROWS($1:20)),))</f>
        <v>Phí NH</v>
      </c>
      <c r="E31" s="241">
        <f ca="1">IF(ROWS($1:20)&gt;COUNT(Dong2),"",OFFSET(TH!G$1,SMALL(Dong2,ROWS($1:20)),))</f>
        <v>0</v>
      </c>
      <c r="F31" s="213" t="str">
        <f ca="1">IF(ROWS($1:20)&gt;COUNT(Dong2),"",IF(OFFSET(TH!K$1,SMALL(Dong2,ROWS($1:20)),)="1121",OFFSET(TH!J$1,SMALL(Dong2,ROWS($1:20)),),OFFSET(TH!K$1,SMALL(Dong2,ROWS($1:20)),)))</f>
        <v>642</v>
      </c>
      <c r="G31" s="214">
        <f ca="1">IF(ROWS($1:20)&gt;COUNT(Dong2),"",IF(OFFSET(TH!J$1,SMALL(Dong2,ROWS($1:20)),)="1121",OFFSET(TH!I$1,SMALL(Dong2,ROWS($1:20)),),0))</f>
        <v>0</v>
      </c>
      <c r="H31" s="214">
        <f ca="1">IF(ROWS($1:20)&gt;COUNT(Dong2),"",IF(OFFSET(TH!K$1,SMALL(Dong2,ROWS($1:20)),)="1121",OFFSET(TH!I$1,SMALL(Dong2,ROWS($1:20)),),0))</f>
        <v>5500</v>
      </c>
      <c r="I31" s="215">
        <f t="shared" ca="1" si="0"/>
        <v>429500</v>
      </c>
      <c r="J31" s="215"/>
    </row>
    <row r="32" spans="1:10" s="200" customFormat="1" ht="18" customHeight="1">
      <c r="A32" s="213">
        <f ca="1">IF(ROWS($1:21)&gt;COUNT(Dong2),"",OFFSET(TH!C$1,SMALL(Dong2,ROWS($1:21)),))</f>
        <v>40605</v>
      </c>
      <c r="B32" s="213" t="str">
        <f ca="1">IF(ROWS($1:21)&gt;COUNT(Dong2),"",OFFSET(TH!D$1,SMALL(Dong2,ROWS($1:21)),))</f>
        <v>GBC</v>
      </c>
      <c r="C32" s="213">
        <f ca="1">IF(ROWS($1:21)&gt;COUNT(Dong2),"",OFFSET(TH!E$1,SMALL(Dong2,ROWS($1:21)),))</f>
        <v>40605</v>
      </c>
      <c r="D32" s="241" t="str">
        <f ca="1">IF(ROWS($1:21)&gt;COUNT(Dong2),"",OFFSET(TH!F$1,SMALL(Dong2,ROWS($1:21)),))</f>
        <v>An Lạc - Mượn vốn</v>
      </c>
      <c r="E32" s="241">
        <f ca="1">IF(ROWS($1:21)&gt;COUNT(Dong2),"",OFFSET(TH!G$1,SMALL(Dong2,ROWS($1:21)),))</f>
        <v>0</v>
      </c>
      <c r="F32" s="213" t="str">
        <f ca="1">IF(ROWS($1:21)&gt;COUNT(Dong2),"",IF(OFFSET(TH!K$1,SMALL(Dong2,ROWS($1:21)),)="1121",OFFSET(TH!J$1,SMALL(Dong2,ROWS($1:21)),),OFFSET(TH!K$1,SMALL(Dong2,ROWS($1:21)),)))</f>
        <v>3388</v>
      </c>
      <c r="G32" s="214">
        <f ca="1">IF(ROWS($1:21)&gt;COUNT(Dong2),"",IF(OFFSET(TH!J$1,SMALL(Dong2,ROWS($1:21)),)="1121",OFFSET(TH!I$1,SMALL(Dong2,ROWS($1:21)),),0))</f>
        <v>100000000</v>
      </c>
      <c r="H32" s="214">
        <f ca="1">IF(ROWS($1:21)&gt;COUNT(Dong2),"",IF(OFFSET(TH!K$1,SMALL(Dong2,ROWS($1:21)),)="1121",OFFSET(TH!I$1,SMALL(Dong2,ROWS($1:21)),),0))</f>
        <v>0</v>
      </c>
      <c r="I32" s="215">
        <f t="shared" ca="1" si="0"/>
        <v>100429500</v>
      </c>
      <c r="J32" s="215"/>
    </row>
    <row r="33" spans="1:10" s="200" customFormat="1" ht="18" customHeight="1">
      <c r="A33" s="213">
        <f ca="1">IF(ROWS($1:22)&gt;COUNT(Dong2),"",OFFSET(TH!C$1,SMALL(Dong2,ROWS($1:22)),))</f>
        <v>40605</v>
      </c>
      <c r="B33" s="213" t="str">
        <f ca="1">IF(ROWS($1:22)&gt;COUNT(Dong2),"",OFFSET(TH!D$1,SMALL(Dong2,ROWS($1:22)),))</f>
        <v>GBN</v>
      </c>
      <c r="C33" s="213">
        <f ca="1">IF(ROWS($1:22)&gt;COUNT(Dong2),"",OFFSET(TH!E$1,SMALL(Dong2,ROWS($1:22)),))</f>
        <v>40605</v>
      </c>
      <c r="D33" s="241" t="str">
        <f ca="1">IF(ROWS($1:22)&gt;COUNT(Dong2),"",OFFSET(TH!F$1,SMALL(Dong2,ROWS($1:22)),))</f>
        <v>Thanh toán tiền xây dựng - Khánh Trân</v>
      </c>
      <c r="E33" s="241">
        <f ca="1">IF(ROWS($1:22)&gt;COUNT(Dong2),"",OFFSET(TH!G$1,SMALL(Dong2,ROWS($1:22)),))</f>
        <v>0</v>
      </c>
      <c r="F33" s="213" t="str">
        <f ca="1">IF(ROWS($1:22)&gt;COUNT(Dong2),"",IF(OFFSET(TH!K$1,SMALL(Dong2,ROWS($1:22)),)="1121",OFFSET(TH!J$1,SMALL(Dong2,ROWS($1:22)),),OFFSET(TH!K$1,SMALL(Dong2,ROWS($1:22)),)))</f>
        <v>331</v>
      </c>
      <c r="G33" s="214">
        <f ca="1">IF(ROWS($1:22)&gt;COUNT(Dong2),"",IF(OFFSET(TH!J$1,SMALL(Dong2,ROWS($1:22)),)="1121",OFFSET(TH!I$1,SMALL(Dong2,ROWS($1:22)),),0))</f>
        <v>0</v>
      </c>
      <c r="H33" s="214">
        <f ca="1">IF(ROWS($1:22)&gt;COUNT(Dong2),"",IF(OFFSET(TH!K$1,SMALL(Dong2,ROWS($1:22)),)="1121",OFFSET(TH!I$1,SMALL(Dong2,ROWS($1:22)),),0))</f>
        <v>100000000</v>
      </c>
      <c r="I33" s="215">
        <f t="shared" ref="I33:I48" ca="1" si="1">IF(A33&lt;&gt;"",I32+G33-H33,0)</f>
        <v>429500</v>
      </c>
      <c r="J33" s="215"/>
    </row>
    <row r="34" spans="1:10" s="200" customFormat="1" ht="18" customHeight="1">
      <c r="A34" s="213">
        <f ca="1">IF(ROWS($1:23)&gt;COUNT(Dong2),"",OFFSET(TH!C$1,SMALL(Dong2,ROWS($1:23)),))</f>
        <v>40605</v>
      </c>
      <c r="B34" s="213" t="str">
        <f ca="1">IF(ROWS($1:23)&gt;COUNT(Dong2),"",OFFSET(TH!D$1,SMALL(Dong2,ROWS($1:23)),))</f>
        <v>GBN</v>
      </c>
      <c r="C34" s="213">
        <f ca="1">IF(ROWS($1:23)&gt;COUNT(Dong2),"",OFFSET(TH!E$1,SMALL(Dong2,ROWS($1:23)),))</f>
        <v>40605</v>
      </c>
      <c r="D34" s="241" t="str">
        <f ca="1">IF(ROWS($1:23)&gt;COUNT(Dong2),"",OFFSET(TH!F$1,SMALL(Dong2,ROWS($1:23)),))</f>
        <v xml:space="preserve">Phí chuyển tiền </v>
      </c>
      <c r="E34" s="241">
        <f ca="1">IF(ROWS($1:23)&gt;COUNT(Dong2),"",OFFSET(TH!G$1,SMALL(Dong2,ROWS($1:23)),))</f>
        <v>0</v>
      </c>
      <c r="F34" s="213" t="str">
        <f ca="1">IF(ROWS($1:23)&gt;COUNT(Dong2),"",IF(OFFSET(TH!K$1,SMALL(Dong2,ROWS($1:23)),)="1121",OFFSET(TH!J$1,SMALL(Dong2,ROWS($1:23)),),OFFSET(TH!K$1,SMALL(Dong2,ROWS($1:23)),)))</f>
        <v>642</v>
      </c>
      <c r="G34" s="214">
        <f ca="1">IF(ROWS($1:23)&gt;COUNT(Dong2),"",IF(OFFSET(TH!J$1,SMALL(Dong2,ROWS($1:23)),)="1121",OFFSET(TH!I$1,SMALL(Dong2,ROWS($1:23)),),0))</f>
        <v>0</v>
      </c>
      <c r="H34" s="214">
        <f ca="1">IF(ROWS($1:23)&gt;COUNT(Dong2),"",IF(OFFSET(TH!K$1,SMALL(Dong2,ROWS($1:23)),)="1121",OFFSET(TH!I$1,SMALL(Dong2,ROWS($1:23)),),0))</f>
        <v>50000</v>
      </c>
      <c r="I34" s="215">
        <f t="shared" ca="1" si="1"/>
        <v>379500</v>
      </c>
      <c r="J34" s="215"/>
    </row>
    <row r="35" spans="1:10" s="200" customFormat="1" ht="18" customHeight="1">
      <c r="A35" s="213">
        <f ca="1">IF(ROWS($1:24)&gt;COUNT(Dong2),"",OFFSET(TH!C$1,SMALL(Dong2,ROWS($1:24)),))</f>
        <v>40605</v>
      </c>
      <c r="B35" s="213" t="str">
        <f ca="1">IF(ROWS($1:24)&gt;COUNT(Dong2),"",OFFSET(TH!D$1,SMALL(Dong2,ROWS($1:24)),))</f>
        <v>GBN</v>
      </c>
      <c r="C35" s="213">
        <f ca="1">IF(ROWS($1:24)&gt;COUNT(Dong2),"",OFFSET(TH!E$1,SMALL(Dong2,ROWS($1:24)),))</f>
        <v>40605</v>
      </c>
      <c r="D35" s="241" t="str">
        <f ca="1">IF(ROWS($1:24)&gt;COUNT(Dong2),"",OFFSET(TH!F$1,SMALL(Dong2,ROWS($1:24)),))</f>
        <v xml:space="preserve">GTGT Phí chuyển tiền </v>
      </c>
      <c r="E35" s="241">
        <f ca="1">IF(ROWS($1:24)&gt;COUNT(Dong2),"",OFFSET(TH!G$1,SMALL(Dong2,ROWS($1:24)),))</f>
        <v>0</v>
      </c>
      <c r="F35" s="213" t="str">
        <f ca="1">IF(ROWS($1:24)&gt;COUNT(Dong2),"",IF(OFFSET(TH!K$1,SMALL(Dong2,ROWS($1:24)),)="1121",OFFSET(TH!J$1,SMALL(Dong2,ROWS($1:24)),),OFFSET(TH!K$1,SMALL(Dong2,ROWS($1:24)),)))</f>
        <v>642</v>
      </c>
      <c r="G35" s="214">
        <f ca="1">IF(ROWS($1:24)&gt;COUNT(Dong2),"",IF(OFFSET(TH!J$1,SMALL(Dong2,ROWS($1:24)),)="1121",OFFSET(TH!I$1,SMALL(Dong2,ROWS($1:24)),),0))</f>
        <v>0</v>
      </c>
      <c r="H35" s="214">
        <f ca="1">IF(ROWS($1:24)&gt;COUNT(Dong2),"",IF(OFFSET(TH!K$1,SMALL(Dong2,ROWS($1:24)),)="1121",OFFSET(TH!I$1,SMALL(Dong2,ROWS($1:24)),),0))</f>
        <v>5000</v>
      </c>
      <c r="I35" s="215">
        <f t="shared" ca="1" si="1"/>
        <v>374500</v>
      </c>
      <c r="J35" s="215"/>
    </row>
    <row r="36" spans="1:10" s="200" customFormat="1" ht="18" customHeight="1">
      <c r="A36" s="213">
        <f ca="1">IF(ROWS($1:25)&gt;COUNT(Dong2),"",OFFSET(TH!C$1,SMALL(Dong2,ROWS($1:25)),))</f>
        <v>40618</v>
      </c>
      <c r="B36" s="213" t="str">
        <f ca="1">IF(ROWS($1:25)&gt;COUNT(Dong2),"",OFFSET(TH!D$1,SMALL(Dong2,ROWS($1:25)),))</f>
        <v>GBN</v>
      </c>
      <c r="C36" s="213">
        <f ca="1">IF(ROWS($1:25)&gt;COUNT(Dong2),"",OFFSET(TH!E$1,SMALL(Dong2,ROWS($1:25)),))</f>
        <v>40618</v>
      </c>
      <c r="D36" s="241" t="str">
        <f ca="1">IF(ROWS($1:25)&gt;COUNT(Dong2),"",OFFSET(TH!F$1,SMALL(Dong2,ROWS($1:25)),))</f>
        <v>Phí NH</v>
      </c>
      <c r="E36" s="241">
        <f ca="1">IF(ROWS($1:25)&gt;COUNT(Dong2),"",OFFSET(TH!G$1,SMALL(Dong2,ROWS($1:25)),))</f>
        <v>0</v>
      </c>
      <c r="F36" s="213" t="str">
        <f ca="1">IF(ROWS($1:25)&gt;COUNT(Dong2),"",IF(OFFSET(TH!K$1,SMALL(Dong2,ROWS($1:25)),)="1121",OFFSET(TH!J$1,SMALL(Dong2,ROWS($1:25)),),OFFSET(TH!K$1,SMALL(Dong2,ROWS($1:25)),)))</f>
        <v>642</v>
      </c>
      <c r="G36" s="214">
        <f ca="1">IF(ROWS($1:25)&gt;COUNT(Dong2),"",IF(OFFSET(TH!J$1,SMALL(Dong2,ROWS($1:25)),)="1121",OFFSET(TH!I$1,SMALL(Dong2,ROWS($1:25)),),0))</f>
        <v>0</v>
      </c>
      <c r="H36" s="214">
        <f ca="1">IF(ROWS($1:25)&gt;COUNT(Dong2),"",IF(OFFSET(TH!K$1,SMALL(Dong2,ROWS($1:25)),)="1121",OFFSET(TH!I$1,SMALL(Dong2,ROWS($1:25)),),0))</f>
        <v>5500</v>
      </c>
      <c r="I36" s="215">
        <f t="shared" ca="1" si="1"/>
        <v>369000</v>
      </c>
      <c r="J36" s="215"/>
    </row>
    <row r="37" spans="1:10" s="200" customFormat="1" ht="18" customHeight="1">
      <c r="A37" s="213">
        <f ca="1">IF(ROWS($1:26)&gt;COUNT(Dong2),"",OFFSET(TH!C$1,SMALL(Dong2,ROWS($1:26)),))</f>
        <v>40619</v>
      </c>
      <c r="B37" s="213" t="str">
        <f ca="1">IF(ROWS($1:26)&gt;COUNT(Dong2),"",OFFSET(TH!D$1,SMALL(Dong2,ROWS($1:26)),))</f>
        <v>GBN</v>
      </c>
      <c r="C37" s="213">
        <f ca="1">IF(ROWS($1:26)&gt;COUNT(Dong2),"",OFFSET(TH!E$1,SMALL(Dong2,ROWS($1:26)),))</f>
        <v>40619</v>
      </c>
      <c r="D37" s="241" t="str">
        <f ca="1">IF(ROWS($1:26)&gt;COUNT(Dong2),"",OFFSET(TH!F$1,SMALL(Dong2,ROWS($1:26)),))</f>
        <v>Phí NH</v>
      </c>
      <c r="E37" s="241">
        <f ca="1">IF(ROWS($1:26)&gt;COUNT(Dong2),"",OFFSET(TH!G$1,SMALL(Dong2,ROWS($1:26)),))</f>
        <v>0</v>
      </c>
      <c r="F37" s="213" t="str">
        <f ca="1">IF(ROWS($1:26)&gt;COUNT(Dong2),"",IF(OFFSET(TH!K$1,SMALL(Dong2,ROWS($1:26)),)="1121",OFFSET(TH!J$1,SMALL(Dong2,ROWS($1:26)),),OFFSET(TH!K$1,SMALL(Dong2,ROWS($1:26)),)))</f>
        <v>642</v>
      </c>
      <c r="G37" s="214">
        <f ca="1">IF(ROWS($1:26)&gt;COUNT(Dong2),"",IF(OFFSET(TH!J$1,SMALL(Dong2,ROWS($1:26)),)="1121",OFFSET(TH!I$1,SMALL(Dong2,ROWS($1:26)),),0))</f>
        <v>0</v>
      </c>
      <c r="H37" s="214">
        <f ca="1">IF(ROWS($1:26)&gt;COUNT(Dong2),"",IF(OFFSET(TH!K$1,SMALL(Dong2,ROWS($1:26)),)="1121",OFFSET(TH!I$1,SMALL(Dong2,ROWS($1:26)),),0))</f>
        <v>5500</v>
      </c>
      <c r="I37" s="215">
        <f t="shared" ca="1" si="1"/>
        <v>363500</v>
      </c>
      <c r="J37" s="215"/>
    </row>
    <row r="38" spans="1:10" s="200" customFormat="1" ht="18" customHeight="1">
      <c r="A38" s="213">
        <f ca="1">IF(ROWS($1:27)&gt;COUNT(Dong2),"",OFFSET(TH!C$1,SMALL(Dong2,ROWS($1:27)),))</f>
        <v>40623</v>
      </c>
      <c r="B38" s="213" t="str">
        <f ca="1">IF(ROWS($1:27)&gt;COUNT(Dong2),"",OFFSET(TH!D$1,SMALL(Dong2,ROWS($1:27)),))</f>
        <v>GBC</v>
      </c>
      <c r="C38" s="213">
        <f ca="1">IF(ROWS($1:27)&gt;COUNT(Dong2),"",OFFSET(TH!E$1,SMALL(Dong2,ROWS($1:27)),))</f>
        <v>40623</v>
      </c>
      <c r="D38" s="241" t="str">
        <f ca="1">IF(ROWS($1:27)&gt;COUNT(Dong2),"",OFFSET(TH!F$1,SMALL(Dong2,ROWS($1:27)),))</f>
        <v>An Lạc LA- Mượn vốn</v>
      </c>
      <c r="E38" s="241">
        <f ca="1">IF(ROWS($1:27)&gt;COUNT(Dong2),"",OFFSET(TH!G$1,SMALL(Dong2,ROWS($1:27)),))</f>
        <v>0</v>
      </c>
      <c r="F38" s="213" t="str">
        <f ca="1">IF(ROWS($1:27)&gt;COUNT(Dong2),"",IF(OFFSET(TH!K$1,SMALL(Dong2,ROWS($1:27)),)="1121",OFFSET(TH!J$1,SMALL(Dong2,ROWS($1:27)),),OFFSET(TH!K$1,SMALL(Dong2,ROWS($1:27)),)))</f>
        <v>3388</v>
      </c>
      <c r="G38" s="214">
        <f ca="1">IF(ROWS($1:27)&gt;COUNT(Dong2),"",IF(OFFSET(TH!J$1,SMALL(Dong2,ROWS($1:27)),)="1121",OFFSET(TH!I$1,SMALL(Dong2,ROWS($1:27)),),0))</f>
        <v>232500000</v>
      </c>
      <c r="H38" s="214">
        <f ca="1">IF(ROWS($1:27)&gt;COUNT(Dong2),"",IF(OFFSET(TH!K$1,SMALL(Dong2,ROWS($1:27)),)="1121",OFFSET(TH!I$1,SMALL(Dong2,ROWS($1:27)),),0))</f>
        <v>0</v>
      </c>
      <c r="I38" s="215">
        <f t="shared" ca="1" si="1"/>
        <v>232863500</v>
      </c>
      <c r="J38" s="215"/>
    </row>
    <row r="39" spans="1:10" s="200" customFormat="1" ht="18" customHeight="1">
      <c r="A39" s="213">
        <f ca="1">IF(ROWS($1:28)&gt;COUNT(Dong2),"",OFFSET(TH!C$1,SMALL(Dong2,ROWS($1:28)),))</f>
        <v>40623</v>
      </c>
      <c r="B39" s="213" t="str">
        <f ca="1">IF(ROWS($1:28)&gt;COUNT(Dong2),"",OFFSET(TH!D$1,SMALL(Dong2,ROWS($1:28)),))</f>
        <v>GBN</v>
      </c>
      <c r="C39" s="213">
        <f ca="1">IF(ROWS($1:28)&gt;COUNT(Dong2),"",OFFSET(TH!E$1,SMALL(Dong2,ROWS($1:28)),))</f>
        <v>40623</v>
      </c>
      <c r="D39" s="241" t="str">
        <f ca="1">IF(ROWS($1:28)&gt;COUNT(Dong2),"",OFFSET(TH!F$1,SMALL(Dong2,ROWS($1:28)),))</f>
        <v>Thanh toán tiền xây dựng - Khánh Trân</v>
      </c>
      <c r="E39" s="241">
        <f ca="1">IF(ROWS($1:28)&gt;COUNT(Dong2),"",OFFSET(TH!G$1,SMALL(Dong2,ROWS($1:28)),))</f>
        <v>0</v>
      </c>
      <c r="F39" s="213" t="str">
        <f ca="1">IF(ROWS($1:28)&gt;COUNT(Dong2),"",IF(OFFSET(TH!K$1,SMALL(Dong2,ROWS($1:28)),)="1121",OFFSET(TH!J$1,SMALL(Dong2,ROWS($1:28)),),OFFSET(TH!K$1,SMALL(Dong2,ROWS($1:28)),)))</f>
        <v>331</v>
      </c>
      <c r="G39" s="214">
        <f ca="1">IF(ROWS($1:28)&gt;COUNT(Dong2),"",IF(OFFSET(TH!J$1,SMALL(Dong2,ROWS($1:28)),)="1121",OFFSET(TH!I$1,SMALL(Dong2,ROWS($1:28)),),0))</f>
        <v>0</v>
      </c>
      <c r="H39" s="214">
        <f ca="1">IF(ROWS($1:28)&gt;COUNT(Dong2),"",IF(OFFSET(TH!K$1,SMALL(Dong2,ROWS($1:28)),)="1121",OFFSET(TH!I$1,SMALL(Dong2,ROWS($1:28)),),0))</f>
        <v>200000000</v>
      </c>
      <c r="I39" s="215">
        <f t="shared" ca="1" si="1"/>
        <v>32863500</v>
      </c>
      <c r="J39" s="215"/>
    </row>
    <row r="40" spans="1:10" s="200" customFormat="1" ht="18" customHeight="1">
      <c r="A40" s="213">
        <f ca="1">IF(ROWS($1:29)&gt;COUNT(Dong2),"",OFFSET(TH!C$1,SMALL(Dong2,ROWS($1:29)),))</f>
        <v>40623</v>
      </c>
      <c r="B40" s="213" t="str">
        <f ca="1">IF(ROWS($1:29)&gt;COUNT(Dong2),"",OFFSET(TH!D$1,SMALL(Dong2,ROWS($1:29)),))</f>
        <v>GBN</v>
      </c>
      <c r="C40" s="213">
        <f ca="1">IF(ROWS($1:29)&gt;COUNT(Dong2),"",OFFSET(TH!E$1,SMALL(Dong2,ROWS($1:29)),))</f>
        <v>40623</v>
      </c>
      <c r="D40" s="241" t="str">
        <f ca="1">IF(ROWS($1:29)&gt;COUNT(Dong2),"",OFFSET(TH!F$1,SMALL(Dong2,ROWS($1:29)),))</f>
        <v xml:space="preserve">Phí chuyển tiền </v>
      </c>
      <c r="E40" s="241">
        <f ca="1">IF(ROWS($1:29)&gt;COUNT(Dong2),"",OFFSET(TH!G$1,SMALL(Dong2,ROWS($1:29)),))</f>
        <v>0</v>
      </c>
      <c r="F40" s="213" t="str">
        <f ca="1">IF(ROWS($1:29)&gt;COUNT(Dong2),"",IF(OFFSET(TH!K$1,SMALL(Dong2,ROWS($1:29)),)="1121",OFFSET(TH!J$1,SMALL(Dong2,ROWS($1:29)),),OFFSET(TH!K$1,SMALL(Dong2,ROWS($1:29)),)))</f>
        <v>642</v>
      </c>
      <c r="G40" s="214">
        <f ca="1">IF(ROWS($1:29)&gt;COUNT(Dong2),"",IF(OFFSET(TH!J$1,SMALL(Dong2,ROWS($1:29)),)="1121",OFFSET(TH!I$1,SMALL(Dong2,ROWS($1:29)),),0))</f>
        <v>0</v>
      </c>
      <c r="H40" s="214">
        <f ca="1">IF(ROWS($1:29)&gt;COUNT(Dong2),"",IF(OFFSET(TH!K$1,SMALL(Dong2,ROWS($1:29)),)="1121",OFFSET(TH!I$1,SMALL(Dong2,ROWS($1:29)),),0))</f>
        <v>100000</v>
      </c>
      <c r="I40" s="215">
        <f t="shared" ca="1" si="1"/>
        <v>32763500</v>
      </c>
      <c r="J40" s="215"/>
    </row>
    <row r="41" spans="1:10" s="200" customFormat="1" ht="18" customHeight="1">
      <c r="A41" s="213">
        <f ca="1">IF(ROWS($1:30)&gt;COUNT(Dong2),"",OFFSET(TH!C$1,SMALL(Dong2,ROWS($1:30)),))</f>
        <v>40623</v>
      </c>
      <c r="B41" s="213" t="str">
        <f ca="1">IF(ROWS($1:30)&gt;COUNT(Dong2),"",OFFSET(TH!D$1,SMALL(Dong2,ROWS($1:30)),))</f>
        <v>GBN</v>
      </c>
      <c r="C41" s="213">
        <f ca="1">IF(ROWS($1:30)&gt;COUNT(Dong2),"",OFFSET(TH!E$1,SMALL(Dong2,ROWS($1:30)),))</f>
        <v>40623</v>
      </c>
      <c r="D41" s="241" t="str">
        <f ca="1">IF(ROWS($1:30)&gt;COUNT(Dong2),"",OFFSET(TH!F$1,SMALL(Dong2,ROWS($1:30)),))</f>
        <v xml:space="preserve">GTGT Phí chuyển tiền </v>
      </c>
      <c r="E41" s="241">
        <f ca="1">IF(ROWS($1:30)&gt;COUNT(Dong2),"",OFFSET(TH!G$1,SMALL(Dong2,ROWS($1:30)),))</f>
        <v>0</v>
      </c>
      <c r="F41" s="213" t="str">
        <f ca="1">IF(ROWS($1:30)&gt;COUNT(Dong2),"",IF(OFFSET(TH!K$1,SMALL(Dong2,ROWS($1:30)),)="1121",OFFSET(TH!J$1,SMALL(Dong2,ROWS($1:30)),),OFFSET(TH!K$1,SMALL(Dong2,ROWS($1:30)),)))</f>
        <v>642</v>
      </c>
      <c r="G41" s="214">
        <f ca="1">IF(ROWS($1:30)&gt;COUNT(Dong2),"",IF(OFFSET(TH!J$1,SMALL(Dong2,ROWS($1:30)),)="1121",OFFSET(TH!I$1,SMALL(Dong2,ROWS($1:30)),),0))</f>
        <v>0</v>
      </c>
      <c r="H41" s="214">
        <f ca="1">IF(ROWS($1:30)&gt;COUNT(Dong2),"",IF(OFFSET(TH!K$1,SMALL(Dong2,ROWS($1:30)),)="1121",OFFSET(TH!I$1,SMALL(Dong2,ROWS($1:30)),),0))</f>
        <v>10000</v>
      </c>
      <c r="I41" s="215">
        <f t="shared" ca="1" si="1"/>
        <v>32753500</v>
      </c>
      <c r="J41" s="215"/>
    </row>
    <row r="42" spans="1:10" s="200" customFormat="1" ht="18" customHeight="1">
      <c r="A42" s="213">
        <f ca="1">IF(ROWS($1:31)&gt;COUNT(Dong2),"",OFFSET(TH!C$1,SMALL(Dong2,ROWS($1:31)),))</f>
        <v>40623</v>
      </c>
      <c r="B42" s="213" t="str">
        <f ca="1">IF(ROWS($1:31)&gt;COUNT(Dong2),"",OFFSET(TH!D$1,SMALL(Dong2,ROWS($1:31)),))</f>
        <v>GBN</v>
      </c>
      <c r="C42" s="213">
        <f ca="1">IF(ROWS($1:31)&gt;COUNT(Dong2),"",OFFSET(TH!E$1,SMALL(Dong2,ROWS($1:31)),))</f>
        <v>40623</v>
      </c>
      <c r="D42" s="241" t="str">
        <f ca="1">IF(ROWS($1:31)&gt;COUNT(Dong2),"",OFFSET(TH!F$1,SMALL(Dong2,ROWS($1:31)),))</f>
        <v>Thanh toán Thuê quyền SDĐ - KCN Long Đức 15/9/10-15/9/11</v>
      </c>
      <c r="E42" s="241">
        <f ca="1">IF(ROWS($1:31)&gt;COUNT(Dong2),"",OFFSET(TH!G$1,SMALL(Dong2,ROWS($1:31)),))</f>
        <v>0</v>
      </c>
      <c r="F42" s="213" t="str">
        <f ca="1">IF(ROWS($1:31)&gt;COUNT(Dong2),"",IF(OFFSET(TH!K$1,SMALL(Dong2,ROWS($1:31)),)="1121",OFFSET(TH!J$1,SMALL(Dong2,ROWS($1:31)),),OFFSET(TH!K$1,SMALL(Dong2,ROWS($1:31)),)))</f>
        <v>331</v>
      </c>
      <c r="G42" s="214">
        <f ca="1">IF(ROWS($1:31)&gt;COUNT(Dong2),"",IF(OFFSET(TH!J$1,SMALL(Dong2,ROWS($1:31)),)="1121",OFFSET(TH!I$1,SMALL(Dong2,ROWS($1:31)),),0))</f>
        <v>0</v>
      </c>
      <c r="H42" s="214">
        <f ca="1">IF(ROWS($1:31)&gt;COUNT(Dong2),"",IF(OFFSET(TH!K$1,SMALL(Dong2,ROWS($1:31)),)="1121",OFFSET(TH!I$1,SMALL(Dong2,ROWS($1:31)),),0))</f>
        <v>32288666</v>
      </c>
      <c r="I42" s="215">
        <f t="shared" ca="1" si="1"/>
        <v>464834</v>
      </c>
      <c r="J42" s="215"/>
    </row>
    <row r="43" spans="1:10" s="200" customFormat="1" ht="18" customHeight="1">
      <c r="A43" s="213">
        <f ca="1">IF(ROWS($1:32)&gt;COUNT(Dong2),"",OFFSET(TH!C$1,SMALL(Dong2,ROWS($1:32)),))</f>
        <v>40623</v>
      </c>
      <c r="B43" s="213" t="str">
        <f ca="1">IF(ROWS($1:32)&gt;COUNT(Dong2),"",OFFSET(TH!D$1,SMALL(Dong2,ROWS($1:32)),))</f>
        <v>GBN</v>
      </c>
      <c r="C43" s="213">
        <f ca="1">IF(ROWS($1:32)&gt;COUNT(Dong2),"",OFFSET(TH!E$1,SMALL(Dong2,ROWS($1:32)),))</f>
        <v>40623</v>
      </c>
      <c r="D43" s="241" t="str">
        <f ca="1">IF(ROWS($1:32)&gt;COUNT(Dong2),"",OFFSET(TH!F$1,SMALL(Dong2,ROWS($1:32)),))</f>
        <v xml:space="preserve">Phí chuyển tiền </v>
      </c>
      <c r="E43" s="241">
        <f ca="1">IF(ROWS($1:32)&gt;COUNT(Dong2),"",OFFSET(TH!G$1,SMALL(Dong2,ROWS($1:32)),))</f>
        <v>0</v>
      </c>
      <c r="F43" s="213" t="str">
        <f ca="1">IF(ROWS($1:32)&gt;COUNT(Dong2),"",IF(OFFSET(TH!K$1,SMALL(Dong2,ROWS($1:32)),)="1121",OFFSET(TH!J$1,SMALL(Dong2,ROWS($1:32)),),OFFSET(TH!K$1,SMALL(Dong2,ROWS($1:32)),)))</f>
        <v>642</v>
      </c>
      <c r="G43" s="214">
        <f ca="1">IF(ROWS($1:32)&gt;COUNT(Dong2),"",IF(OFFSET(TH!J$1,SMALL(Dong2,ROWS($1:32)),)="1121",OFFSET(TH!I$1,SMALL(Dong2,ROWS($1:32)),),0))</f>
        <v>0</v>
      </c>
      <c r="H43" s="214">
        <f ca="1">IF(ROWS($1:32)&gt;COUNT(Dong2),"",IF(OFFSET(TH!K$1,SMALL(Dong2,ROWS($1:32)),)="1121",OFFSET(TH!I$1,SMALL(Dong2,ROWS($1:32)),),0))</f>
        <v>20000</v>
      </c>
      <c r="I43" s="215">
        <f t="shared" ca="1" si="1"/>
        <v>444834</v>
      </c>
      <c r="J43" s="215"/>
    </row>
    <row r="44" spans="1:10" s="200" customFormat="1" ht="18" customHeight="1">
      <c r="A44" s="213">
        <f ca="1">IF(ROWS($1:33)&gt;COUNT(Dong2),"",OFFSET(TH!C$1,SMALL(Dong2,ROWS($1:33)),))</f>
        <v>40623</v>
      </c>
      <c r="B44" s="213" t="str">
        <f ca="1">IF(ROWS($1:33)&gt;COUNT(Dong2),"",OFFSET(TH!D$1,SMALL(Dong2,ROWS($1:33)),))</f>
        <v>GBN</v>
      </c>
      <c r="C44" s="213">
        <f ca="1">IF(ROWS($1:33)&gt;COUNT(Dong2),"",OFFSET(TH!E$1,SMALL(Dong2,ROWS($1:33)),))</f>
        <v>40623</v>
      </c>
      <c r="D44" s="241" t="str">
        <f ca="1">IF(ROWS($1:33)&gt;COUNT(Dong2),"",OFFSET(TH!F$1,SMALL(Dong2,ROWS($1:33)),))</f>
        <v xml:space="preserve">GTGT Phí chuyển tiền </v>
      </c>
      <c r="E44" s="241">
        <f ca="1">IF(ROWS($1:33)&gt;COUNT(Dong2),"",OFFSET(TH!G$1,SMALL(Dong2,ROWS($1:33)),))</f>
        <v>0</v>
      </c>
      <c r="F44" s="213" t="str">
        <f ca="1">IF(ROWS($1:33)&gt;COUNT(Dong2),"",IF(OFFSET(TH!K$1,SMALL(Dong2,ROWS($1:33)),)="1121",OFFSET(TH!J$1,SMALL(Dong2,ROWS($1:33)),),OFFSET(TH!K$1,SMALL(Dong2,ROWS($1:33)),)))</f>
        <v>642</v>
      </c>
      <c r="G44" s="214">
        <f ca="1">IF(ROWS($1:33)&gt;COUNT(Dong2),"",IF(OFFSET(TH!J$1,SMALL(Dong2,ROWS($1:33)),)="1121",OFFSET(TH!I$1,SMALL(Dong2,ROWS($1:33)),),0))</f>
        <v>0</v>
      </c>
      <c r="H44" s="214">
        <f ca="1">IF(ROWS($1:33)&gt;COUNT(Dong2),"",IF(OFFSET(TH!K$1,SMALL(Dong2,ROWS($1:33)),)="1121",OFFSET(TH!I$1,SMALL(Dong2,ROWS($1:33)),),0))</f>
        <v>2000</v>
      </c>
      <c r="I44" s="215">
        <f t="shared" ca="1" si="1"/>
        <v>442834</v>
      </c>
      <c r="J44" s="215"/>
    </row>
    <row r="45" spans="1:10" s="200" customFormat="1" ht="18" customHeight="1">
      <c r="A45" s="213">
        <f ca="1">IF(ROWS($1:34)&gt;COUNT(Dong2),"",OFFSET(TH!C$1,SMALL(Dong2,ROWS($1:34)),))</f>
        <v>40630</v>
      </c>
      <c r="B45" s="213" t="str">
        <f ca="1">IF(ROWS($1:34)&gt;COUNT(Dong2),"",OFFSET(TH!D$1,SMALL(Dong2,ROWS($1:34)),))</f>
        <v>GBC</v>
      </c>
      <c r="C45" s="213">
        <f ca="1">IF(ROWS($1:34)&gt;COUNT(Dong2),"",OFFSET(TH!E$1,SMALL(Dong2,ROWS($1:34)),))</f>
        <v>40630</v>
      </c>
      <c r="D45" s="241" t="str">
        <f ca="1">IF(ROWS($1:34)&gt;COUNT(Dong2),"",OFFSET(TH!F$1,SMALL(Dong2,ROWS($1:34)),))</f>
        <v>An Lạc - Mượn vốn</v>
      </c>
      <c r="E45" s="241">
        <f ca="1">IF(ROWS($1:34)&gt;COUNT(Dong2),"",OFFSET(TH!G$1,SMALL(Dong2,ROWS($1:34)),))</f>
        <v>0</v>
      </c>
      <c r="F45" s="213" t="str">
        <f ca="1">IF(ROWS($1:34)&gt;COUNT(Dong2),"",IF(OFFSET(TH!K$1,SMALL(Dong2,ROWS($1:34)),)="1121",OFFSET(TH!J$1,SMALL(Dong2,ROWS($1:34)),),OFFSET(TH!K$1,SMALL(Dong2,ROWS($1:34)),)))</f>
        <v>3388</v>
      </c>
      <c r="G45" s="214">
        <f ca="1">IF(ROWS($1:34)&gt;COUNT(Dong2),"",IF(OFFSET(TH!J$1,SMALL(Dong2,ROWS($1:34)),)="1121",OFFSET(TH!I$1,SMALL(Dong2,ROWS($1:34)),),0))</f>
        <v>100000000</v>
      </c>
      <c r="H45" s="214">
        <f ca="1">IF(ROWS($1:34)&gt;COUNT(Dong2),"",IF(OFFSET(TH!K$1,SMALL(Dong2,ROWS($1:34)),)="1121",OFFSET(TH!I$1,SMALL(Dong2,ROWS($1:34)),),0))</f>
        <v>0</v>
      </c>
      <c r="I45" s="215">
        <f t="shared" ca="1" si="1"/>
        <v>100442834</v>
      </c>
      <c r="J45" s="215"/>
    </row>
    <row r="46" spans="1:10" s="200" customFormat="1" ht="18" customHeight="1">
      <c r="A46" s="213">
        <f ca="1">IF(ROWS($1:35)&gt;COUNT(Dong2),"",OFFSET(TH!C$1,SMALL(Dong2,ROWS($1:35)),))</f>
        <v>40630</v>
      </c>
      <c r="B46" s="213" t="str">
        <f ca="1">IF(ROWS($1:35)&gt;COUNT(Dong2),"",OFFSET(TH!D$1,SMALL(Dong2,ROWS($1:35)),))</f>
        <v>GBN</v>
      </c>
      <c r="C46" s="213">
        <f ca="1">IF(ROWS($1:35)&gt;COUNT(Dong2),"",OFFSET(TH!E$1,SMALL(Dong2,ROWS($1:35)),))</f>
        <v>40630</v>
      </c>
      <c r="D46" s="241" t="str">
        <f ca="1">IF(ROWS($1:35)&gt;COUNT(Dong2),"",OFFSET(TH!F$1,SMALL(Dong2,ROWS($1:35)),))</f>
        <v>Thanh toán tiền xây dựng - Khánh Trân</v>
      </c>
      <c r="E46" s="241">
        <f ca="1">IF(ROWS($1:35)&gt;COUNT(Dong2),"",OFFSET(TH!G$1,SMALL(Dong2,ROWS($1:35)),))</f>
        <v>0</v>
      </c>
      <c r="F46" s="213" t="str">
        <f ca="1">IF(ROWS($1:35)&gt;COUNT(Dong2),"",IF(OFFSET(TH!K$1,SMALL(Dong2,ROWS($1:35)),)="1121",OFFSET(TH!J$1,SMALL(Dong2,ROWS($1:35)),),OFFSET(TH!K$1,SMALL(Dong2,ROWS($1:35)),)))</f>
        <v>331</v>
      </c>
      <c r="G46" s="214">
        <f ca="1">IF(ROWS($1:35)&gt;COUNT(Dong2),"",IF(OFFSET(TH!J$1,SMALL(Dong2,ROWS($1:35)),)="1121",OFFSET(TH!I$1,SMALL(Dong2,ROWS($1:35)),),0))</f>
        <v>0</v>
      </c>
      <c r="H46" s="214">
        <f ca="1">IF(ROWS($1:35)&gt;COUNT(Dong2),"",IF(OFFSET(TH!K$1,SMALL(Dong2,ROWS($1:35)),)="1121",OFFSET(TH!I$1,SMALL(Dong2,ROWS($1:35)),),0))</f>
        <v>100000000</v>
      </c>
      <c r="I46" s="215">
        <f t="shared" ca="1" si="1"/>
        <v>442834</v>
      </c>
      <c r="J46" s="215"/>
    </row>
    <row r="47" spans="1:10" s="200" customFormat="1" ht="18" customHeight="1">
      <c r="A47" s="213">
        <f ca="1">IF(ROWS($1:36)&gt;COUNT(Dong2),"",OFFSET(TH!C$1,SMALL(Dong2,ROWS($1:36)),))</f>
        <v>40630</v>
      </c>
      <c r="B47" s="213" t="str">
        <f ca="1">IF(ROWS($1:36)&gt;COUNT(Dong2),"",OFFSET(TH!D$1,SMALL(Dong2,ROWS($1:36)),))</f>
        <v>GBN</v>
      </c>
      <c r="C47" s="213">
        <f ca="1">IF(ROWS($1:36)&gt;COUNT(Dong2),"",OFFSET(TH!E$1,SMALL(Dong2,ROWS($1:36)),))</f>
        <v>40630</v>
      </c>
      <c r="D47" s="241" t="str">
        <f ca="1">IF(ROWS($1:36)&gt;COUNT(Dong2),"",OFFSET(TH!F$1,SMALL(Dong2,ROWS($1:36)),))</f>
        <v xml:space="preserve">Phí chuyển tiền </v>
      </c>
      <c r="E47" s="241">
        <f ca="1">IF(ROWS($1:36)&gt;COUNT(Dong2),"",OFFSET(TH!G$1,SMALL(Dong2,ROWS($1:36)),))</f>
        <v>0</v>
      </c>
      <c r="F47" s="213" t="str">
        <f ca="1">IF(ROWS($1:36)&gt;COUNT(Dong2),"",IF(OFFSET(TH!K$1,SMALL(Dong2,ROWS($1:36)),)="1121",OFFSET(TH!J$1,SMALL(Dong2,ROWS($1:36)),),OFFSET(TH!K$1,SMALL(Dong2,ROWS($1:36)),)))</f>
        <v>642</v>
      </c>
      <c r="G47" s="214">
        <f ca="1">IF(ROWS($1:36)&gt;COUNT(Dong2),"",IF(OFFSET(TH!J$1,SMALL(Dong2,ROWS($1:36)),)="1121",OFFSET(TH!I$1,SMALL(Dong2,ROWS($1:36)),),0))</f>
        <v>0</v>
      </c>
      <c r="H47" s="214">
        <f ca="1">IF(ROWS($1:36)&gt;COUNT(Dong2),"",IF(OFFSET(TH!K$1,SMALL(Dong2,ROWS($1:36)),)="1121",OFFSET(TH!I$1,SMALL(Dong2,ROWS($1:36)),),0))</f>
        <v>50000</v>
      </c>
      <c r="I47" s="215">
        <f t="shared" ca="1" si="1"/>
        <v>392834</v>
      </c>
      <c r="J47" s="215"/>
    </row>
    <row r="48" spans="1:10" s="200" customFormat="1" ht="18" customHeight="1">
      <c r="A48" s="213">
        <f ca="1">IF(ROWS($1:37)&gt;COUNT(Dong2),"",OFFSET(TH!C$1,SMALL(Dong2,ROWS($1:37)),))</f>
        <v>40630</v>
      </c>
      <c r="B48" s="213" t="str">
        <f ca="1">IF(ROWS($1:37)&gt;COUNT(Dong2),"",OFFSET(TH!D$1,SMALL(Dong2,ROWS($1:37)),))</f>
        <v>GBN</v>
      </c>
      <c r="C48" s="213">
        <f ca="1">IF(ROWS($1:37)&gt;COUNT(Dong2),"",OFFSET(TH!E$1,SMALL(Dong2,ROWS($1:37)),))</f>
        <v>40630</v>
      </c>
      <c r="D48" s="241" t="str">
        <f ca="1">IF(ROWS($1:37)&gt;COUNT(Dong2),"",OFFSET(TH!F$1,SMALL(Dong2,ROWS($1:37)),))</f>
        <v xml:space="preserve">GTGT Phí chuyển tiền </v>
      </c>
      <c r="E48" s="241">
        <f ca="1">IF(ROWS($1:37)&gt;COUNT(Dong2),"",OFFSET(TH!G$1,SMALL(Dong2,ROWS($1:37)),))</f>
        <v>0</v>
      </c>
      <c r="F48" s="213" t="str">
        <f ca="1">IF(ROWS($1:37)&gt;COUNT(Dong2),"",IF(OFFSET(TH!K$1,SMALL(Dong2,ROWS($1:37)),)="1121",OFFSET(TH!J$1,SMALL(Dong2,ROWS($1:37)),),OFFSET(TH!K$1,SMALL(Dong2,ROWS($1:37)),)))</f>
        <v>642</v>
      </c>
      <c r="G48" s="214">
        <f ca="1">IF(ROWS($1:37)&gt;COUNT(Dong2),"",IF(OFFSET(TH!J$1,SMALL(Dong2,ROWS($1:37)),)="1121",OFFSET(TH!I$1,SMALL(Dong2,ROWS($1:37)),),0))</f>
        <v>0</v>
      </c>
      <c r="H48" s="214">
        <f ca="1">IF(ROWS($1:37)&gt;COUNT(Dong2),"",IF(OFFSET(TH!K$1,SMALL(Dong2,ROWS($1:37)),)="1121",OFFSET(TH!I$1,SMALL(Dong2,ROWS($1:37)),),0))</f>
        <v>5000</v>
      </c>
      <c r="I48" s="215">
        <f t="shared" ca="1" si="1"/>
        <v>387834</v>
      </c>
      <c r="J48" s="215"/>
    </row>
    <row r="49" spans="1:12" s="200" customFormat="1" ht="18" customHeight="1">
      <c r="A49" s="213"/>
      <c r="B49" s="213"/>
      <c r="C49" s="213"/>
      <c r="D49" s="241"/>
      <c r="E49" s="241"/>
      <c r="F49" s="213"/>
      <c r="G49" s="214"/>
      <c r="H49" s="214"/>
      <c r="I49" s="215"/>
      <c r="J49" s="215"/>
    </row>
    <row r="50" spans="1:12" s="212" customFormat="1" ht="18" customHeight="1">
      <c r="A50" s="216"/>
      <c r="B50" s="217"/>
      <c r="C50" s="216"/>
      <c r="D50" s="210" t="s">
        <v>179</v>
      </c>
      <c r="E50" s="210"/>
      <c r="F50" s="218"/>
      <c r="G50" s="219">
        <f ca="1">SUM(G12:G49)</f>
        <v>584600000</v>
      </c>
      <c r="H50" s="219">
        <f ca="1">SUM(H12:H49)</f>
        <v>584212166</v>
      </c>
      <c r="I50" s="219">
        <f ca="1">I11+G50-H50</f>
        <v>387834</v>
      </c>
      <c r="J50" s="218"/>
    </row>
    <row r="51" spans="1:12" s="212" customFormat="1" ht="18" customHeight="1">
      <c r="A51" s="216"/>
      <c r="B51" s="217"/>
      <c r="C51" s="216"/>
      <c r="D51" s="210" t="s">
        <v>12</v>
      </c>
      <c r="E51" s="210"/>
      <c r="F51" s="218"/>
      <c r="G51" s="210"/>
      <c r="H51" s="210"/>
      <c r="I51" s="219">
        <f ca="1">I50</f>
        <v>387834</v>
      </c>
      <c r="J51" s="218"/>
    </row>
    <row r="52" spans="1:12" s="212" customFormat="1" ht="22.5" customHeight="1">
      <c r="A52" s="246" t="s">
        <v>198</v>
      </c>
      <c r="B52" s="220"/>
      <c r="G52" s="221"/>
      <c r="J52" s="222"/>
    </row>
    <row r="53" spans="1:12" s="212" customFormat="1" ht="12.75">
      <c r="A53" s="245" t="str">
        <f ca="1">"- Ngày mở sổ: "&amp;DAY($A$12)&amp;"/"&amp;MONTH($A$12)&amp;"/ 2015"</f>
        <v>- Ngày mở sổ: 27/1/ 2015</v>
      </c>
      <c r="B53" s="223"/>
      <c r="G53" s="221"/>
      <c r="J53" s="222"/>
    </row>
    <row r="54" spans="1:12" s="212" customFormat="1" ht="12.75">
      <c r="A54" s="224"/>
      <c r="B54" s="225"/>
      <c r="C54" s="226"/>
      <c r="G54" s="221"/>
      <c r="I54" s="346" t="str">
        <f>"Ngày "&amp;IF(OR($O$9=3,$O$9=12),"31","30")&amp;" tháng "&amp;$O$9&amp;"  năm  2015 "</f>
        <v xml:space="preserve">Ngày 31 tháng 3  năm  2015 </v>
      </c>
    </row>
    <row r="55" spans="1:12" s="212" customFormat="1" ht="17.25" customHeight="1">
      <c r="A55" s="435" t="s">
        <v>13</v>
      </c>
      <c r="B55" s="435"/>
      <c r="C55" s="225"/>
      <c r="F55" s="227" t="s">
        <v>14</v>
      </c>
      <c r="G55" s="228"/>
      <c r="H55" s="436" t="s">
        <v>150</v>
      </c>
      <c r="I55" s="436"/>
      <c r="J55" s="436"/>
      <c r="K55" s="229"/>
      <c r="L55" s="224"/>
    </row>
    <row r="56" spans="1:12" s="212" customFormat="1" ht="12.75">
      <c r="A56" s="437" t="s">
        <v>15</v>
      </c>
      <c r="B56" s="437"/>
      <c r="C56" s="230"/>
      <c r="F56" s="231" t="s">
        <v>15</v>
      </c>
      <c r="G56" s="232"/>
      <c r="H56" s="438" t="s">
        <v>182</v>
      </c>
      <c r="I56" s="438"/>
      <c r="J56" s="438"/>
      <c r="L56" s="233"/>
    </row>
  </sheetData>
  <autoFilter ref="A10:L53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55:B55"/>
    <mergeCell ref="H55:J55"/>
    <mergeCell ref="A56:B56"/>
    <mergeCell ref="H56:J56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_C111</vt:lpstr>
      <vt:lpstr>_C112</vt:lpstr>
      <vt:lpstr>_N111</vt:lpstr>
      <vt:lpstr>_N112</vt:lpstr>
      <vt:lpstr>DSKH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2015-12-12T09:20:34Z</cp:lastPrinted>
  <dcterms:created xsi:type="dcterms:W3CDTF">1996-10-14T23:33:28Z</dcterms:created>
  <dcterms:modified xsi:type="dcterms:W3CDTF">2015-12-14T05:32:14Z</dcterms:modified>
</cp:coreProperties>
</file>